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3795" yWindow="-60" windowWidth="13605" windowHeight="7935" tabRatio="808"/>
  </bookViews>
  <sheets>
    <sheet name="Table 1 State Summary " sheetId="81" r:id="rId1"/>
    <sheet name="Table 2_State Distrib and Adjs" sheetId="33" r:id="rId2"/>
    <sheet name="Table 2A-1_EFT (Annual)" sheetId="100" r:id="rId3"/>
    <sheet name="Table 2A-2 EFT (Monthly)" sheetId="72" r:id="rId4"/>
    <sheet name="Table 3 Levels 1&amp;2" sheetId="1" r:id="rId5"/>
    <sheet name="Table 3A-CityParish LEA " sheetId="96" r:id="rId6"/>
    <sheet name="Table 4 Level 3" sheetId="2" r:id="rId7"/>
    <sheet name="Table 4A Stipends" sheetId="49" r:id="rId8"/>
    <sheet name="Table 4B Rewards" sheetId="97" r:id="rId9"/>
    <sheet name="Table 5A1 Labs " sheetId="5" r:id="rId10"/>
    <sheet name="Table 5A2 LSMSA" sheetId="83" r:id="rId11"/>
    <sheet name="Table 5A3 NOCCA" sheetId="84" r:id="rId12"/>
    <sheet name="Table 5A4_LSDVI" sheetId="99" r:id="rId13"/>
    <sheet name="Table 5A5_SSD" sheetId="98" r:id="rId14"/>
    <sheet name="Table 5B1_RSD_Orleans" sheetId="31" r:id="rId15"/>
    <sheet name="Table 5B2_RSD_LA" sheetId="46" r:id="rId16"/>
    <sheet name="Table 5C1A-Madison Prep" sheetId="113" r:id="rId17"/>
    <sheet name="Table 5C1B-DArbonne" sheetId="114" r:id="rId18"/>
    <sheet name="Table 5C1C-Intl_VIBE" sheetId="115" r:id="rId19"/>
    <sheet name="Table 5C1D-NOMMA" sheetId="116" r:id="rId20"/>
    <sheet name="Table 5C1E-LFNO" sheetId="117" r:id="rId21"/>
    <sheet name="Table 5C1F-Lake Charles Charter" sheetId="118" r:id="rId22"/>
    <sheet name="Table 5C1G-JS Clark Academy" sheetId="119" r:id="rId23"/>
    <sheet name="Table 5C1H-Southwest LA Charter" sheetId="120" r:id="rId24"/>
    <sheet name="Table 5C2 - LA Virtual Admy" sheetId="76" r:id="rId25"/>
    <sheet name="Table 5C3 - LA Connections EBR" sheetId="80" r:id="rId26"/>
    <sheet name="Table 5D1 - New Vision" sheetId="85" r:id="rId27"/>
    <sheet name="Table 5D2 - Glencoe" sheetId="86" r:id="rId28"/>
    <sheet name="Table 5D3 - International" sheetId="87" r:id="rId29"/>
    <sheet name="Table 5D4 - Avoyelles" sheetId="88" r:id="rId30"/>
    <sheet name="Table 5D5 - Delhi" sheetId="89" r:id="rId31"/>
    <sheet name="Table 5D6 - Milestone" sheetId="91" r:id="rId32"/>
    <sheet name="Table 5D7 - Max" sheetId="92" r:id="rId33"/>
    <sheet name="Table 5D8 - Belle Chasse" sheetId="90" r:id="rId34"/>
    <sheet name="Table 5E_OJJ" sheetId="67" r:id="rId35"/>
    <sheet name="Table 5F Scholarships" sheetId="101" r:id="rId36"/>
    <sheet name="Table 6 (Local Deduct Calc.)" sheetId="25" r:id="rId37"/>
    <sheet name="Table 7 Local Revenue" sheetId="13" r:id="rId38"/>
    <sheet name="Table 8 2.1.12 MFP Funded" sheetId="121" r:id="rId39"/>
    <sheet name="-" sheetId="108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1_2004_2005_AFR_4_Ad_Valorem_Taxes" localSheetId="0">#REF!</definedName>
    <definedName name="_1_2004_2005_AFR_4_Ad_Valorem_Taxes" localSheetId="2">#REF!</definedName>
    <definedName name="_1_2004_2005_AFR_4_Ad_Valorem_Taxes" localSheetId="8">#REF!</definedName>
    <definedName name="_1_2004_2005_AFR_4_Ad_Valorem_Taxes" localSheetId="10">#REF!</definedName>
    <definedName name="_1_2004_2005_AFR_4_Ad_Valorem_Taxes" localSheetId="11">#REF!</definedName>
    <definedName name="_1_2004_2005_AFR_4_Ad_Valorem_Taxes" localSheetId="12">#REF!</definedName>
    <definedName name="_1_2004_2005_AFR_4_Ad_Valorem_Taxes" localSheetId="17">#REF!</definedName>
    <definedName name="_1_2004_2005_AFR_4_Ad_Valorem_Taxes" localSheetId="18">#REF!</definedName>
    <definedName name="_1_2004_2005_AFR_4_Ad_Valorem_Taxes" localSheetId="19">#REF!</definedName>
    <definedName name="_1_2004_2005_AFR_4_Ad_Valorem_Taxes" localSheetId="20">#REF!</definedName>
    <definedName name="_1_2004_2005_AFR_4_Ad_Valorem_Taxes" localSheetId="21">#REF!</definedName>
    <definedName name="_1_2004_2005_AFR_4_Ad_Valorem_Taxes" localSheetId="22">#REF!</definedName>
    <definedName name="_1_2004_2005_AFR_4_Ad_Valorem_Taxes" localSheetId="23">#REF!</definedName>
    <definedName name="_1_2004_2005_AFR_4_Ad_Valorem_Taxes" localSheetId="26">#REF!</definedName>
    <definedName name="_1_2004_2005_AFR_4_Ad_Valorem_Taxes" localSheetId="27">#REF!</definedName>
    <definedName name="_1_2004_2005_AFR_4_Ad_Valorem_Taxes" localSheetId="29">#REF!</definedName>
    <definedName name="_1_2004_2005_AFR_4_Ad_Valorem_Taxes" localSheetId="30">#REF!</definedName>
    <definedName name="_1_2004_2005_AFR_4_Ad_Valorem_Taxes" localSheetId="31">#REF!</definedName>
    <definedName name="_1_2004_2005_AFR_4_Ad_Valorem_Taxes" localSheetId="32">#REF!</definedName>
    <definedName name="_1_2004_2005_AFR_4_Ad_Valorem_Taxes" localSheetId="35">#REF!</definedName>
    <definedName name="_1_2004_2005_AFR_4_Ad_Valorem_Taxes">#REF!</definedName>
    <definedName name="Import_Elem_Secondary_ByLEA" localSheetId="0">#REF!</definedName>
    <definedName name="Import_Elem_Secondary_ByLEA" localSheetId="2">#REF!</definedName>
    <definedName name="Import_Elem_Secondary_ByLEA" localSheetId="8">#REF!</definedName>
    <definedName name="Import_Elem_Secondary_ByLEA" localSheetId="10">#REF!</definedName>
    <definedName name="Import_Elem_Secondary_ByLEA" localSheetId="11">#REF!</definedName>
    <definedName name="Import_Elem_Secondary_ByLEA" localSheetId="12">#REF!</definedName>
    <definedName name="Import_Elem_Secondary_ByLEA" localSheetId="17">#REF!</definedName>
    <definedName name="Import_Elem_Secondary_ByLEA" localSheetId="18">#REF!</definedName>
    <definedName name="Import_Elem_Secondary_ByLEA" localSheetId="19">#REF!</definedName>
    <definedName name="Import_Elem_Secondary_ByLEA" localSheetId="20">#REF!</definedName>
    <definedName name="Import_Elem_Secondary_ByLEA" localSheetId="21">#REF!</definedName>
    <definedName name="Import_Elem_Secondary_ByLEA" localSheetId="22">#REF!</definedName>
    <definedName name="Import_Elem_Secondary_ByLEA" localSheetId="23">#REF!</definedName>
    <definedName name="Import_Elem_Secondary_ByLEA" localSheetId="26">#REF!</definedName>
    <definedName name="Import_Elem_Secondary_ByLEA" localSheetId="27">#REF!</definedName>
    <definedName name="Import_Elem_Secondary_ByLEA" localSheetId="29">#REF!</definedName>
    <definedName name="Import_Elem_Secondary_ByLEA" localSheetId="30">#REF!</definedName>
    <definedName name="Import_Elem_Secondary_ByLEA" localSheetId="31">#REF!</definedName>
    <definedName name="Import_Elem_Secondary_ByLEA" localSheetId="32">#REF!</definedName>
    <definedName name="Import_Elem_Secondary_ByLEA" localSheetId="35">#REF!</definedName>
    <definedName name="Import_Elem_Secondary_ByLEA">#REF!</definedName>
    <definedName name="Import_K_12_ByLEA" localSheetId="0">#REF!</definedName>
    <definedName name="Import_K_12_ByLEA" localSheetId="2">#REF!</definedName>
    <definedName name="Import_K_12_ByLEA" localSheetId="8">#REF!</definedName>
    <definedName name="Import_K_12_ByLEA" localSheetId="10">#REF!</definedName>
    <definedName name="Import_K_12_ByLEA" localSheetId="11">#REF!</definedName>
    <definedName name="Import_K_12_ByLEA" localSheetId="12">#REF!</definedName>
    <definedName name="Import_K_12_ByLEA" localSheetId="17">#REF!</definedName>
    <definedName name="Import_K_12_ByLEA" localSheetId="18">#REF!</definedName>
    <definedName name="Import_K_12_ByLEA" localSheetId="19">#REF!</definedName>
    <definedName name="Import_K_12_ByLEA" localSheetId="20">#REF!</definedName>
    <definedName name="Import_K_12_ByLEA" localSheetId="21">#REF!</definedName>
    <definedName name="Import_K_12_ByLEA" localSheetId="22">#REF!</definedName>
    <definedName name="Import_K_12_ByLEA" localSheetId="23">#REF!</definedName>
    <definedName name="Import_K_12_ByLEA" localSheetId="26">#REF!</definedName>
    <definedName name="Import_K_12_ByLEA" localSheetId="27">#REF!</definedName>
    <definedName name="Import_K_12_ByLEA" localSheetId="29">#REF!</definedName>
    <definedName name="Import_K_12_ByLEA" localSheetId="30">#REF!</definedName>
    <definedName name="Import_K_12_ByLEA" localSheetId="31">#REF!</definedName>
    <definedName name="Import_K_12_ByLEA" localSheetId="32">#REF!</definedName>
    <definedName name="Import_K_12_ByLEA" localSheetId="35">#REF!</definedName>
    <definedName name="Import_K_12_ByLEA">#REF!</definedName>
    <definedName name="Import_MFP_and_Other_Funded_ByLEA" localSheetId="0">#REF!</definedName>
    <definedName name="Import_MFP_and_Other_Funded_ByLEA" localSheetId="2">#REF!</definedName>
    <definedName name="Import_MFP_and_Other_Funded_ByLEA" localSheetId="8">#REF!</definedName>
    <definedName name="Import_MFP_and_Other_Funded_ByLEA" localSheetId="12">#REF!</definedName>
    <definedName name="Import_MFP_and_Other_Funded_ByLEA" localSheetId="17">#REF!</definedName>
    <definedName name="Import_MFP_and_Other_Funded_ByLEA" localSheetId="18">#REF!</definedName>
    <definedName name="Import_MFP_and_Other_Funded_ByLEA" localSheetId="19">#REF!</definedName>
    <definedName name="Import_MFP_and_Other_Funded_ByLEA" localSheetId="20">#REF!</definedName>
    <definedName name="Import_MFP_and_Other_Funded_ByLEA" localSheetId="21">#REF!</definedName>
    <definedName name="Import_MFP_and_Other_Funded_ByLEA" localSheetId="22">#REF!</definedName>
    <definedName name="Import_MFP_and_Other_Funded_ByLEA" localSheetId="23">#REF!</definedName>
    <definedName name="Import_MFP_and_Other_Funded_ByLEA" localSheetId="26">#REF!</definedName>
    <definedName name="Import_MFP_and_Other_Funded_ByLEA" localSheetId="27">#REF!</definedName>
    <definedName name="Import_MFP_and_Other_Funded_ByLEA" localSheetId="29">#REF!</definedName>
    <definedName name="Import_MFP_and_Other_Funded_ByLEA" localSheetId="30">#REF!</definedName>
    <definedName name="Import_MFP_and_Other_Funded_ByLEA" localSheetId="31">#REF!</definedName>
    <definedName name="Import_MFP_and_Other_Funded_ByLEA" localSheetId="32">#REF!</definedName>
    <definedName name="Import_MFP_and_Other_Funded_ByLEA" localSheetId="35">#REF!</definedName>
    <definedName name="Import_MFP_and_Other_Funded_ByLEA">#REF!</definedName>
    <definedName name="Import_Total_Reported_ByLEA" localSheetId="0">#REF!</definedName>
    <definedName name="Import_Total_Reported_ByLEA" localSheetId="2">#REF!</definedName>
    <definedName name="Import_Total_Reported_ByLEA" localSheetId="8">#REF!</definedName>
    <definedName name="Import_Total_Reported_ByLEA" localSheetId="12">#REF!</definedName>
    <definedName name="Import_Total_Reported_ByLEA" localSheetId="17">#REF!</definedName>
    <definedName name="Import_Total_Reported_ByLEA" localSheetId="18">#REF!</definedName>
    <definedName name="Import_Total_Reported_ByLEA" localSheetId="19">#REF!</definedName>
    <definedName name="Import_Total_Reported_ByLEA" localSheetId="20">#REF!</definedName>
    <definedName name="Import_Total_Reported_ByLEA" localSheetId="21">#REF!</definedName>
    <definedName name="Import_Total_Reported_ByLEA" localSheetId="22">#REF!</definedName>
    <definedName name="Import_Total_Reported_ByLEA" localSheetId="23">#REF!</definedName>
    <definedName name="Import_Total_Reported_ByLEA" localSheetId="26">#REF!</definedName>
    <definedName name="Import_Total_Reported_ByLEA" localSheetId="27">#REF!</definedName>
    <definedName name="Import_Total_Reported_ByLEA" localSheetId="29">#REF!</definedName>
    <definedName name="Import_Total_Reported_ByLEA" localSheetId="30">#REF!</definedName>
    <definedName name="Import_Total_Reported_ByLEA" localSheetId="31">#REF!</definedName>
    <definedName name="Import_Total_Reported_ByLEA" localSheetId="32">#REF!</definedName>
    <definedName name="Import_Total_Reported_ByLEA" localSheetId="35">#REF!</definedName>
    <definedName name="Import_Total_Reported_ByLEA">#REF!</definedName>
    <definedName name="_xlnm.Print_Area" localSheetId="0">'Table 1 State Summary '!$A$1:$H$90</definedName>
    <definedName name="_xlnm.Print_Area" localSheetId="1">'Table 2_State Distrib and Adjs'!$A$1:$AF$77</definedName>
    <definedName name="_xlnm.Print_Area" localSheetId="2">'Table 2A-1_EFT (Annual)'!$A$1:$AE$77</definedName>
    <definedName name="_xlnm.Print_Area" localSheetId="3">'Table 2A-2 EFT (Monthly)'!$A$1:$BA$75</definedName>
    <definedName name="_xlnm.Print_Area" localSheetId="4">'Table 3 Levels 1&amp;2'!$A$4:$BA$85</definedName>
    <definedName name="_xlnm.Print_Area" localSheetId="5">'Table 3A-CityParish LEA '!$A$3:$N$77</definedName>
    <definedName name="_xlnm.Print_Area" localSheetId="6">'Table 4 Level 3'!$A$1:$S$78</definedName>
    <definedName name="_xlnm.Print_Area" localSheetId="7">'Table 4A Stipends'!$A$1:$G$74</definedName>
    <definedName name="_xlnm.Print_Area" localSheetId="8">'Table 4B Rewards'!$A$1:$G$77</definedName>
    <definedName name="_xlnm.Print_Area" localSheetId="9">'Table 5A1 Labs '!$A$1:$J$12</definedName>
    <definedName name="_xlnm.Print_Area" localSheetId="10">'Table 5A2 LSMSA'!$A$2:$N$77</definedName>
    <definedName name="_xlnm.Print_Area" localSheetId="11">'Table 5A3 NOCCA'!$A$2:$N$76</definedName>
    <definedName name="_xlnm.Print_Area" localSheetId="12">'Table 5A4_LSDVI'!$A$2:$N$77</definedName>
    <definedName name="_xlnm.Print_Area" localSheetId="13">'Table 5A5_SSD'!$A$2:$N$77</definedName>
    <definedName name="_xlnm.Print_Area" localSheetId="14">'Table 5B1_RSD_Orleans'!$A$1:$J$76</definedName>
    <definedName name="_xlnm.Print_Area" localSheetId="15">'Table 5B2_RSD_LA'!$A$3:$AA$44</definedName>
    <definedName name="_xlnm.Print_Area" localSheetId="16">'Table 5C1A-Madison Prep'!$A$2:$V$76</definedName>
    <definedName name="_xlnm.Print_Area" localSheetId="17">'Table 5C1B-DArbonne'!$A$2:$V$77</definedName>
    <definedName name="_xlnm.Print_Area" localSheetId="18">'Table 5C1C-Intl_VIBE'!$A$2:$V$76</definedName>
    <definedName name="_xlnm.Print_Area" localSheetId="19">'Table 5C1D-NOMMA'!$A$2:$V$76</definedName>
    <definedName name="_xlnm.Print_Area" localSheetId="20">'Table 5C1E-LFNO'!$A$2:$V$76</definedName>
    <definedName name="_xlnm.Print_Area" localSheetId="21">'Table 5C1F-Lake Charles Charter'!$A$2:$V$76</definedName>
    <definedName name="_xlnm.Print_Area" localSheetId="22">'Table 5C1G-JS Clark Academy'!$A$2:$V$76</definedName>
    <definedName name="_xlnm.Print_Area" localSheetId="23">'Table 5C1H-Southwest LA Charter'!$A$2:$V$76</definedName>
    <definedName name="_xlnm.Print_Area" localSheetId="24">'Table 5C2 - LA Virtual Admy'!$A$1:$W$79</definedName>
    <definedName name="_xlnm.Print_Area" localSheetId="25">'Table 5C3 - LA Connections EBR'!$A$1:$W$79</definedName>
    <definedName name="_xlnm.Print_Area" localSheetId="26">'Table 5D1 - New Vision'!$A$2:$U$78</definedName>
    <definedName name="_xlnm.Print_Area" localSheetId="27">'Table 5D2 - Glencoe'!$A$2:$U$78</definedName>
    <definedName name="_xlnm.Print_Area" localSheetId="28">'Table 5D3 - International'!$A$2:$U$78</definedName>
    <definedName name="_xlnm.Print_Area" localSheetId="29">'Table 5D4 - Avoyelles'!$A$2:$U$78</definedName>
    <definedName name="_xlnm.Print_Area" localSheetId="30">'Table 5D5 - Delhi'!$A$2:$U$78</definedName>
    <definedName name="_xlnm.Print_Area" localSheetId="31">'Table 5D6 - Milestone'!$A$2:$U$78</definedName>
    <definedName name="_xlnm.Print_Area" localSheetId="32">'Table 5D7 - Max'!$A$2:$U$78</definedName>
    <definedName name="_xlnm.Print_Area" localSheetId="33">'Table 5D8 - Belle Chasse'!$A$2:$Y$80</definedName>
    <definedName name="_xlnm.Print_Area" localSheetId="34">'Table 5E_OJJ'!$A$2:$W$78</definedName>
    <definedName name="_xlnm.Print_Area" localSheetId="35">'Table 5F Scholarships'!$A$5:$S$80</definedName>
    <definedName name="_xlnm.Print_Area" localSheetId="36">'Table 6 (Local Deduct Calc.)'!$A$3:$J$78</definedName>
    <definedName name="_xlnm.Print_Area" localSheetId="37">'Table 7 Local Revenue'!$A$3:$AR$77</definedName>
    <definedName name="_xlnm.Print_Area" localSheetId="38">'Table 8 2.1.12 MFP Funded'!$A$3:$AD$75</definedName>
    <definedName name="_xlnm.Print_Titles" localSheetId="39">'-'!$8:$10</definedName>
    <definedName name="_xlnm.Print_Titles" localSheetId="0">'Table 1 State Summary '!$1:$8</definedName>
    <definedName name="_xlnm.Print_Titles" localSheetId="1">'Table 2_State Distrib and Adjs'!$A:$B</definedName>
    <definedName name="_xlnm.Print_Titles" localSheetId="2">'Table 2A-1_EFT (Annual)'!$B:$B</definedName>
    <definedName name="_xlnm.Print_Titles" localSheetId="3">'Table 2A-2 EFT (Monthly)'!$A:$B</definedName>
    <definedName name="_xlnm.Print_Titles" localSheetId="4">'Table 3 Levels 1&amp;2'!$A:$B,'Table 3 Levels 1&amp;2'!$2:$7</definedName>
    <definedName name="_xlnm.Print_Titles" localSheetId="5">'Table 3A-CityParish LEA '!$B:$B,'Table 3A-CityParish LEA '!$4:$6</definedName>
    <definedName name="_xlnm.Print_Titles" localSheetId="6">'Table 4 Level 3'!$A:$B</definedName>
    <definedName name="_xlnm.Print_Titles" localSheetId="9">'Table 5A1 Labs '!$1:$1</definedName>
    <definedName name="_xlnm.Print_Titles" localSheetId="10">'Table 5A2 LSMSA'!$B:$B,'Table 5A2 LSMSA'!$2:$5</definedName>
    <definedName name="_xlnm.Print_Titles" localSheetId="11">'Table 5A3 NOCCA'!$B:$B,'Table 5A3 NOCCA'!$2:$5</definedName>
    <definedName name="_xlnm.Print_Titles" localSheetId="12">'Table 5A4_LSDVI'!$B:$B,'Table 5A4_LSDVI'!$2:$5</definedName>
    <definedName name="_xlnm.Print_Titles" localSheetId="13">'Table 5A5_SSD'!$B:$B,'Table 5A5_SSD'!$2:$5</definedName>
    <definedName name="_xlnm.Print_Titles" localSheetId="14">'Table 5B1_RSD_Orleans'!$B:$B,'Table 5B1_RSD_Orleans'!$3:$6</definedName>
    <definedName name="_xlnm.Print_Titles" localSheetId="15">'Table 5B2_RSD_LA'!$A:$B</definedName>
    <definedName name="_xlnm.Print_Titles" localSheetId="16">'Table 5C1A-Madison Prep'!$A:$B,'Table 5C1A-Madison Prep'!$2:$6</definedName>
    <definedName name="_xlnm.Print_Titles" localSheetId="17">'Table 5C1B-DArbonne'!$A:$B,'Table 5C1B-DArbonne'!$2:$6</definedName>
    <definedName name="_xlnm.Print_Titles" localSheetId="18">'Table 5C1C-Intl_VIBE'!$A:$B,'Table 5C1C-Intl_VIBE'!$2:$6</definedName>
    <definedName name="_xlnm.Print_Titles" localSheetId="19">'Table 5C1D-NOMMA'!$A:$B,'Table 5C1D-NOMMA'!$2:$6</definedName>
    <definedName name="_xlnm.Print_Titles" localSheetId="20">'Table 5C1E-LFNO'!$A:$B,'Table 5C1E-LFNO'!$2:$6</definedName>
    <definedName name="_xlnm.Print_Titles" localSheetId="21">'Table 5C1F-Lake Charles Charter'!$A:$B,'Table 5C1F-Lake Charles Charter'!$2:$6</definedName>
    <definedName name="_xlnm.Print_Titles" localSheetId="22">'Table 5C1G-JS Clark Academy'!$A:$B,'Table 5C1G-JS Clark Academy'!$2:$6</definedName>
    <definedName name="_xlnm.Print_Titles" localSheetId="23">'Table 5C1H-Southwest LA Charter'!$A:$B,'Table 5C1H-Southwest LA Charter'!$2:$6</definedName>
    <definedName name="_xlnm.Print_Titles" localSheetId="24">'Table 5C2 - LA Virtual Admy'!$B:$B</definedName>
    <definedName name="_xlnm.Print_Titles" localSheetId="25">'Table 5C3 - LA Connections EBR'!$A:$B</definedName>
    <definedName name="_xlnm.Print_Titles" localSheetId="26">'Table 5D1 - New Vision'!$B:$B,'Table 5D1 - New Vision'!$2:$5</definedName>
    <definedName name="_xlnm.Print_Titles" localSheetId="27">'Table 5D2 - Glencoe'!$B:$B,'Table 5D2 - Glencoe'!$2:$5</definedName>
    <definedName name="_xlnm.Print_Titles" localSheetId="28">'Table 5D3 - International'!$B:$B,'Table 5D3 - International'!$2:$5</definedName>
    <definedName name="_xlnm.Print_Titles" localSheetId="29">'Table 5D4 - Avoyelles'!$B:$B,'Table 5D4 - Avoyelles'!$2:$5</definedName>
    <definedName name="_xlnm.Print_Titles" localSheetId="30">'Table 5D5 - Delhi'!$B:$B,'Table 5D5 - Delhi'!$2:$5</definedName>
    <definedName name="_xlnm.Print_Titles" localSheetId="31">'Table 5D6 - Milestone'!$B:$B,'Table 5D6 - Milestone'!$2:$5</definedName>
    <definedName name="_xlnm.Print_Titles" localSheetId="32">'Table 5D7 - Max'!$B:$B,'Table 5D7 - Max'!$2:$5</definedName>
    <definedName name="_xlnm.Print_Titles" localSheetId="33">'Table 5D8 - Belle Chasse'!$B:$B,'Table 5D8 - Belle Chasse'!$2:$5</definedName>
    <definedName name="_xlnm.Print_Titles" localSheetId="34">'Table 5E_OJJ'!$B:$B,'Table 5E_OJJ'!$2:$5</definedName>
    <definedName name="_xlnm.Print_Titles" localSheetId="35">'Table 5F Scholarships'!$A:$B</definedName>
    <definedName name="_xlnm.Print_Titles" localSheetId="36">'Table 6 (Local Deduct Calc.)'!$A:$B,'Table 6 (Local Deduct Calc.)'!$3:$8</definedName>
    <definedName name="_xlnm.Print_Titles" localSheetId="37">'Table 7 Local Revenue'!$A:$B,'Table 7 Local Revenue'!$1:$6</definedName>
    <definedName name="_xlnm.Print_Titles" localSheetId="38">'Table 8 2.1.12 MFP Funded'!$E:$F,'Table 8 2.1.12 MFP Funded'!$1:$3</definedName>
  </definedNames>
  <calcPr calcId="125725"/>
  <fileRecoveryPr repairLoad="1"/>
</workbook>
</file>

<file path=xl/calcChain.xml><?xml version="1.0" encoding="utf-8"?>
<calcChain xmlns="http://schemas.openxmlformats.org/spreadsheetml/2006/main">
  <c r="G132" i="108"/>
  <c r="P41" i="2" l="1"/>
  <c r="AH41" i="72" l="1"/>
  <c r="E41" l="1"/>
  <c r="T41" i="2" l="1"/>
  <c r="U41"/>
  <c r="V41" s="1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6"/>
  <c r="T43"/>
  <c r="T45"/>
  <c r="T46"/>
  <c r="T47"/>
  <c r="T48"/>
  <c r="T49"/>
  <c r="T50"/>
  <c r="T51"/>
  <c r="T52"/>
  <c r="T53"/>
  <c r="T54"/>
  <c r="T55"/>
  <c r="T56"/>
  <c r="T57"/>
  <c r="T58"/>
  <c r="T59"/>
  <c r="V59" s="1"/>
  <c r="T60"/>
  <c r="T61"/>
  <c r="T62"/>
  <c r="T63"/>
  <c r="T64"/>
  <c r="T65"/>
  <c r="T66"/>
  <c r="T67"/>
  <c r="T68"/>
  <c r="T69"/>
  <c r="T70"/>
  <c r="T71"/>
  <c r="T72"/>
  <c r="T73"/>
  <c r="T74"/>
  <c r="T42"/>
  <c r="V42" s="1"/>
  <c r="T7"/>
  <c r="T8"/>
  <c r="T9"/>
  <c r="T10"/>
  <c r="T11"/>
  <c r="T12"/>
  <c r="T13"/>
  <c r="T14"/>
  <c r="T15"/>
  <c r="T16"/>
  <c r="T17"/>
  <c r="T18"/>
  <c r="V18" s="1"/>
  <c r="T19"/>
  <c r="T20"/>
  <c r="T21"/>
  <c r="T23"/>
  <c r="T24"/>
  <c r="T25"/>
  <c r="T26"/>
  <c r="T27"/>
  <c r="T28"/>
  <c r="T29"/>
  <c r="T30"/>
  <c r="V30" s="1"/>
  <c r="T31"/>
  <c r="T32"/>
  <c r="T33"/>
  <c r="T34"/>
  <c r="T35"/>
  <c r="T36"/>
  <c r="T37"/>
  <c r="T38"/>
  <c r="T39"/>
  <c r="T40"/>
  <c r="T6"/>
  <c r="V70"/>
  <c r="V69"/>
  <c r="V62"/>
  <c r="V54"/>
  <c r="V53"/>
  <c r="V46"/>
  <c r="V36"/>
  <c r="V12"/>
  <c r="V6"/>
  <c r="V39" l="1"/>
  <c r="V35"/>
  <c r="V31"/>
  <c r="V27"/>
  <c r="V23"/>
  <c r="V19"/>
  <c r="V15"/>
  <c r="V11"/>
  <c r="V7"/>
  <c r="V72"/>
  <c r="V68"/>
  <c r="V64"/>
  <c r="V60"/>
  <c r="V56"/>
  <c r="V52"/>
  <c r="V48"/>
  <c r="V73"/>
  <c r="V65"/>
  <c r="V61"/>
  <c r="V57"/>
  <c r="V49"/>
  <c r="V45"/>
  <c r="V40"/>
  <c r="V32"/>
  <c r="V28"/>
  <c r="V24"/>
  <c r="V20"/>
  <c r="V16"/>
  <c r="V8"/>
  <c r="V71"/>
  <c r="V67"/>
  <c r="V63"/>
  <c r="V55"/>
  <c r="V51"/>
  <c r="V47"/>
  <c r="V43"/>
  <c r="V38"/>
  <c r="V34"/>
  <c r="V26"/>
  <c r="V14"/>
  <c r="V10"/>
  <c r="V74"/>
  <c r="V66"/>
  <c r="V58"/>
  <c r="V50"/>
  <c r="U75"/>
  <c r="V37"/>
  <c r="V33"/>
  <c r="V29"/>
  <c r="V25"/>
  <c r="V21"/>
  <c r="V17"/>
  <c r="V9"/>
  <c r="V13"/>
  <c r="F14" i="46"/>
  <c r="F13"/>
  <c r="C7" l="1"/>
  <c r="C33" l="1"/>
  <c r="C26"/>
  <c r="C21"/>
  <c r="C7" i="31" l="1"/>
  <c r="P44" i="2"/>
  <c r="T44" s="1"/>
  <c r="V44" s="1"/>
  <c r="P22"/>
  <c r="T22" s="1"/>
  <c r="V22" s="1"/>
  <c r="V75" s="1"/>
  <c r="F29" i="46"/>
  <c r="F28"/>
  <c r="F23"/>
  <c r="F10"/>
  <c r="F17"/>
  <c r="F16"/>
  <c r="F15"/>
  <c r="G15" s="1"/>
  <c r="F12"/>
  <c r="F11"/>
  <c r="C41" i="31"/>
  <c r="C40"/>
  <c r="G16"/>
  <c r="C46" i="101" l="1"/>
  <c r="C75" i="67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85" i="101" l="1"/>
  <c r="C44" i="90"/>
  <c r="C42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3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92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91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89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88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87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86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8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2" i="80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72" i="76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75" i="118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117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116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11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6" i="114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113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75" i="99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J76" i="1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H63" l="1"/>
  <c r="H76"/>
  <c r="H75"/>
  <c r="H74"/>
  <c r="H73"/>
  <c r="H72"/>
  <c r="H71"/>
  <c r="H70"/>
  <c r="H69"/>
  <c r="H68"/>
  <c r="H67"/>
  <c r="H66"/>
  <c r="H65"/>
  <c r="H64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F76" l="1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D76" l="1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AC74" i="121" l="1"/>
  <c r="AB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AD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A6"/>
  <c r="AA5"/>
  <c r="AA4"/>
  <c r="AD5" l="1"/>
  <c r="C8" i="98"/>
  <c r="AD7" i="121"/>
  <c r="C10" i="98"/>
  <c r="AD9" i="121"/>
  <c r="C12" i="98"/>
  <c r="AD11" i="121"/>
  <c r="C14" i="98"/>
  <c r="AD13" i="121"/>
  <c r="C16" i="98"/>
  <c r="AD15" i="121"/>
  <c r="C18" i="98"/>
  <c r="AD17" i="121"/>
  <c r="C20" i="98"/>
  <c r="AD19" i="121"/>
  <c r="C22" i="98"/>
  <c r="AD21" i="121"/>
  <c r="C24" i="98"/>
  <c r="AD23" i="121"/>
  <c r="C26" i="98"/>
  <c r="AD25" i="121"/>
  <c r="C28" i="98"/>
  <c r="AD27" i="121"/>
  <c r="C30" i="98"/>
  <c r="AD29" i="121"/>
  <c r="C32" i="98"/>
  <c r="AD31" i="121"/>
  <c r="C34" i="98"/>
  <c r="AD33" i="121"/>
  <c r="C36" i="98"/>
  <c r="AD35" i="121"/>
  <c r="C38" i="98"/>
  <c r="AD37" i="121"/>
  <c r="C40" i="98"/>
  <c r="AD39" i="121"/>
  <c r="C43" i="1" s="1"/>
  <c r="C42" i="98"/>
  <c r="AD41" i="121"/>
  <c r="C44" i="98"/>
  <c r="AD43" i="121"/>
  <c r="C46" i="98"/>
  <c r="AD45" i="121"/>
  <c r="C48" i="98"/>
  <c r="AD47" i="121"/>
  <c r="C50" i="98"/>
  <c r="AD49" i="121"/>
  <c r="C52" i="98"/>
  <c r="AD51" i="121"/>
  <c r="C54" i="98"/>
  <c r="AD53" i="121"/>
  <c r="C56" i="98"/>
  <c r="AD55" i="121"/>
  <c r="C58" i="98"/>
  <c r="AD57" i="121"/>
  <c r="C60" i="98"/>
  <c r="AD59" i="121"/>
  <c r="C62" i="98"/>
  <c r="AD61" i="121"/>
  <c r="C64" i="98"/>
  <c r="AD63" i="121"/>
  <c r="C66" i="98"/>
  <c r="AD65" i="121"/>
  <c r="C68" i="98"/>
  <c r="AD67" i="121"/>
  <c r="C70" i="98"/>
  <c r="AD69" i="121"/>
  <c r="C72" i="98"/>
  <c r="AD71" i="121"/>
  <c r="C74" i="98"/>
  <c r="AA74" i="121"/>
  <c r="C7" i="98"/>
  <c r="AD6" i="121"/>
  <c r="C9" i="98"/>
  <c r="AD8" i="121"/>
  <c r="C11" i="98"/>
  <c r="AD10" i="121"/>
  <c r="C13" i="98"/>
  <c r="AD12" i="121"/>
  <c r="C15" i="98"/>
  <c r="AD14" i="121"/>
  <c r="C17" i="98"/>
  <c r="AD16" i="121"/>
  <c r="C19" i="98"/>
  <c r="AD18" i="121"/>
  <c r="C21" i="98"/>
  <c r="AD20" i="121"/>
  <c r="C23" i="98"/>
  <c r="AD22" i="121"/>
  <c r="C25" i="98"/>
  <c r="AD24" i="121"/>
  <c r="C27" i="98"/>
  <c r="AD26" i="121"/>
  <c r="C29" i="98"/>
  <c r="AD28" i="121"/>
  <c r="C31" i="98"/>
  <c r="AD30" i="121"/>
  <c r="C33" i="98"/>
  <c r="AD32" i="121"/>
  <c r="C35" i="98"/>
  <c r="AD34" i="121"/>
  <c r="C37" i="98"/>
  <c r="AD36" i="121"/>
  <c r="C39" i="98"/>
  <c r="AD38" i="121"/>
  <c r="C41" i="98"/>
  <c r="AD40" i="121"/>
  <c r="C43" i="98"/>
  <c r="AD42" i="121"/>
  <c r="C45" i="98"/>
  <c r="AD44" i="121"/>
  <c r="C47" i="98"/>
  <c r="AD46" i="121"/>
  <c r="C49" i="98"/>
  <c r="AD48" i="121"/>
  <c r="C51" i="98"/>
  <c r="AD50" i="121"/>
  <c r="C53" i="98"/>
  <c r="AD52" i="121"/>
  <c r="C55" i="98"/>
  <c r="AD54" i="121"/>
  <c r="C57" i="98"/>
  <c r="AD56" i="121"/>
  <c r="C59" i="98"/>
  <c r="AD58" i="121"/>
  <c r="C61" i="98"/>
  <c r="AD60" i="121"/>
  <c r="C63" i="98"/>
  <c r="AD62" i="121"/>
  <c r="C65" i="98"/>
  <c r="AD64" i="121"/>
  <c r="C67" i="98"/>
  <c r="AD66" i="121"/>
  <c r="C69" i="98"/>
  <c r="AD68" i="121"/>
  <c r="C71" i="98"/>
  <c r="AD70" i="121"/>
  <c r="C73" i="98"/>
  <c r="AD72" i="121"/>
  <c r="C75" i="98"/>
  <c r="AD4" i="121"/>
  <c r="C74" i="1" l="1"/>
  <c r="C70"/>
  <c r="C66"/>
  <c r="C62"/>
  <c r="C58"/>
  <c r="C54"/>
  <c r="C50"/>
  <c r="C46"/>
  <c r="C42"/>
  <c r="C38"/>
  <c r="C34"/>
  <c r="C30"/>
  <c r="C24"/>
  <c r="C20"/>
  <c r="C16"/>
  <c r="C14"/>
  <c r="C12"/>
  <c r="C10"/>
  <c r="C75"/>
  <c r="C71"/>
  <c r="C67"/>
  <c r="C63"/>
  <c r="C59"/>
  <c r="C55"/>
  <c r="C51"/>
  <c r="C49"/>
  <c r="C47"/>
  <c r="C41"/>
  <c r="C39"/>
  <c r="C37"/>
  <c r="C35"/>
  <c r="C33"/>
  <c r="C31"/>
  <c r="C29"/>
  <c r="C27"/>
  <c r="C25"/>
  <c r="C23"/>
  <c r="C21"/>
  <c r="C19"/>
  <c r="C17"/>
  <c r="C15"/>
  <c r="C13"/>
  <c r="C11"/>
  <c r="C9"/>
  <c r="C76"/>
  <c r="C72"/>
  <c r="C68"/>
  <c r="C64"/>
  <c r="C60"/>
  <c r="C56"/>
  <c r="C52"/>
  <c r="C48"/>
  <c r="C44"/>
  <c r="C40"/>
  <c r="C36"/>
  <c r="C32"/>
  <c r="C28"/>
  <c r="C26"/>
  <c r="C22"/>
  <c r="C18"/>
  <c r="C73"/>
  <c r="C69"/>
  <c r="C65"/>
  <c r="C61"/>
  <c r="C57"/>
  <c r="C53"/>
  <c r="C45"/>
  <c r="AD74" i="121"/>
  <c r="C8" i="1"/>
  <c r="E16" i="81" l="1"/>
  <c r="R76" i="120"/>
  <c r="K76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G58" s="1"/>
  <c r="F57"/>
  <c r="G57" s="1"/>
  <c r="F56"/>
  <c r="G56" s="1"/>
  <c r="F55"/>
  <c r="G55" s="1"/>
  <c r="F54"/>
  <c r="G54" s="1"/>
  <c r="F53"/>
  <c r="G53" s="1"/>
  <c r="F52"/>
  <c r="G52" s="1"/>
  <c r="F51"/>
  <c r="G51" s="1"/>
  <c r="F50"/>
  <c r="G50" s="1"/>
  <c r="F49"/>
  <c r="G49" s="1"/>
  <c r="F48"/>
  <c r="G48" s="1"/>
  <c r="F47"/>
  <c r="G47" s="1"/>
  <c r="F46"/>
  <c r="G46" s="1"/>
  <c r="F45"/>
  <c r="G45" s="1"/>
  <c r="F44"/>
  <c r="G44" s="1"/>
  <c r="F43"/>
  <c r="G43" s="1"/>
  <c r="F42"/>
  <c r="G42" s="1"/>
  <c r="F41"/>
  <c r="G41" s="1"/>
  <c r="F40"/>
  <c r="G40" s="1"/>
  <c r="F39"/>
  <c r="G39" s="1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G19" s="1"/>
  <c r="F18"/>
  <c r="G18" s="1"/>
  <c r="F17"/>
  <c r="G17" s="1"/>
  <c r="F16"/>
  <c r="G16" s="1"/>
  <c r="F15"/>
  <c r="G15" s="1"/>
  <c r="F14"/>
  <c r="F13"/>
  <c r="F12"/>
  <c r="F11"/>
  <c r="F10"/>
  <c r="F9"/>
  <c r="F8"/>
  <c r="F7"/>
  <c r="C76"/>
  <c r="D5"/>
  <c r="E5" s="1"/>
  <c r="F5" s="1"/>
  <c r="G5" s="1"/>
  <c r="H5" s="1"/>
  <c r="I5" s="1"/>
  <c r="J5" s="1"/>
  <c r="K5" s="1"/>
  <c r="L5" s="1"/>
  <c r="M5" s="1"/>
  <c r="N5" s="1"/>
  <c r="O5" s="1"/>
  <c r="P5" s="1"/>
  <c r="Q5" s="1"/>
  <c r="R5" s="1"/>
  <c r="S5" s="1"/>
  <c r="T5" s="1"/>
  <c r="U5" s="1"/>
  <c r="V5" s="1"/>
  <c r="R76" i="119"/>
  <c r="K76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G39" s="1"/>
  <c r="F38"/>
  <c r="G38" s="1"/>
  <c r="F37"/>
  <c r="G37" s="1"/>
  <c r="F36"/>
  <c r="G36" s="1"/>
  <c r="F35"/>
  <c r="G35" s="1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D5"/>
  <c r="E5" s="1"/>
  <c r="F5" s="1"/>
  <c r="G5" s="1"/>
  <c r="H5" s="1"/>
  <c r="I5" s="1"/>
  <c r="J5" s="1"/>
  <c r="K5" s="1"/>
  <c r="L5" s="1"/>
  <c r="M5" s="1"/>
  <c r="N5" s="1"/>
  <c r="O5" s="1"/>
  <c r="P5" s="1"/>
  <c r="Q5" s="1"/>
  <c r="R5" s="1"/>
  <c r="S5" s="1"/>
  <c r="T5" s="1"/>
  <c r="U5" s="1"/>
  <c r="V5" s="1"/>
  <c r="R76" i="118"/>
  <c r="K76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G39" s="1"/>
  <c r="F38"/>
  <c r="G38" s="1"/>
  <c r="F37"/>
  <c r="G37" s="1"/>
  <c r="F36"/>
  <c r="G36" s="1"/>
  <c r="F35"/>
  <c r="G35" s="1"/>
  <c r="F34"/>
  <c r="F33"/>
  <c r="F32"/>
  <c r="G32" s="1"/>
  <c r="F31"/>
  <c r="G31" s="1"/>
  <c r="F30"/>
  <c r="G30" s="1"/>
  <c r="F29"/>
  <c r="G29" s="1"/>
  <c r="F28"/>
  <c r="G28" s="1"/>
  <c r="F27"/>
  <c r="G27" s="1"/>
  <c r="F26"/>
  <c r="F25"/>
  <c r="F24"/>
  <c r="G24" s="1"/>
  <c r="F23"/>
  <c r="G23" s="1"/>
  <c r="F22"/>
  <c r="G22" s="1"/>
  <c r="F21"/>
  <c r="G21" s="1"/>
  <c r="F20"/>
  <c r="G20" s="1"/>
  <c r="F19"/>
  <c r="G19" s="1"/>
  <c r="F18"/>
  <c r="F17"/>
  <c r="F16"/>
  <c r="G16" s="1"/>
  <c r="F15"/>
  <c r="G15" s="1"/>
  <c r="F14"/>
  <c r="G14" s="1"/>
  <c r="F13"/>
  <c r="G13" s="1"/>
  <c r="F12"/>
  <c r="G12" s="1"/>
  <c r="F11"/>
  <c r="F10"/>
  <c r="F9"/>
  <c r="F8"/>
  <c r="F7"/>
  <c r="D5"/>
  <c r="E5" s="1"/>
  <c r="F5" s="1"/>
  <c r="G5" s="1"/>
  <c r="H5" s="1"/>
  <c r="I5" s="1"/>
  <c r="J5" s="1"/>
  <c r="K5" s="1"/>
  <c r="L5" s="1"/>
  <c r="M5" s="1"/>
  <c r="N5" s="1"/>
  <c r="O5" s="1"/>
  <c r="P5" s="1"/>
  <c r="Q5" s="1"/>
  <c r="R5" s="1"/>
  <c r="S5" s="1"/>
  <c r="T5" s="1"/>
  <c r="U5" s="1"/>
  <c r="V5" s="1"/>
  <c r="C76" i="11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G39" s="1"/>
  <c r="F38"/>
  <c r="G38" s="1"/>
  <c r="F37"/>
  <c r="G37" s="1"/>
  <c r="F36"/>
  <c r="G36" s="1"/>
  <c r="F35"/>
  <c r="F34"/>
  <c r="F33"/>
  <c r="F32"/>
  <c r="F31"/>
  <c r="F30"/>
  <c r="F29"/>
  <c r="F28"/>
  <c r="F27"/>
  <c r="F26"/>
  <c r="F25"/>
  <c r="F24"/>
  <c r="R76"/>
  <c r="K76"/>
  <c r="F23"/>
  <c r="F22"/>
  <c r="F21"/>
  <c r="F20"/>
  <c r="F19"/>
  <c r="F18"/>
  <c r="F17"/>
  <c r="F16"/>
  <c r="F15"/>
  <c r="F14"/>
  <c r="F13"/>
  <c r="F12"/>
  <c r="F11"/>
  <c r="F10"/>
  <c r="F9"/>
  <c r="F8"/>
  <c r="F7"/>
  <c r="D5"/>
  <c r="E5" s="1"/>
  <c r="F5" s="1"/>
  <c r="G5" s="1"/>
  <c r="H5" s="1"/>
  <c r="I5" s="1"/>
  <c r="J5" s="1"/>
  <c r="K5" s="1"/>
  <c r="L5" s="1"/>
  <c r="M5" s="1"/>
  <c r="N5" s="1"/>
  <c r="O5" s="1"/>
  <c r="P5" s="1"/>
  <c r="Q5" s="1"/>
  <c r="R5" s="1"/>
  <c r="S5" s="1"/>
  <c r="T5" s="1"/>
  <c r="U5" s="1"/>
  <c r="V5" s="1"/>
  <c r="K76" i="116" s="1"/>
  <c r="C76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G39" s="1"/>
  <c r="F38"/>
  <c r="G38" s="1"/>
  <c r="F37"/>
  <c r="G37" s="1"/>
  <c r="F36"/>
  <c r="F35"/>
  <c r="F34"/>
  <c r="F33"/>
  <c r="F32"/>
  <c r="F31"/>
  <c r="F30"/>
  <c r="F29"/>
  <c r="F28"/>
  <c r="F27"/>
  <c r="F26"/>
  <c r="F25"/>
  <c r="F24"/>
  <c r="R76"/>
  <c r="F23"/>
  <c r="F22"/>
  <c r="F21"/>
  <c r="F20"/>
  <c r="F19"/>
  <c r="F18"/>
  <c r="F17"/>
  <c r="F16"/>
  <c r="F15"/>
  <c r="F14"/>
  <c r="F13"/>
  <c r="F12"/>
  <c r="F11"/>
  <c r="F10"/>
  <c r="F9"/>
  <c r="F8"/>
  <c r="F7"/>
  <c r="D5"/>
  <c r="E5" s="1"/>
  <c r="F5" s="1"/>
  <c r="G5" s="1"/>
  <c r="H5" s="1"/>
  <c r="I5" s="1"/>
  <c r="J5" s="1"/>
  <c r="K5" s="1"/>
  <c r="L5" s="1"/>
  <c r="M5" s="1"/>
  <c r="N5" s="1"/>
  <c r="O5" s="1"/>
  <c r="P5" s="1"/>
  <c r="Q5" s="1"/>
  <c r="R5" s="1"/>
  <c r="S5" s="1"/>
  <c r="T5" s="1"/>
  <c r="U5" s="1"/>
  <c r="V5" s="1"/>
  <c r="K76" i="115" s="1"/>
  <c r="F76"/>
  <c r="F75"/>
  <c r="F74"/>
  <c r="G74" s="1"/>
  <c r="F73"/>
  <c r="G73" s="1"/>
  <c r="F72"/>
  <c r="G72" s="1"/>
  <c r="F71"/>
  <c r="F70"/>
  <c r="G70" s="1"/>
  <c r="F69"/>
  <c r="G69" s="1"/>
  <c r="F68"/>
  <c r="G68" s="1"/>
  <c r="F67"/>
  <c r="F66"/>
  <c r="G66" s="1"/>
  <c r="F65"/>
  <c r="G65" s="1"/>
  <c r="F64"/>
  <c r="G64" s="1"/>
  <c r="F63"/>
  <c r="G63" s="1"/>
  <c r="F62"/>
  <c r="G62" s="1"/>
  <c r="F61"/>
  <c r="G61" s="1"/>
  <c r="F60"/>
  <c r="G60" s="1"/>
  <c r="F59"/>
  <c r="F58"/>
  <c r="G58" s="1"/>
  <c r="F57"/>
  <c r="G57" s="1"/>
  <c r="F56"/>
  <c r="G56" s="1"/>
  <c r="F55"/>
  <c r="G55" s="1"/>
  <c r="F54"/>
  <c r="G54" s="1"/>
  <c r="F53"/>
  <c r="G53" s="1"/>
  <c r="F52"/>
  <c r="G52" s="1"/>
  <c r="F51"/>
  <c r="G51" s="1"/>
  <c r="F50"/>
  <c r="F49"/>
  <c r="G49" s="1"/>
  <c r="F48"/>
  <c r="F47"/>
  <c r="F46"/>
  <c r="F45"/>
  <c r="F44"/>
  <c r="F43"/>
  <c r="F42"/>
  <c r="F41"/>
  <c r="F40"/>
  <c r="G40" s="1"/>
  <c r="F39"/>
  <c r="F38"/>
  <c r="G38" s="1"/>
  <c r="F37"/>
  <c r="G37" s="1"/>
  <c r="F36"/>
  <c r="G36" s="1"/>
  <c r="F35"/>
  <c r="G35" s="1"/>
  <c r="F34"/>
  <c r="G34" s="1"/>
  <c r="F33"/>
  <c r="G33" s="1"/>
  <c r="F32"/>
  <c r="G32" s="1"/>
  <c r="F31"/>
  <c r="F30"/>
  <c r="G30" s="1"/>
  <c r="F29"/>
  <c r="G29" s="1"/>
  <c r="F28"/>
  <c r="G28" s="1"/>
  <c r="F27"/>
  <c r="G27" s="1"/>
  <c r="F26"/>
  <c r="G26" s="1"/>
  <c r="F25"/>
  <c r="G25" s="1"/>
  <c r="F24"/>
  <c r="G24" s="1"/>
  <c r="R76"/>
  <c r="F23"/>
  <c r="F22"/>
  <c r="G22" s="1"/>
  <c r="F21"/>
  <c r="G21" s="1"/>
  <c r="F20"/>
  <c r="G20" s="1"/>
  <c r="F19"/>
  <c r="F18"/>
  <c r="G18" s="1"/>
  <c r="F17"/>
  <c r="G17" s="1"/>
  <c r="F16"/>
  <c r="G16" s="1"/>
  <c r="F15"/>
  <c r="G15" s="1"/>
  <c r="F14"/>
  <c r="G14" s="1"/>
  <c r="F13"/>
  <c r="G13" s="1"/>
  <c r="F12"/>
  <c r="G12" s="1"/>
  <c r="F11"/>
  <c r="F10"/>
  <c r="G10" s="1"/>
  <c r="F9"/>
  <c r="G9" s="1"/>
  <c r="F8"/>
  <c r="G8" s="1"/>
  <c r="F7"/>
  <c r="D5"/>
  <c r="E5" s="1"/>
  <c r="F5" s="1"/>
  <c r="G5" s="1"/>
  <c r="H5" s="1"/>
  <c r="I5" s="1"/>
  <c r="J5" s="1"/>
  <c r="K5" s="1"/>
  <c r="L5" s="1"/>
  <c r="M5" s="1"/>
  <c r="N5" s="1"/>
  <c r="O5" s="1"/>
  <c r="P5" s="1"/>
  <c r="Q5" s="1"/>
  <c r="R5" s="1"/>
  <c r="S5" s="1"/>
  <c r="T5" s="1"/>
  <c r="U5" s="1"/>
  <c r="V5" s="1"/>
  <c r="K77" i="114" s="1"/>
  <c r="R77"/>
  <c r="F76"/>
  <c r="G76" s="1"/>
  <c r="F77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G39" s="1"/>
  <c r="F38"/>
  <c r="F37"/>
  <c r="G37" s="1"/>
  <c r="F36"/>
  <c r="G36" s="1"/>
  <c r="F35"/>
  <c r="F34"/>
  <c r="G34" s="1"/>
  <c r="F33"/>
  <c r="G33" s="1"/>
  <c r="F32"/>
  <c r="G32" s="1"/>
  <c r="F31"/>
  <c r="F30"/>
  <c r="G30" s="1"/>
  <c r="F29"/>
  <c r="G29" s="1"/>
  <c r="F28"/>
  <c r="G28" s="1"/>
  <c r="F27"/>
  <c r="G27" s="1"/>
  <c r="F26"/>
  <c r="G26" s="1"/>
  <c r="F25"/>
  <c r="G25" s="1"/>
  <c r="F24"/>
  <c r="G24" s="1"/>
  <c r="F23"/>
  <c r="F22"/>
  <c r="G22" s="1"/>
  <c r="F21"/>
  <c r="G21" s="1"/>
  <c r="F20"/>
  <c r="G20" s="1"/>
  <c r="F19"/>
  <c r="F18"/>
  <c r="F17"/>
  <c r="G17" s="1"/>
  <c r="F16"/>
  <c r="G16" s="1"/>
  <c r="F15"/>
  <c r="G15" s="1"/>
  <c r="F14"/>
  <c r="G14" s="1"/>
  <c r="F13"/>
  <c r="G13" s="1"/>
  <c r="F12"/>
  <c r="G12" s="1"/>
  <c r="F11"/>
  <c r="F10"/>
  <c r="F9"/>
  <c r="F8"/>
  <c r="F7"/>
  <c r="D5"/>
  <c r="E5" s="1"/>
  <c r="F5" s="1"/>
  <c r="G5" s="1"/>
  <c r="H5" s="1"/>
  <c r="I5" s="1"/>
  <c r="J5" s="1"/>
  <c r="K5" s="1"/>
  <c r="L5" s="1"/>
  <c r="M5" s="1"/>
  <c r="N5" s="1"/>
  <c r="O5" s="1"/>
  <c r="P5" s="1"/>
  <c r="Q5" s="1"/>
  <c r="R5" s="1"/>
  <c r="S5" s="1"/>
  <c r="T5" s="1"/>
  <c r="U5" s="1"/>
  <c r="V5" s="1"/>
  <c r="K76" i="113" s="1"/>
  <c r="F45"/>
  <c r="G45" s="1"/>
  <c r="F42"/>
  <c r="F23"/>
  <c r="G23" s="1"/>
  <c r="F76"/>
  <c r="F75"/>
  <c r="G75" s="1"/>
  <c r="F74"/>
  <c r="G74" s="1"/>
  <c r="F73"/>
  <c r="G73" s="1"/>
  <c r="F72"/>
  <c r="F71"/>
  <c r="G71" s="1"/>
  <c r="F70"/>
  <c r="G70" s="1"/>
  <c r="F69"/>
  <c r="G69" s="1"/>
  <c r="F68"/>
  <c r="G68" s="1"/>
  <c r="F67"/>
  <c r="G67" s="1"/>
  <c r="F66"/>
  <c r="G66" s="1"/>
  <c r="F65"/>
  <c r="G65" s="1"/>
  <c r="F64"/>
  <c r="G64" s="1"/>
  <c r="F63"/>
  <c r="G63" s="1"/>
  <c r="F62"/>
  <c r="F61"/>
  <c r="G61" s="1"/>
  <c r="F60"/>
  <c r="G60" s="1"/>
  <c r="F59"/>
  <c r="G59" s="1"/>
  <c r="F58"/>
  <c r="G58" s="1"/>
  <c r="F57"/>
  <c r="G57" s="1"/>
  <c r="F56"/>
  <c r="G56" s="1"/>
  <c r="F55"/>
  <c r="G55" s="1"/>
  <c r="F54"/>
  <c r="G54" s="1"/>
  <c r="F53"/>
  <c r="G53" s="1"/>
  <c r="F52"/>
  <c r="G52" s="1"/>
  <c r="F51"/>
  <c r="G51" s="1"/>
  <c r="F50"/>
  <c r="G50" s="1"/>
  <c r="F49"/>
  <c r="G49" s="1"/>
  <c r="F48"/>
  <c r="F47"/>
  <c r="G47" s="1"/>
  <c r="F46"/>
  <c r="G46" s="1"/>
  <c r="F44"/>
  <c r="F43"/>
  <c r="G43" s="1"/>
  <c r="F41"/>
  <c r="G41" s="1"/>
  <c r="F40"/>
  <c r="F39"/>
  <c r="G39" s="1"/>
  <c r="F38"/>
  <c r="F37"/>
  <c r="G37" s="1"/>
  <c r="F36"/>
  <c r="F35"/>
  <c r="G35" s="1"/>
  <c r="F34"/>
  <c r="F33"/>
  <c r="G33" s="1"/>
  <c r="F32"/>
  <c r="F31"/>
  <c r="G31" s="1"/>
  <c r="F30"/>
  <c r="F29"/>
  <c r="G29" s="1"/>
  <c r="F28"/>
  <c r="F27"/>
  <c r="G27" s="1"/>
  <c r="F26"/>
  <c r="F25"/>
  <c r="G25" s="1"/>
  <c r="F24"/>
  <c r="F22"/>
  <c r="F21"/>
  <c r="F20"/>
  <c r="G20" s="1"/>
  <c r="F19"/>
  <c r="G19" s="1"/>
  <c r="F18"/>
  <c r="F17"/>
  <c r="G17" s="1"/>
  <c r="F16"/>
  <c r="G16" s="1"/>
  <c r="F15"/>
  <c r="G15" s="1"/>
  <c r="F14"/>
  <c r="F13"/>
  <c r="G13" s="1"/>
  <c r="F12"/>
  <c r="G12" s="1"/>
  <c r="F11"/>
  <c r="G11" s="1"/>
  <c r="F10"/>
  <c r="F9"/>
  <c r="G9" s="1"/>
  <c r="F8"/>
  <c r="G8" s="1"/>
  <c r="F7"/>
  <c r="R76"/>
  <c r="G72"/>
  <c r="G62"/>
  <c r="G48"/>
  <c r="G21"/>
  <c r="C76"/>
  <c r="D5"/>
  <c r="E5" s="1"/>
  <c r="F5" s="1"/>
  <c r="G5" s="1"/>
  <c r="H5" s="1"/>
  <c r="I5" s="1"/>
  <c r="J5" s="1"/>
  <c r="K5" s="1"/>
  <c r="L5" s="1"/>
  <c r="M5" s="1"/>
  <c r="N5" s="1"/>
  <c r="O5" s="1"/>
  <c r="P5" s="1"/>
  <c r="Q5" s="1"/>
  <c r="R5" s="1"/>
  <c r="S5" s="1"/>
  <c r="T5" s="1"/>
  <c r="U5" s="1"/>
  <c r="V5" s="1"/>
  <c r="G42" l="1"/>
  <c r="G44"/>
  <c r="G19" i="114"/>
  <c r="G35"/>
  <c r="C76" i="115"/>
  <c r="G24" i="113"/>
  <c r="G28"/>
  <c r="G32"/>
  <c r="G36"/>
  <c r="G40"/>
  <c r="G18" i="114"/>
  <c r="G67" i="115"/>
  <c r="G18" i="118"/>
  <c r="G26"/>
  <c r="G34"/>
  <c r="G38" i="114"/>
  <c r="C77"/>
  <c r="G31"/>
  <c r="G50" i="115"/>
  <c r="G11"/>
  <c r="G19"/>
  <c r="G31"/>
  <c r="G39"/>
  <c r="G10" i="113"/>
  <c r="G14"/>
  <c r="G18"/>
  <c r="G22"/>
  <c r="G26"/>
  <c r="G30"/>
  <c r="G34"/>
  <c r="G38"/>
  <c r="G71" i="115"/>
  <c r="G17" i="118"/>
  <c r="G25"/>
  <c r="G33"/>
  <c r="G7" i="113"/>
  <c r="G59" i="115"/>
  <c r="G75"/>
  <c r="G7" i="120"/>
  <c r="G8"/>
  <c r="G9"/>
  <c r="G10"/>
  <c r="G11"/>
  <c r="G12"/>
  <c r="G13"/>
  <c r="G14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59"/>
  <c r="G60"/>
  <c r="G61"/>
  <c r="G62"/>
  <c r="G63"/>
  <c r="G64"/>
  <c r="G65"/>
  <c r="G66"/>
  <c r="G67"/>
  <c r="G68"/>
  <c r="G69"/>
  <c r="G70"/>
  <c r="G71"/>
  <c r="G72"/>
  <c r="G73"/>
  <c r="G74"/>
  <c r="G75"/>
  <c r="C76" i="119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40"/>
  <c r="G41"/>
  <c r="G43"/>
  <c r="G45"/>
  <c r="G42"/>
  <c r="G44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8" i="118"/>
  <c r="G10"/>
  <c r="C76"/>
  <c r="G7"/>
  <c r="G9"/>
  <c r="G11"/>
  <c r="G46"/>
  <c r="G42"/>
  <c r="G44"/>
  <c r="G40"/>
  <c r="G41"/>
  <c r="G43"/>
  <c r="G45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43" i="117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40"/>
  <c r="G41"/>
  <c r="G42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" i="116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40"/>
  <c r="G41"/>
  <c r="G43"/>
  <c r="G42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" i="115"/>
  <c r="G23"/>
  <c r="G41"/>
  <c r="G42"/>
  <c r="G43"/>
  <c r="G44"/>
  <c r="G45"/>
  <c r="G46"/>
  <c r="G47"/>
  <c r="G48"/>
  <c r="G8" i="114"/>
  <c r="G10"/>
  <c r="G7"/>
  <c r="G9"/>
  <c r="G11"/>
  <c r="G42"/>
  <c r="G44"/>
  <c r="G45"/>
  <c r="G23"/>
  <c r="G40"/>
  <c r="G41"/>
  <c r="G43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 i="113" l="1"/>
  <c r="G77" i="114"/>
  <c r="G76" i="120"/>
  <c r="G76" i="119"/>
  <c r="G76" i="118"/>
  <c r="G76" i="117"/>
  <c r="G76" i="116"/>
  <c r="G76" i="115"/>
  <c r="C3" i="97"/>
  <c r="D3" s="1"/>
  <c r="E3" s="1"/>
  <c r="F3" s="1"/>
  <c r="C73"/>
  <c r="D73"/>
  <c r="E73"/>
  <c r="F73"/>
  <c r="U76" i="90" l="1"/>
  <c r="U78" s="1"/>
  <c r="L76"/>
  <c r="L78" s="1"/>
  <c r="Q76" i="88"/>
  <c r="Q76" i="89"/>
  <c r="Q76" i="91"/>
  <c r="Q76" i="92"/>
  <c r="Q76" i="87"/>
  <c r="J76" i="88"/>
  <c r="J76" i="89"/>
  <c r="J76" i="91"/>
  <c r="J76" i="92"/>
  <c r="J76" i="87"/>
  <c r="Q76" i="86"/>
  <c r="J76"/>
  <c r="D5" i="100" l="1"/>
  <c r="G76" i="83"/>
  <c r="H76" s="1"/>
  <c r="E5" i="100" l="1"/>
  <c r="F5" s="1"/>
  <c r="G5" s="1"/>
  <c r="H5" s="1"/>
  <c r="I5" s="1"/>
  <c r="J5" s="1"/>
  <c r="K5" s="1"/>
  <c r="L5" s="1"/>
  <c r="I76" i="83"/>
  <c r="N76" s="1"/>
  <c r="M76"/>
  <c r="G61" i="31" l="1"/>
  <c r="Q69" l="1"/>
  <c r="Q70" s="1"/>
  <c r="Q75" i="67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L72" i="76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Q76" i="67" l="1"/>
  <c r="I76"/>
  <c r="E78" i="81" s="1"/>
  <c r="Q76" i="85" s="1"/>
  <c r="I69" i="31" l="1"/>
  <c r="E77" i="81"/>
  <c r="J76" i="85"/>
  <c r="C35" i="46" l="1"/>
  <c r="C29"/>
  <c r="C28"/>
  <c r="C23"/>
  <c r="C16"/>
  <c r="C17"/>
  <c r="C11"/>
  <c r="C12"/>
  <c r="C13"/>
  <c r="C14"/>
  <c r="C10"/>
  <c r="C67" i="31"/>
  <c r="C66"/>
  <c r="C65"/>
  <c r="C64"/>
  <c r="C63"/>
  <c r="C62"/>
  <c r="C59"/>
  <c r="C58"/>
  <c r="C57"/>
  <c r="C56"/>
  <c r="C55"/>
  <c r="C54"/>
  <c r="C53"/>
  <c r="C52"/>
  <c r="C51"/>
  <c r="C50"/>
  <c r="C49"/>
  <c r="C48"/>
  <c r="C47"/>
  <c r="C46"/>
  <c r="C42"/>
  <c r="C43"/>
  <c r="C44"/>
  <c r="C68"/>
  <c r="C13"/>
  <c r="C14"/>
  <c r="C15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9"/>
  <c r="C12"/>
  <c r="B9" i="5"/>
  <c r="B8"/>
  <c r="H131" i="108"/>
  <c r="H127"/>
  <c r="C9" i="31" s="1"/>
  <c r="H107" i="108"/>
  <c r="H102"/>
  <c r="H50"/>
  <c r="H48"/>
  <c r="H41"/>
  <c r="H39"/>
  <c r="H30"/>
  <c r="H13"/>
  <c r="G11"/>
  <c r="C69" i="31" l="1"/>
  <c r="H132" i="108"/>
  <c r="AP54" i="13" l="1"/>
  <c r="L54"/>
  <c r="J54"/>
  <c r="D6" i="96" l="1"/>
  <c r="E6" s="1"/>
  <c r="F6" s="1"/>
  <c r="G6" s="1"/>
  <c r="H6" s="1"/>
  <c r="I6" s="1"/>
  <c r="J6" s="1"/>
  <c r="K6" s="1"/>
  <c r="L6" s="1"/>
  <c r="M6" s="1"/>
  <c r="N6" s="1"/>
  <c r="I76" l="1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7" l="1"/>
  <c r="K76" l="1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7" l="1"/>
  <c r="J77"/>
  <c r="C77"/>
  <c r="C84" i="101" l="1"/>
  <c r="D10"/>
  <c r="E10" s="1"/>
  <c r="F10" s="1"/>
  <c r="G10" s="1"/>
  <c r="H10" s="1"/>
  <c r="I10" l="1"/>
  <c r="J10" s="1"/>
  <c r="K10" s="1"/>
  <c r="L10" s="1"/>
  <c r="M10" s="1"/>
  <c r="N10" s="1"/>
  <c r="O10" s="1"/>
  <c r="P10" s="1"/>
  <c r="Q10" s="1"/>
  <c r="R10" s="1"/>
  <c r="S10" s="1"/>
  <c r="C86"/>
  <c r="E75" i="90" l="1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3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D76"/>
  <c r="D5"/>
  <c r="E5" s="1"/>
  <c r="F5" s="1"/>
  <c r="G5" s="1"/>
  <c r="H5" s="1"/>
  <c r="I5" s="1"/>
  <c r="M5" i="100"/>
  <c r="N5" s="1"/>
  <c r="O5" s="1"/>
  <c r="P5" s="1"/>
  <c r="Q5" s="1"/>
  <c r="R5" s="1"/>
  <c r="S5" s="1"/>
  <c r="T5" s="1"/>
  <c r="U5" s="1"/>
  <c r="V5" s="1"/>
  <c r="W5" s="1"/>
  <c r="X5" s="1"/>
  <c r="Y5" s="1"/>
  <c r="Z5" s="1"/>
  <c r="AA5" s="1"/>
  <c r="AB5" s="1"/>
  <c r="AC5" s="1"/>
  <c r="AD5" s="1"/>
  <c r="AE5" s="1"/>
  <c r="E44" i="90" l="1"/>
  <c r="E42"/>
  <c r="C76" i="99"/>
  <c r="F75"/>
  <c r="G75" s="1"/>
  <c r="F74"/>
  <c r="G74" s="1"/>
  <c r="F73"/>
  <c r="G73" s="1"/>
  <c r="F72"/>
  <c r="G72" s="1"/>
  <c r="F71"/>
  <c r="G71" s="1"/>
  <c r="F70"/>
  <c r="G70" s="1"/>
  <c r="F69"/>
  <c r="G69" s="1"/>
  <c r="F68"/>
  <c r="G68" s="1"/>
  <c r="F67"/>
  <c r="G67" s="1"/>
  <c r="F66"/>
  <c r="G66" s="1"/>
  <c r="F65"/>
  <c r="G65" s="1"/>
  <c r="F64"/>
  <c r="G64" s="1"/>
  <c r="F63"/>
  <c r="G63" s="1"/>
  <c r="F62"/>
  <c r="G62" s="1"/>
  <c r="F61"/>
  <c r="G61" s="1"/>
  <c r="F60"/>
  <c r="G60" s="1"/>
  <c r="F59"/>
  <c r="G59" s="1"/>
  <c r="F58"/>
  <c r="G58" s="1"/>
  <c r="F57"/>
  <c r="G57" s="1"/>
  <c r="F56"/>
  <c r="G56" s="1"/>
  <c r="F55"/>
  <c r="G55" s="1"/>
  <c r="F54"/>
  <c r="G54" s="1"/>
  <c r="F53"/>
  <c r="G53" s="1"/>
  <c r="F52"/>
  <c r="G52" s="1"/>
  <c r="F51"/>
  <c r="G51" s="1"/>
  <c r="F50"/>
  <c r="G50" s="1"/>
  <c r="F49"/>
  <c r="G49" s="1"/>
  <c r="F48"/>
  <c r="G48" s="1"/>
  <c r="F47"/>
  <c r="G47" s="1"/>
  <c r="F46"/>
  <c r="G46" s="1"/>
  <c r="F45"/>
  <c r="G45" s="1"/>
  <c r="F44"/>
  <c r="G44" s="1"/>
  <c r="F43"/>
  <c r="G43" s="1"/>
  <c r="F42"/>
  <c r="G42" s="1"/>
  <c r="F41"/>
  <c r="G41" s="1"/>
  <c r="F40"/>
  <c r="G40" s="1"/>
  <c r="F39"/>
  <c r="G39" s="1"/>
  <c r="F38"/>
  <c r="G38" s="1"/>
  <c r="F37"/>
  <c r="G37" s="1"/>
  <c r="F36"/>
  <c r="G36" s="1"/>
  <c r="F35"/>
  <c r="G35" s="1"/>
  <c r="F34"/>
  <c r="G34" s="1"/>
  <c r="F33"/>
  <c r="G33" s="1"/>
  <c r="F32"/>
  <c r="G32" s="1"/>
  <c r="F31"/>
  <c r="G31" s="1"/>
  <c r="F30"/>
  <c r="G30" s="1"/>
  <c r="F29"/>
  <c r="G29" s="1"/>
  <c r="F28"/>
  <c r="G28" s="1"/>
  <c r="F27"/>
  <c r="G27" s="1"/>
  <c r="F26"/>
  <c r="G26" s="1"/>
  <c r="F25"/>
  <c r="G25" s="1"/>
  <c r="F24"/>
  <c r="G24" s="1"/>
  <c r="F23"/>
  <c r="G23" s="1"/>
  <c r="F22"/>
  <c r="G22" s="1"/>
  <c r="F21"/>
  <c r="G21" s="1"/>
  <c r="F20"/>
  <c r="G20" s="1"/>
  <c r="F19"/>
  <c r="G19" s="1"/>
  <c r="F18"/>
  <c r="G18" s="1"/>
  <c r="F17"/>
  <c r="G17" s="1"/>
  <c r="F16"/>
  <c r="G16" s="1"/>
  <c r="F15"/>
  <c r="G15" s="1"/>
  <c r="F14"/>
  <c r="G14" s="1"/>
  <c r="F13"/>
  <c r="G13" s="1"/>
  <c r="F12"/>
  <c r="G12" s="1"/>
  <c r="F11"/>
  <c r="G11" s="1"/>
  <c r="F10"/>
  <c r="G10" s="1"/>
  <c r="F9"/>
  <c r="G9" s="1"/>
  <c r="F8"/>
  <c r="G8" s="1"/>
  <c r="F7"/>
  <c r="G7" s="1"/>
  <c r="D5"/>
  <c r="E5" s="1"/>
  <c r="F5" s="1"/>
  <c r="G5" s="1"/>
  <c r="H5" s="1"/>
  <c r="I5" s="1"/>
  <c r="J5" s="1"/>
  <c r="K5" s="1"/>
  <c r="L5" s="1"/>
  <c r="M5" s="1"/>
  <c r="N5" s="1"/>
  <c r="F45" i="98"/>
  <c r="G45" s="1"/>
  <c r="F42"/>
  <c r="G42" s="1"/>
  <c r="F23"/>
  <c r="G23" s="1"/>
  <c r="F75"/>
  <c r="G75" s="1"/>
  <c r="F74"/>
  <c r="G74" s="1"/>
  <c r="F73"/>
  <c r="G73" s="1"/>
  <c r="F72"/>
  <c r="G72" s="1"/>
  <c r="F71"/>
  <c r="G71" s="1"/>
  <c r="F70"/>
  <c r="G70" s="1"/>
  <c r="F69"/>
  <c r="G69" s="1"/>
  <c r="F68"/>
  <c r="G68" s="1"/>
  <c r="F67"/>
  <c r="G67" s="1"/>
  <c r="F66"/>
  <c r="G66" s="1"/>
  <c r="F65"/>
  <c r="G65" s="1"/>
  <c r="F64"/>
  <c r="G64" s="1"/>
  <c r="F63"/>
  <c r="G63" s="1"/>
  <c r="F62"/>
  <c r="G62" s="1"/>
  <c r="F61"/>
  <c r="G61" s="1"/>
  <c r="F60"/>
  <c r="G60" s="1"/>
  <c r="F59"/>
  <c r="G59" s="1"/>
  <c r="F58"/>
  <c r="G58" s="1"/>
  <c r="F57"/>
  <c r="G57" s="1"/>
  <c r="F56"/>
  <c r="G56" s="1"/>
  <c r="F55"/>
  <c r="G55" s="1"/>
  <c r="F54"/>
  <c r="G54" s="1"/>
  <c r="F53"/>
  <c r="G53" s="1"/>
  <c r="F52"/>
  <c r="G52" s="1"/>
  <c r="F51"/>
  <c r="G51" s="1"/>
  <c r="F50"/>
  <c r="G50" s="1"/>
  <c r="F49"/>
  <c r="G49" s="1"/>
  <c r="F48"/>
  <c r="G48" s="1"/>
  <c r="F47"/>
  <c r="G47" s="1"/>
  <c r="F46"/>
  <c r="G46" s="1"/>
  <c r="F44"/>
  <c r="G44" s="1"/>
  <c r="F43"/>
  <c r="G43" s="1"/>
  <c r="F41"/>
  <c r="G41" s="1"/>
  <c r="F40"/>
  <c r="G40" s="1"/>
  <c r="F39"/>
  <c r="G39" s="1"/>
  <c r="F38"/>
  <c r="G38" s="1"/>
  <c r="F37"/>
  <c r="G37" s="1"/>
  <c r="F36"/>
  <c r="G36" s="1"/>
  <c r="F35"/>
  <c r="G35" s="1"/>
  <c r="F34"/>
  <c r="G34" s="1"/>
  <c r="F33"/>
  <c r="G33" s="1"/>
  <c r="F32"/>
  <c r="G32" s="1"/>
  <c r="F31"/>
  <c r="G31" s="1"/>
  <c r="F30"/>
  <c r="G30" s="1"/>
  <c r="F29"/>
  <c r="G29" s="1"/>
  <c r="F28"/>
  <c r="G28" s="1"/>
  <c r="F27"/>
  <c r="G27" s="1"/>
  <c r="F26"/>
  <c r="G26" s="1"/>
  <c r="F25"/>
  <c r="G25" s="1"/>
  <c r="F24"/>
  <c r="G24" s="1"/>
  <c r="F22"/>
  <c r="G22" s="1"/>
  <c r="F21"/>
  <c r="G21" s="1"/>
  <c r="F20"/>
  <c r="G20" s="1"/>
  <c r="F19"/>
  <c r="G19" s="1"/>
  <c r="F18"/>
  <c r="G18" s="1"/>
  <c r="F17"/>
  <c r="G17" s="1"/>
  <c r="F16"/>
  <c r="G16" s="1"/>
  <c r="F15"/>
  <c r="G15" s="1"/>
  <c r="F14"/>
  <c r="G14" s="1"/>
  <c r="F13"/>
  <c r="G13" s="1"/>
  <c r="F12"/>
  <c r="G12" s="1"/>
  <c r="F11"/>
  <c r="G11" s="1"/>
  <c r="F10"/>
  <c r="G10" s="1"/>
  <c r="F9"/>
  <c r="G9" s="1"/>
  <c r="F8"/>
  <c r="G8" s="1"/>
  <c r="F7"/>
  <c r="G7" s="1"/>
  <c r="G76" l="1"/>
  <c r="E76" i="90"/>
  <c r="G76" i="99"/>
  <c r="H79" i="81" l="1"/>
  <c r="H15"/>
  <c r="G89"/>
  <c r="C76" i="98" l="1"/>
  <c r="D5"/>
  <c r="E5" s="1"/>
  <c r="F5" l="1"/>
  <c r="G5" l="1"/>
  <c r="H5" s="1"/>
  <c r="I5" s="1"/>
  <c r="J5" s="1"/>
  <c r="K5" s="1"/>
  <c r="L5" s="1"/>
  <c r="M5" s="1"/>
  <c r="N5" s="1"/>
  <c r="C77" i="1"/>
  <c r="G72" i="97" l="1"/>
  <c r="G71"/>
  <c r="G70"/>
  <c r="G69"/>
  <c r="G66"/>
  <c r="G64"/>
  <c r="G63"/>
  <c r="G62"/>
  <c r="G61"/>
  <c r="G58"/>
  <c r="G56"/>
  <c r="G55"/>
  <c r="G54"/>
  <c r="G53"/>
  <c r="G50"/>
  <c r="G48"/>
  <c r="G47"/>
  <c r="G46"/>
  <c r="G45"/>
  <c r="G42"/>
  <c r="G40"/>
  <c r="G39"/>
  <c r="G38"/>
  <c r="G37"/>
  <c r="G34"/>
  <c r="G32"/>
  <c r="G31"/>
  <c r="G30"/>
  <c r="G29"/>
  <c r="G26"/>
  <c r="G24"/>
  <c r="G23"/>
  <c r="G22"/>
  <c r="G21"/>
  <c r="G18"/>
  <c r="G16"/>
  <c r="G15"/>
  <c r="G14"/>
  <c r="G13"/>
  <c r="G10"/>
  <c r="G8"/>
  <c r="G7"/>
  <c r="G6"/>
  <c r="G5"/>
  <c r="G12" l="1"/>
  <c r="G17"/>
  <c r="G19"/>
  <c r="G28"/>
  <c r="G33"/>
  <c r="G35"/>
  <c r="G44"/>
  <c r="G49"/>
  <c r="G51"/>
  <c r="G60"/>
  <c r="G65"/>
  <c r="G67"/>
  <c r="G4"/>
  <c r="G9"/>
  <c r="G11"/>
  <c r="G20"/>
  <c r="G25"/>
  <c r="G27"/>
  <c r="G36"/>
  <c r="G41"/>
  <c r="G43"/>
  <c r="G52"/>
  <c r="G57"/>
  <c r="G59"/>
  <c r="G68"/>
  <c r="C23" i="84" l="1"/>
  <c r="F74" i="2" l="1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G16" i="46" l="1"/>
  <c r="I70" i="31" l="1"/>
  <c r="G45"/>
  <c r="G41"/>
  <c r="G18"/>
  <c r="G17"/>
  <c r="G37"/>
  <c r="G38"/>
  <c r="F73" i="92" l="1"/>
  <c r="F73" i="91"/>
  <c r="F73" i="89"/>
  <c r="F73" i="88"/>
  <c r="F73" i="87"/>
  <c r="F73" i="86"/>
  <c r="F54"/>
  <c r="F32"/>
  <c r="F11"/>
  <c r="F75" i="88"/>
  <c r="F74"/>
  <c r="F72"/>
  <c r="F71"/>
  <c r="F70"/>
  <c r="F68"/>
  <c r="F67"/>
  <c r="F66"/>
  <c r="F64"/>
  <c r="F63"/>
  <c r="F62"/>
  <c r="F60"/>
  <c r="F59"/>
  <c r="F58"/>
  <c r="F56"/>
  <c r="F55"/>
  <c r="F54"/>
  <c r="F52"/>
  <c r="F51"/>
  <c r="F50"/>
  <c r="F48"/>
  <c r="F47"/>
  <c r="F46"/>
  <c r="F44"/>
  <c r="F43"/>
  <c r="F42"/>
  <c r="F40"/>
  <c r="F39"/>
  <c r="F38"/>
  <c r="F36"/>
  <c r="F35"/>
  <c r="F34"/>
  <c r="F32"/>
  <c r="F31"/>
  <c r="F30"/>
  <c r="F28"/>
  <c r="F27"/>
  <c r="F26"/>
  <c r="F24"/>
  <c r="F23"/>
  <c r="F22"/>
  <c r="F20"/>
  <c r="F19"/>
  <c r="F18"/>
  <c r="F16"/>
  <c r="F15"/>
  <c r="F14"/>
  <c r="F12"/>
  <c r="F11"/>
  <c r="F10"/>
  <c r="F8"/>
  <c r="F75" i="89"/>
  <c r="F74"/>
  <c r="F72"/>
  <c r="F71"/>
  <c r="F70"/>
  <c r="F68"/>
  <c r="F67"/>
  <c r="F66"/>
  <c r="F64"/>
  <c r="F63"/>
  <c r="F62"/>
  <c r="F60"/>
  <c r="F59"/>
  <c r="F58"/>
  <c r="F56"/>
  <c r="F55"/>
  <c r="F54"/>
  <c r="F52"/>
  <c r="F51"/>
  <c r="F50"/>
  <c r="F48"/>
  <c r="F47"/>
  <c r="F46"/>
  <c r="F44"/>
  <c r="F43"/>
  <c r="F42"/>
  <c r="F40"/>
  <c r="F39"/>
  <c r="F38"/>
  <c r="F36"/>
  <c r="F35"/>
  <c r="F34"/>
  <c r="F32"/>
  <c r="F31"/>
  <c r="F30"/>
  <c r="F28"/>
  <c r="F27"/>
  <c r="F26"/>
  <c r="F24"/>
  <c r="F23"/>
  <c r="F22"/>
  <c r="F20"/>
  <c r="F19"/>
  <c r="F18"/>
  <c r="F16"/>
  <c r="F15"/>
  <c r="F14"/>
  <c r="F12"/>
  <c r="F11"/>
  <c r="F10"/>
  <c r="F8"/>
  <c r="F75" i="92"/>
  <c r="F74"/>
  <c r="F72"/>
  <c r="F71"/>
  <c r="F70"/>
  <c r="F68"/>
  <c r="F67"/>
  <c r="F66"/>
  <c r="F64"/>
  <c r="F63"/>
  <c r="F62"/>
  <c r="F60"/>
  <c r="F59"/>
  <c r="F58"/>
  <c r="F56"/>
  <c r="F55"/>
  <c r="F54"/>
  <c r="F52"/>
  <c r="F51"/>
  <c r="F50"/>
  <c r="F48"/>
  <c r="F47"/>
  <c r="F46"/>
  <c r="F44"/>
  <c r="F43"/>
  <c r="F42"/>
  <c r="F40"/>
  <c r="F39"/>
  <c r="F38"/>
  <c r="F36"/>
  <c r="F35"/>
  <c r="F34"/>
  <c r="F32"/>
  <c r="F31"/>
  <c r="F30"/>
  <c r="F28"/>
  <c r="F27"/>
  <c r="F26"/>
  <c r="F24"/>
  <c r="F23"/>
  <c r="F22"/>
  <c r="F20"/>
  <c r="F19"/>
  <c r="F18"/>
  <c r="F16"/>
  <c r="F15"/>
  <c r="F14"/>
  <c r="F12"/>
  <c r="F11"/>
  <c r="F10"/>
  <c r="F8"/>
  <c r="F7"/>
  <c r="F72" i="85"/>
  <c r="C99" i="92"/>
  <c r="C92"/>
  <c r="C97" s="1"/>
  <c r="C88"/>
  <c r="C76"/>
  <c r="D5"/>
  <c r="E5" s="1"/>
  <c r="F5" s="1"/>
  <c r="G5" s="1"/>
  <c r="H5" s="1"/>
  <c r="I5" s="1"/>
  <c r="J5" s="1"/>
  <c r="K5" s="1"/>
  <c r="L5" s="1"/>
  <c r="C99" i="91"/>
  <c r="C92"/>
  <c r="C95" s="1"/>
  <c r="C96" s="1"/>
  <c r="C88"/>
  <c r="C76"/>
  <c r="D5"/>
  <c r="E5" s="1"/>
  <c r="F5" s="1"/>
  <c r="G5" s="1"/>
  <c r="H5" s="1"/>
  <c r="I5" s="1"/>
  <c r="J5" s="1"/>
  <c r="K5" s="1"/>
  <c r="L5" s="1"/>
  <c r="C76" i="90"/>
  <c r="J5"/>
  <c r="K5" s="1"/>
  <c r="L5" s="1"/>
  <c r="M5" s="1"/>
  <c r="N5" s="1"/>
  <c r="O5" s="1"/>
  <c r="P5" s="1"/>
  <c r="Q5" s="1"/>
  <c r="R5" s="1"/>
  <c r="C99" i="89"/>
  <c r="C92"/>
  <c r="C95" s="1"/>
  <c r="C96" s="1"/>
  <c r="C88"/>
  <c r="C76"/>
  <c r="D5"/>
  <c r="E5" s="1"/>
  <c r="F5" s="1"/>
  <c r="G5" s="1"/>
  <c r="H5" s="1"/>
  <c r="I5" s="1"/>
  <c r="J5" s="1"/>
  <c r="K5" s="1"/>
  <c r="L5" s="1"/>
  <c r="C99" i="88"/>
  <c r="C92"/>
  <c r="C97" s="1"/>
  <c r="C88"/>
  <c r="C76"/>
  <c r="D5"/>
  <c r="E5" s="1"/>
  <c r="F5" s="1"/>
  <c r="G5" s="1"/>
  <c r="H5" s="1"/>
  <c r="I5" s="1"/>
  <c r="J5" s="1"/>
  <c r="K5" s="1"/>
  <c r="L5" s="1"/>
  <c r="C99" i="87"/>
  <c r="C92"/>
  <c r="C97" s="1"/>
  <c r="C88"/>
  <c r="C76"/>
  <c r="D5"/>
  <c r="E5" s="1"/>
  <c r="F5" s="1"/>
  <c r="G5" s="1"/>
  <c r="H5" s="1"/>
  <c r="I5" s="1"/>
  <c r="J5" s="1"/>
  <c r="K5" s="1"/>
  <c r="L5" s="1"/>
  <c r="C99" i="86"/>
  <c r="C92"/>
  <c r="C88"/>
  <c r="C76"/>
  <c r="D5"/>
  <c r="E5" s="1"/>
  <c r="F5" s="1"/>
  <c r="G5" s="1"/>
  <c r="H5" s="1"/>
  <c r="I5" s="1"/>
  <c r="J5" s="1"/>
  <c r="K5" s="1"/>
  <c r="L5" s="1"/>
  <c r="C99" i="85"/>
  <c r="C92"/>
  <c r="C95" s="1"/>
  <c r="C96" s="1"/>
  <c r="C88"/>
  <c r="C76"/>
  <c r="D5"/>
  <c r="E5" s="1"/>
  <c r="F5" s="1"/>
  <c r="G5" s="1"/>
  <c r="H5" s="1"/>
  <c r="I5" s="1"/>
  <c r="J5" s="1"/>
  <c r="K5" s="1"/>
  <c r="L5" s="1"/>
  <c r="S5" i="90" l="1"/>
  <c r="T5" s="1"/>
  <c r="U5" s="1"/>
  <c r="V5" s="1"/>
  <c r="W5" s="1"/>
  <c r="X5" s="1"/>
  <c r="Y5" s="1"/>
  <c r="H73"/>
  <c r="H69"/>
  <c r="H65"/>
  <c r="H61"/>
  <c r="H57"/>
  <c r="H53"/>
  <c r="H49"/>
  <c r="H45"/>
  <c r="H41"/>
  <c r="H37"/>
  <c r="H33"/>
  <c r="H29"/>
  <c r="H25"/>
  <c r="H21"/>
  <c r="H17"/>
  <c r="H13"/>
  <c r="H9"/>
  <c r="H75"/>
  <c r="H71"/>
  <c r="H67"/>
  <c r="H63"/>
  <c r="H59"/>
  <c r="H55"/>
  <c r="H51"/>
  <c r="H47"/>
  <c r="H43"/>
  <c r="H39"/>
  <c r="H35"/>
  <c r="H31"/>
  <c r="H27"/>
  <c r="H23"/>
  <c r="H19"/>
  <c r="H15"/>
  <c r="H11"/>
  <c r="H7"/>
  <c r="H74"/>
  <c r="H70"/>
  <c r="H66"/>
  <c r="H62"/>
  <c r="H58"/>
  <c r="H54"/>
  <c r="H50"/>
  <c r="H46"/>
  <c r="H42"/>
  <c r="H38"/>
  <c r="H34"/>
  <c r="H30"/>
  <c r="H26"/>
  <c r="H22"/>
  <c r="H18"/>
  <c r="H14"/>
  <c r="H10"/>
  <c r="H72"/>
  <c r="H68"/>
  <c r="H64"/>
  <c r="H60"/>
  <c r="H56"/>
  <c r="H52"/>
  <c r="H48"/>
  <c r="H44"/>
  <c r="H40"/>
  <c r="H36"/>
  <c r="H32"/>
  <c r="H28"/>
  <c r="H24"/>
  <c r="H20"/>
  <c r="H16"/>
  <c r="H12"/>
  <c r="H8"/>
  <c r="F50" i="87"/>
  <c r="F50" i="91"/>
  <c r="F70" i="85"/>
  <c r="F16" i="86"/>
  <c r="F38"/>
  <c r="F59"/>
  <c r="C95" i="92"/>
  <c r="C96" s="1"/>
  <c r="C98" s="1"/>
  <c r="C100" s="1"/>
  <c r="F7" i="86"/>
  <c r="F22"/>
  <c r="F43"/>
  <c r="F64"/>
  <c r="C97" i="85"/>
  <c r="C98" s="1"/>
  <c r="C100" s="1"/>
  <c r="C97" i="89"/>
  <c r="C98" s="1"/>
  <c r="C100" s="1"/>
  <c r="C97" i="91"/>
  <c r="C98" s="1"/>
  <c r="C100" s="1"/>
  <c r="F38" i="85"/>
  <c r="F27" i="86"/>
  <c r="F48"/>
  <c r="F70"/>
  <c r="F26" i="85"/>
  <c r="F58"/>
  <c r="F34" i="91"/>
  <c r="F44" i="87"/>
  <c r="F10" i="85"/>
  <c r="F42"/>
  <c r="F74"/>
  <c r="F12" i="91"/>
  <c r="F55"/>
  <c r="F23" i="87"/>
  <c r="F66"/>
  <c r="F7" i="85"/>
  <c r="F22"/>
  <c r="F54"/>
  <c r="F28" i="91"/>
  <c r="F71"/>
  <c r="F28" i="87"/>
  <c r="F71"/>
  <c r="F14" i="85"/>
  <c r="F30"/>
  <c r="F46"/>
  <c r="F62"/>
  <c r="F18" i="91"/>
  <c r="F39"/>
  <c r="F60"/>
  <c r="F12" i="87"/>
  <c r="F34"/>
  <c r="F55"/>
  <c r="F8" i="86"/>
  <c r="F14"/>
  <c r="F19"/>
  <c r="F24"/>
  <c r="F30"/>
  <c r="F35"/>
  <c r="F40"/>
  <c r="F46"/>
  <c r="F51"/>
  <c r="F56"/>
  <c r="F62"/>
  <c r="F67"/>
  <c r="F72"/>
  <c r="F12"/>
  <c r="F18"/>
  <c r="F23"/>
  <c r="F28"/>
  <c r="F34"/>
  <c r="F39"/>
  <c r="F44"/>
  <c r="F50"/>
  <c r="F55"/>
  <c r="F60"/>
  <c r="F66"/>
  <c r="F71"/>
  <c r="F7" i="87"/>
  <c r="F18" i="85"/>
  <c r="F34"/>
  <c r="F50"/>
  <c r="F66"/>
  <c r="F23" i="91"/>
  <c r="F44"/>
  <c r="F66"/>
  <c r="F18" i="87"/>
  <c r="F39"/>
  <c r="F60"/>
  <c r="F10" i="86"/>
  <c r="F15"/>
  <c r="F20"/>
  <c r="F26"/>
  <c r="F31"/>
  <c r="F36"/>
  <c r="F42"/>
  <c r="F47"/>
  <c r="F52"/>
  <c r="F58"/>
  <c r="F63"/>
  <c r="F68"/>
  <c r="F74"/>
  <c r="F9" i="85"/>
  <c r="F13"/>
  <c r="F17"/>
  <c r="F21"/>
  <c r="F25"/>
  <c r="F29"/>
  <c r="F33"/>
  <c r="F37"/>
  <c r="F41"/>
  <c r="F45"/>
  <c r="F49"/>
  <c r="F53"/>
  <c r="F57"/>
  <c r="F61"/>
  <c r="F65"/>
  <c r="F69"/>
  <c r="F73"/>
  <c r="F11" i="91"/>
  <c r="F16"/>
  <c r="F22"/>
  <c r="F27"/>
  <c r="F32"/>
  <c r="F38"/>
  <c r="F43"/>
  <c r="F48"/>
  <c r="F54"/>
  <c r="F59"/>
  <c r="F64"/>
  <c r="F70"/>
  <c r="F75"/>
  <c r="F11" i="87"/>
  <c r="F16"/>
  <c r="F22"/>
  <c r="F27"/>
  <c r="F32"/>
  <c r="F38"/>
  <c r="F43"/>
  <c r="F48"/>
  <c r="F54"/>
  <c r="F59"/>
  <c r="F64"/>
  <c r="F70"/>
  <c r="F75"/>
  <c r="F11" i="85"/>
  <c r="F15"/>
  <c r="F19"/>
  <c r="F23"/>
  <c r="F27"/>
  <c r="F31"/>
  <c r="F35"/>
  <c r="F39"/>
  <c r="F43"/>
  <c r="F47"/>
  <c r="F51"/>
  <c r="F55"/>
  <c r="F59"/>
  <c r="F63"/>
  <c r="F67"/>
  <c r="F71"/>
  <c r="F75"/>
  <c r="F8" i="91"/>
  <c r="F14"/>
  <c r="F19"/>
  <c r="F24"/>
  <c r="F30"/>
  <c r="F35"/>
  <c r="F40"/>
  <c r="F46"/>
  <c r="F51"/>
  <c r="F56"/>
  <c r="F62"/>
  <c r="F67"/>
  <c r="F72"/>
  <c r="F8" i="87"/>
  <c r="F14"/>
  <c r="F19"/>
  <c r="F24"/>
  <c r="F30"/>
  <c r="F35"/>
  <c r="F40"/>
  <c r="F46"/>
  <c r="F51"/>
  <c r="F56"/>
  <c r="F62"/>
  <c r="F67"/>
  <c r="F72"/>
  <c r="F7" i="91"/>
  <c r="F8" i="85"/>
  <c r="F12"/>
  <c r="F16"/>
  <c r="F20"/>
  <c r="F24"/>
  <c r="F28"/>
  <c r="F32"/>
  <c r="F36"/>
  <c r="F40"/>
  <c r="F44"/>
  <c r="F48"/>
  <c r="F52"/>
  <c r="F56"/>
  <c r="F60"/>
  <c r="F64"/>
  <c r="F68"/>
  <c r="F10" i="91"/>
  <c r="F15"/>
  <c r="F20"/>
  <c r="F26"/>
  <c r="F31"/>
  <c r="F36"/>
  <c r="F42"/>
  <c r="F47"/>
  <c r="F52"/>
  <c r="F58"/>
  <c r="F63"/>
  <c r="F68"/>
  <c r="F74"/>
  <c r="F10" i="87"/>
  <c r="F15"/>
  <c r="F20"/>
  <c r="F26"/>
  <c r="F31"/>
  <c r="F36"/>
  <c r="F42"/>
  <c r="F47"/>
  <c r="F52"/>
  <c r="F58"/>
  <c r="F63"/>
  <c r="F68"/>
  <c r="F74"/>
  <c r="F75" i="86"/>
  <c r="F9" i="92"/>
  <c r="F13"/>
  <c r="F17"/>
  <c r="F21"/>
  <c r="F25"/>
  <c r="F29"/>
  <c r="F33"/>
  <c r="F37"/>
  <c r="F41"/>
  <c r="F45"/>
  <c r="F49"/>
  <c r="F53"/>
  <c r="F57"/>
  <c r="F61"/>
  <c r="F65"/>
  <c r="F69"/>
  <c r="F9" i="91"/>
  <c r="F13"/>
  <c r="F17"/>
  <c r="F21"/>
  <c r="F25"/>
  <c r="F29"/>
  <c r="F33"/>
  <c r="F37"/>
  <c r="F41"/>
  <c r="F45"/>
  <c r="F49"/>
  <c r="F53"/>
  <c r="F57"/>
  <c r="F61"/>
  <c r="F65"/>
  <c r="F69"/>
  <c r="F7" i="89"/>
  <c r="F9"/>
  <c r="F13"/>
  <c r="F17"/>
  <c r="F21"/>
  <c r="F25"/>
  <c r="F29"/>
  <c r="F33"/>
  <c r="F37"/>
  <c r="F41"/>
  <c r="F45"/>
  <c r="F49"/>
  <c r="F53"/>
  <c r="F57"/>
  <c r="F61"/>
  <c r="F65"/>
  <c r="F69"/>
  <c r="F7" i="88"/>
  <c r="F9"/>
  <c r="F13"/>
  <c r="F17"/>
  <c r="F21"/>
  <c r="F25"/>
  <c r="F29"/>
  <c r="F33"/>
  <c r="F37"/>
  <c r="F41"/>
  <c r="F45"/>
  <c r="F49"/>
  <c r="F53"/>
  <c r="F57"/>
  <c r="F61"/>
  <c r="F65"/>
  <c r="F69"/>
  <c r="F9" i="87"/>
  <c r="F13"/>
  <c r="F17"/>
  <c r="F21"/>
  <c r="F25"/>
  <c r="F29"/>
  <c r="F33"/>
  <c r="F37"/>
  <c r="F41"/>
  <c r="F45"/>
  <c r="F49"/>
  <c r="F53"/>
  <c r="F57"/>
  <c r="F61"/>
  <c r="F65"/>
  <c r="F69"/>
  <c r="F9" i="86"/>
  <c r="F13"/>
  <c r="F17"/>
  <c r="F21"/>
  <c r="F25"/>
  <c r="F29"/>
  <c r="F33"/>
  <c r="F37"/>
  <c r="F41"/>
  <c r="F45"/>
  <c r="F49"/>
  <c r="F53"/>
  <c r="F57"/>
  <c r="F61"/>
  <c r="F65"/>
  <c r="F69"/>
  <c r="M5" i="91"/>
  <c r="N5" s="1"/>
  <c r="O5" s="1"/>
  <c r="P5" s="1"/>
  <c r="Q5" s="1"/>
  <c r="R5" s="1"/>
  <c r="S5" s="1"/>
  <c r="T5" s="1"/>
  <c r="U5" s="1"/>
  <c r="M5" i="87"/>
  <c r="N5" s="1"/>
  <c r="O5" s="1"/>
  <c r="P5" s="1"/>
  <c r="Q5" s="1"/>
  <c r="R5" s="1"/>
  <c r="S5" s="1"/>
  <c r="T5" s="1"/>
  <c r="U5" s="1"/>
  <c r="M5" i="92"/>
  <c r="N5" s="1"/>
  <c r="O5" s="1"/>
  <c r="P5" s="1"/>
  <c r="Q5" s="1"/>
  <c r="R5" s="1"/>
  <c r="S5" s="1"/>
  <c r="T5" s="1"/>
  <c r="U5" s="1"/>
  <c r="M5" i="85"/>
  <c r="N5" s="1"/>
  <c r="O5" s="1"/>
  <c r="P5" s="1"/>
  <c r="Q5" s="1"/>
  <c r="R5" s="1"/>
  <c r="S5" s="1"/>
  <c r="T5" s="1"/>
  <c r="U5" s="1"/>
  <c r="M5" i="86"/>
  <c r="N5" s="1"/>
  <c r="O5" s="1"/>
  <c r="P5" s="1"/>
  <c r="Q5" s="1"/>
  <c r="R5" s="1"/>
  <c r="S5" s="1"/>
  <c r="T5" s="1"/>
  <c r="U5" s="1"/>
  <c r="M5" i="88"/>
  <c r="N5" s="1"/>
  <c r="O5" s="1"/>
  <c r="P5" s="1"/>
  <c r="Q5" s="1"/>
  <c r="R5" s="1"/>
  <c r="S5" s="1"/>
  <c r="T5" s="1"/>
  <c r="U5" s="1"/>
  <c r="C95"/>
  <c r="C96" s="1"/>
  <c r="C101" s="1"/>
  <c r="M5" i="89"/>
  <c r="N5" s="1"/>
  <c r="O5" s="1"/>
  <c r="P5" s="1"/>
  <c r="Q5" s="1"/>
  <c r="R5" s="1"/>
  <c r="S5" s="1"/>
  <c r="T5" s="1"/>
  <c r="U5" s="1"/>
  <c r="C95" i="86"/>
  <c r="C96" s="1"/>
  <c r="C101" s="1"/>
  <c r="C97"/>
  <c r="C101" i="91"/>
  <c r="C101" i="89"/>
  <c r="C101" i="85"/>
  <c r="C95" i="87"/>
  <c r="C96" s="1"/>
  <c r="C98" i="88" l="1"/>
  <c r="C100" s="1"/>
  <c r="C102" s="1"/>
  <c r="F76" i="92"/>
  <c r="C98" i="86"/>
  <c r="C100" s="1"/>
  <c r="C102" s="1"/>
  <c r="F76" i="88"/>
  <c r="F76" i="91"/>
  <c r="F76" i="85"/>
  <c r="F76" i="89"/>
  <c r="F76" i="87"/>
  <c r="F76" i="86"/>
  <c r="H76" i="90"/>
  <c r="C101" i="92"/>
  <c r="C102" s="1"/>
  <c r="C102" i="91"/>
  <c r="C102" i="85"/>
  <c r="C102" i="89"/>
  <c r="C101" i="87"/>
  <c r="C98"/>
  <c r="C100" s="1"/>
  <c r="C102" l="1"/>
  <c r="C99" i="84" l="1"/>
  <c r="C92"/>
  <c r="C97" s="1"/>
  <c r="C88"/>
  <c r="C76"/>
  <c r="E18" i="81" s="1"/>
  <c r="H18" s="1"/>
  <c r="D5" i="84"/>
  <c r="E5" s="1"/>
  <c r="F5" s="1"/>
  <c r="G5" s="1"/>
  <c r="H5" s="1"/>
  <c r="I5" s="1"/>
  <c r="J5" s="1"/>
  <c r="K5" s="1"/>
  <c r="L5" s="1"/>
  <c r="M5" s="1"/>
  <c r="N5" s="1"/>
  <c r="C95" l="1"/>
  <c r="C96" s="1"/>
  <c r="C98" s="1"/>
  <c r="C100" s="1"/>
  <c r="C101" l="1"/>
  <c r="C102" s="1"/>
  <c r="C100" i="83"/>
  <c r="C93"/>
  <c r="C98" s="1"/>
  <c r="C89"/>
  <c r="C75"/>
  <c r="C74"/>
  <c r="C69"/>
  <c r="C52"/>
  <c r="C40"/>
  <c r="C31"/>
  <c r="C19"/>
  <c r="C18"/>
  <c r="D5"/>
  <c r="E5" s="1"/>
  <c r="F5" s="1"/>
  <c r="G5" s="1"/>
  <c r="H5" s="1"/>
  <c r="I5" s="1"/>
  <c r="J5" s="1"/>
  <c r="K5" s="1"/>
  <c r="L5" s="1"/>
  <c r="M5" s="1"/>
  <c r="N5" s="1"/>
  <c r="C77" l="1"/>
  <c r="E17" i="81" s="1"/>
  <c r="H17" s="1"/>
  <c r="C96" i="83"/>
  <c r="C97" s="1"/>
  <c r="C99" s="1"/>
  <c r="C101" s="1"/>
  <c r="C102" l="1"/>
  <c r="C103" s="1"/>
  <c r="H16" i="81" l="1"/>
  <c r="G16" l="1"/>
  <c r="AI39" i="13"/>
  <c r="K8" i="1" l="1"/>
  <c r="I8"/>
  <c r="E8"/>
  <c r="G8"/>
  <c r="K16"/>
  <c r="I16"/>
  <c r="G16"/>
  <c r="E16"/>
  <c r="K20"/>
  <c r="E20"/>
  <c r="I20"/>
  <c r="G20"/>
  <c r="K28"/>
  <c r="I28"/>
  <c r="G28"/>
  <c r="E28"/>
  <c r="K36"/>
  <c r="I36"/>
  <c r="G36"/>
  <c r="E36"/>
  <c r="I9"/>
  <c r="G9"/>
  <c r="K9"/>
  <c r="I13"/>
  <c r="G13"/>
  <c r="E13"/>
  <c r="K13"/>
  <c r="I17"/>
  <c r="G17"/>
  <c r="E17"/>
  <c r="K17"/>
  <c r="I21"/>
  <c r="G21"/>
  <c r="E21"/>
  <c r="K21"/>
  <c r="I25"/>
  <c r="G25"/>
  <c r="E25"/>
  <c r="K25"/>
  <c r="I29"/>
  <c r="G29"/>
  <c r="E29"/>
  <c r="K29"/>
  <c r="I33"/>
  <c r="G33"/>
  <c r="E33"/>
  <c r="K33"/>
  <c r="I37"/>
  <c r="G37"/>
  <c r="E37"/>
  <c r="K37"/>
  <c r="I41"/>
  <c r="G41"/>
  <c r="E41"/>
  <c r="K41"/>
  <c r="I45"/>
  <c r="G45"/>
  <c r="E45"/>
  <c r="K45"/>
  <c r="I49"/>
  <c r="G49"/>
  <c r="E49"/>
  <c r="K49"/>
  <c r="I53"/>
  <c r="G53"/>
  <c r="E53"/>
  <c r="K53"/>
  <c r="I57"/>
  <c r="G57"/>
  <c r="K57"/>
  <c r="I61"/>
  <c r="G61"/>
  <c r="E61"/>
  <c r="K61"/>
  <c r="I65"/>
  <c r="G65"/>
  <c r="E65"/>
  <c r="K65"/>
  <c r="I69"/>
  <c r="G69"/>
  <c r="E69"/>
  <c r="K69"/>
  <c r="I73"/>
  <c r="G73"/>
  <c r="E73"/>
  <c r="K73"/>
  <c r="G14"/>
  <c r="E14"/>
  <c r="K14"/>
  <c r="I14"/>
  <c r="G22"/>
  <c r="I22"/>
  <c r="E22"/>
  <c r="K22"/>
  <c r="G34"/>
  <c r="I34"/>
  <c r="E34"/>
  <c r="K34"/>
  <c r="G42"/>
  <c r="E42"/>
  <c r="K42"/>
  <c r="I42"/>
  <c r="G46"/>
  <c r="E46"/>
  <c r="I46"/>
  <c r="K46"/>
  <c r="G50"/>
  <c r="E50"/>
  <c r="K50"/>
  <c r="I50"/>
  <c r="G54"/>
  <c r="E54"/>
  <c r="K54"/>
  <c r="I54"/>
  <c r="G58"/>
  <c r="E58"/>
  <c r="K58"/>
  <c r="I58"/>
  <c r="G62"/>
  <c r="E62"/>
  <c r="K62"/>
  <c r="I62"/>
  <c r="G66"/>
  <c r="E66"/>
  <c r="K66"/>
  <c r="I66"/>
  <c r="G70"/>
  <c r="E70"/>
  <c r="K70"/>
  <c r="I70"/>
  <c r="G74"/>
  <c r="I74"/>
  <c r="E74"/>
  <c r="K74"/>
  <c r="G10"/>
  <c r="E10"/>
  <c r="K10"/>
  <c r="G18"/>
  <c r="E18"/>
  <c r="I18"/>
  <c r="K18"/>
  <c r="G26"/>
  <c r="E26"/>
  <c r="K26"/>
  <c r="I26"/>
  <c r="G30"/>
  <c r="E30"/>
  <c r="I30"/>
  <c r="K30"/>
  <c r="G38"/>
  <c r="E38"/>
  <c r="K38"/>
  <c r="I38"/>
  <c r="E11"/>
  <c r="K11"/>
  <c r="I11"/>
  <c r="G11"/>
  <c r="E15"/>
  <c r="K15"/>
  <c r="I15"/>
  <c r="G15"/>
  <c r="E19"/>
  <c r="G19"/>
  <c r="K19"/>
  <c r="I19"/>
  <c r="E23"/>
  <c r="K23"/>
  <c r="G23"/>
  <c r="I23"/>
  <c r="E27"/>
  <c r="K27"/>
  <c r="I27"/>
  <c r="G27"/>
  <c r="E31"/>
  <c r="K31"/>
  <c r="I31"/>
  <c r="G31"/>
  <c r="E35"/>
  <c r="G35"/>
  <c r="K35"/>
  <c r="I35"/>
  <c r="E39"/>
  <c r="K39"/>
  <c r="G39"/>
  <c r="I39"/>
  <c r="E43"/>
  <c r="K43"/>
  <c r="I43"/>
  <c r="G43"/>
  <c r="E47"/>
  <c r="G47"/>
  <c r="K47"/>
  <c r="I47"/>
  <c r="E51"/>
  <c r="K51"/>
  <c r="I51"/>
  <c r="G51"/>
  <c r="E55"/>
  <c r="K55"/>
  <c r="G55"/>
  <c r="I55"/>
  <c r="E59"/>
  <c r="G59"/>
  <c r="K59"/>
  <c r="I59"/>
  <c r="E63"/>
  <c r="K63"/>
  <c r="I63"/>
  <c r="G63"/>
  <c r="E67"/>
  <c r="K67"/>
  <c r="I67"/>
  <c r="G67"/>
  <c r="E71"/>
  <c r="K71"/>
  <c r="G71"/>
  <c r="I71"/>
  <c r="E75"/>
  <c r="G75"/>
  <c r="K75"/>
  <c r="I75"/>
  <c r="K12"/>
  <c r="I12"/>
  <c r="G12"/>
  <c r="E12"/>
  <c r="K24"/>
  <c r="I24"/>
  <c r="E24"/>
  <c r="G24"/>
  <c r="K32"/>
  <c r="E32"/>
  <c r="I32"/>
  <c r="G32"/>
  <c r="K40"/>
  <c r="I40"/>
  <c r="E40"/>
  <c r="G40"/>
  <c r="K44"/>
  <c r="I44"/>
  <c r="G44"/>
  <c r="E44"/>
  <c r="K48"/>
  <c r="E48"/>
  <c r="G48"/>
  <c r="I52"/>
  <c r="G52"/>
  <c r="E52"/>
  <c r="K56"/>
  <c r="I56"/>
  <c r="E56"/>
  <c r="G56"/>
  <c r="K60"/>
  <c r="I60"/>
  <c r="G60"/>
  <c r="E60"/>
  <c r="K64"/>
  <c r="E64"/>
  <c r="I64"/>
  <c r="G64"/>
  <c r="K68"/>
  <c r="I68"/>
  <c r="E68"/>
  <c r="K72"/>
  <c r="E72"/>
  <c r="I72"/>
  <c r="G72"/>
  <c r="K76"/>
  <c r="I76"/>
  <c r="E76"/>
  <c r="G76"/>
  <c r="G79" i="81"/>
  <c r="J75" i="72"/>
  <c r="S73" i="80"/>
  <c r="S77" s="1"/>
  <c r="S73" i="76"/>
  <c r="S77" s="1"/>
  <c r="L73" i="80"/>
  <c r="L77" s="1"/>
  <c r="C73"/>
  <c r="C77" s="1"/>
  <c r="F42"/>
  <c r="G42" s="1"/>
  <c r="F39"/>
  <c r="G39" s="1"/>
  <c r="F20"/>
  <c r="G20" s="1"/>
  <c r="D3"/>
  <c r="E3" s="1"/>
  <c r="F3" s="1"/>
  <c r="G3" s="1"/>
  <c r="H3" s="1"/>
  <c r="I3" s="1"/>
  <c r="J3" s="1"/>
  <c r="K3" s="1"/>
  <c r="L3" s="1"/>
  <c r="M3" s="1"/>
  <c r="N3" s="1"/>
  <c r="O3" s="1"/>
  <c r="P3" s="1"/>
  <c r="Q3" s="1"/>
  <c r="R3" s="1"/>
  <c r="S3" s="1"/>
  <c r="T3" s="1"/>
  <c r="U3" s="1"/>
  <c r="V3" s="1"/>
  <c r="W3" s="1"/>
  <c r="L73" i="76"/>
  <c r="C73"/>
  <c r="C77" s="1"/>
  <c r="F42"/>
  <c r="G42" s="1"/>
  <c r="Q44" i="2" s="1"/>
  <c r="F39" i="76"/>
  <c r="G39" s="1"/>
  <c r="F20"/>
  <c r="G20" s="1"/>
  <c r="G14" i="31"/>
  <c r="V30" i="46"/>
  <c r="G26" i="31"/>
  <c r="BK63" i="1"/>
  <c r="BM63" s="1"/>
  <c r="G66" i="31"/>
  <c r="G19"/>
  <c r="G20"/>
  <c r="G27"/>
  <c r="G28"/>
  <c r="M18" i="46"/>
  <c r="G35"/>
  <c r="G33"/>
  <c r="G26"/>
  <c r="C24"/>
  <c r="C18"/>
  <c r="M53" i="67"/>
  <c r="M75"/>
  <c r="M58"/>
  <c r="M43"/>
  <c r="G67" i="31"/>
  <c r="G65"/>
  <c r="G64"/>
  <c r="G63"/>
  <c r="G62"/>
  <c r="G60"/>
  <c r="G59"/>
  <c r="G58"/>
  <c r="G57"/>
  <c r="G56"/>
  <c r="G55"/>
  <c r="G53"/>
  <c r="G52"/>
  <c r="G51"/>
  <c r="G50"/>
  <c r="G49"/>
  <c r="G48"/>
  <c r="G47"/>
  <c r="G46"/>
  <c r="G44"/>
  <c r="G43"/>
  <c r="G42"/>
  <c r="G68"/>
  <c r="G40"/>
  <c r="G39"/>
  <c r="G36"/>
  <c r="G35"/>
  <c r="G34"/>
  <c r="G32"/>
  <c r="G31"/>
  <c r="G30"/>
  <c r="G25"/>
  <c r="G24"/>
  <c r="G23"/>
  <c r="G22"/>
  <c r="G21"/>
  <c r="G15"/>
  <c r="G13"/>
  <c r="G7"/>
  <c r="BK71" i="1"/>
  <c r="BM71" s="1"/>
  <c r="M69" i="67"/>
  <c r="BK67" i="1"/>
  <c r="BM67" s="1"/>
  <c r="M65" i="67"/>
  <c r="M61"/>
  <c r="M60"/>
  <c r="BK57" i="1"/>
  <c r="BM57" s="1"/>
  <c r="M55" i="67"/>
  <c r="M50"/>
  <c r="BK50" i="1"/>
  <c r="BM50" s="1"/>
  <c r="BK48"/>
  <c r="BM48" s="1"/>
  <c r="M46" i="67"/>
  <c r="M44"/>
  <c r="BK40" i="1"/>
  <c r="BM40" s="1"/>
  <c r="M38" i="67"/>
  <c r="BK36" i="1"/>
  <c r="BM36" s="1"/>
  <c r="M34" i="67"/>
  <c r="M33"/>
  <c r="BK30" i="1"/>
  <c r="BM30" s="1"/>
  <c r="M28" i="67"/>
  <c r="BK26" i="1"/>
  <c r="BM26" s="1"/>
  <c r="BK25"/>
  <c r="BM25" s="1"/>
  <c r="BK21"/>
  <c r="BM21" s="1"/>
  <c r="M19" i="67"/>
  <c r="M17"/>
  <c r="BK17" i="1"/>
  <c r="BM17" s="1"/>
  <c r="M14" i="67"/>
  <c r="BK12" i="1"/>
  <c r="BM12" s="1"/>
  <c r="BK8"/>
  <c r="BM8" s="1"/>
  <c r="M74" i="67"/>
  <c r="M73"/>
  <c r="M72"/>
  <c r="M70"/>
  <c r="M68"/>
  <c r="M66"/>
  <c r="M64"/>
  <c r="M62"/>
  <c r="M59"/>
  <c r="M56"/>
  <c r="M54"/>
  <c r="M49"/>
  <c r="M48"/>
  <c r="M47"/>
  <c r="M41"/>
  <c r="M39"/>
  <c r="M37"/>
  <c r="M36"/>
  <c r="M32"/>
  <c r="M31"/>
  <c r="M29"/>
  <c r="M27"/>
  <c r="M25"/>
  <c r="M24"/>
  <c r="M22"/>
  <c r="M20"/>
  <c r="M18"/>
  <c r="M13"/>
  <c r="N13" s="1"/>
  <c r="M11"/>
  <c r="M10"/>
  <c r="M9"/>
  <c r="M7"/>
  <c r="D3" i="76"/>
  <c r="E3" s="1"/>
  <c r="F3" s="1"/>
  <c r="G3" s="1"/>
  <c r="H3" s="1"/>
  <c r="I3" s="1"/>
  <c r="J3" s="1"/>
  <c r="K3" s="1"/>
  <c r="L3" s="1"/>
  <c r="M3" s="1"/>
  <c r="N3" s="1"/>
  <c r="O3" s="1"/>
  <c r="P3" s="1"/>
  <c r="Q3" s="1"/>
  <c r="R3" s="1"/>
  <c r="S3" s="1"/>
  <c r="T3" s="1"/>
  <c r="U3" s="1"/>
  <c r="V3" s="1"/>
  <c r="W3" s="1"/>
  <c r="X76" i="13"/>
  <c r="I74" i="2"/>
  <c r="I71"/>
  <c r="I69"/>
  <c r="I67"/>
  <c r="I64"/>
  <c r="I63"/>
  <c r="I60"/>
  <c r="I59"/>
  <c r="I58"/>
  <c r="I57"/>
  <c r="I56"/>
  <c r="I55"/>
  <c r="I53"/>
  <c r="I52"/>
  <c r="I51"/>
  <c r="I48"/>
  <c r="I47"/>
  <c r="I45"/>
  <c r="I42"/>
  <c r="I35"/>
  <c r="I33"/>
  <c r="I31"/>
  <c r="I29"/>
  <c r="I28"/>
  <c r="I27"/>
  <c r="I26"/>
  <c r="I25"/>
  <c r="I23"/>
  <c r="I22"/>
  <c r="I21"/>
  <c r="I19"/>
  <c r="I17"/>
  <c r="I15"/>
  <c r="I13"/>
  <c r="I10"/>
  <c r="I9"/>
  <c r="I7"/>
  <c r="I6"/>
  <c r="BO77" i="1"/>
  <c r="BL77"/>
  <c r="BK10"/>
  <c r="BM10" s="1"/>
  <c r="BK11"/>
  <c r="BM11" s="1"/>
  <c r="BK14"/>
  <c r="BM14" s="1"/>
  <c r="BK15"/>
  <c r="BM15" s="1"/>
  <c r="BK19"/>
  <c r="BM19" s="1"/>
  <c r="BK20"/>
  <c r="BM20" s="1"/>
  <c r="BK23"/>
  <c r="BM23" s="1"/>
  <c r="BK28"/>
  <c r="BM28" s="1"/>
  <c r="BK29"/>
  <c r="BM29" s="1"/>
  <c r="BK32"/>
  <c r="BM32" s="1"/>
  <c r="BK33"/>
  <c r="BM33" s="1"/>
  <c r="BK34"/>
  <c r="BM34" s="1"/>
  <c r="BK35"/>
  <c r="BM35" s="1"/>
  <c r="BK37"/>
  <c r="BM37" s="1"/>
  <c r="BK38"/>
  <c r="BM38" s="1"/>
  <c r="BK42"/>
  <c r="BM42" s="1"/>
  <c r="BK44"/>
  <c r="BM44" s="1"/>
  <c r="BK47"/>
  <c r="BM47" s="1"/>
  <c r="BK49"/>
  <c r="BM49" s="1"/>
  <c r="BK51"/>
  <c r="BM51" s="1"/>
  <c r="BK54"/>
  <c r="BM54" s="1"/>
  <c r="BK55"/>
  <c r="BM55" s="1"/>
  <c r="BK56"/>
  <c r="BM56" s="1"/>
  <c r="BK60"/>
  <c r="BM60" s="1"/>
  <c r="BK61"/>
  <c r="BM61" s="1"/>
  <c r="BK65"/>
  <c r="BM65" s="1"/>
  <c r="BK69"/>
  <c r="BM69" s="1"/>
  <c r="BK70"/>
  <c r="BM70" s="1"/>
  <c r="BK73"/>
  <c r="BM73" s="1"/>
  <c r="BK74"/>
  <c r="BM74" s="1"/>
  <c r="BK75"/>
  <c r="BM75" s="1"/>
  <c r="BK76"/>
  <c r="BM76" s="1"/>
  <c r="BI77"/>
  <c r="BF77"/>
  <c r="BC77"/>
  <c r="AH77" i="13"/>
  <c r="AG77"/>
  <c r="BB75" i="72"/>
  <c r="D5"/>
  <c r="E5" s="1"/>
  <c r="F5" s="1"/>
  <c r="G5" s="1"/>
  <c r="H5" s="1"/>
  <c r="I5" s="1"/>
  <c r="J5" s="1"/>
  <c r="Q4" i="1"/>
  <c r="Q12" s="1"/>
  <c r="E9" i="5"/>
  <c r="E8"/>
  <c r="C99" i="67"/>
  <c r="C92"/>
  <c r="C97" s="1"/>
  <c r="C88"/>
  <c r="E81"/>
  <c r="E83" s="1"/>
  <c r="E4" s="1"/>
  <c r="D5"/>
  <c r="E5" s="1"/>
  <c r="F5" s="1"/>
  <c r="G5" s="1"/>
  <c r="G29" i="46"/>
  <c r="M45" i="67"/>
  <c r="V77" i="13"/>
  <c r="F77"/>
  <c r="E42"/>
  <c r="E40"/>
  <c r="H40" s="1"/>
  <c r="D41" i="25" s="1"/>
  <c r="E38" i="13"/>
  <c r="H38" s="1"/>
  <c r="D39" i="25" s="1"/>
  <c r="E36" i="13"/>
  <c r="E34"/>
  <c r="H34" s="1"/>
  <c r="D35" i="25" s="1"/>
  <c r="E32" i="13"/>
  <c r="H32" s="1"/>
  <c r="D33" i="25" s="1"/>
  <c r="E30" i="13"/>
  <c r="G30" s="1"/>
  <c r="E28"/>
  <c r="H28" s="1"/>
  <c r="D29" i="25" s="1"/>
  <c r="E26" i="13"/>
  <c r="G26" s="1"/>
  <c r="E24"/>
  <c r="H24" s="1"/>
  <c r="D25" i="25" s="1"/>
  <c r="E22" i="13"/>
  <c r="G22" s="1"/>
  <c r="E20"/>
  <c r="E18"/>
  <c r="E16"/>
  <c r="H16" s="1"/>
  <c r="D17" i="25" s="1"/>
  <c r="E14" i="13"/>
  <c r="G14" s="1"/>
  <c r="E12"/>
  <c r="H12" s="1"/>
  <c r="D13" i="25" s="1"/>
  <c r="E10" i="13"/>
  <c r="D4" i="49"/>
  <c r="F4"/>
  <c r="D5"/>
  <c r="F5"/>
  <c r="D6"/>
  <c r="F6"/>
  <c r="D7"/>
  <c r="F7"/>
  <c r="D8"/>
  <c r="F8"/>
  <c r="D9"/>
  <c r="F9"/>
  <c r="D10"/>
  <c r="F10"/>
  <c r="D11"/>
  <c r="F11"/>
  <c r="D12"/>
  <c r="F12"/>
  <c r="D13"/>
  <c r="F13"/>
  <c r="D14"/>
  <c r="F14"/>
  <c r="D15"/>
  <c r="F15"/>
  <c r="D16"/>
  <c r="F16"/>
  <c r="D17"/>
  <c r="F17"/>
  <c r="D18"/>
  <c r="F18"/>
  <c r="D19"/>
  <c r="F19"/>
  <c r="D20"/>
  <c r="F20"/>
  <c r="D21"/>
  <c r="F21"/>
  <c r="D22"/>
  <c r="F22"/>
  <c r="D23"/>
  <c r="F23"/>
  <c r="D24"/>
  <c r="F24"/>
  <c r="D25"/>
  <c r="F25"/>
  <c r="D26"/>
  <c r="F26"/>
  <c r="D27"/>
  <c r="F27"/>
  <c r="D28"/>
  <c r="F28"/>
  <c r="D29"/>
  <c r="F29"/>
  <c r="D30"/>
  <c r="F30"/>
  <c r="D31"/>
  <c r="F31"/>
  <c r="D32"/>
  <c r="F32"/>
  <c r="D33"/>
  <c r="F33"/>
  <c r="D34"/>
  <c r="F34"/>
  <c r="D35"/>
  <c r="F35"/>
  <c r="D36"/>
  <c r="F36"/>
  <c r="D37"/>
  <c r="F37"/>
  <c r="D38"/>
  <c r="F38"/>
  <c r="D39"/>
  <c r="F39"/>
  <c r="D40"/>
  <c r="F40"/>
  <c r="D41"/>
  <c r="F41"/>
  <c r="D42"/>
  <c r="F42"/>
  <c r="D43"/>
  <c r="F43"/>
  <c r="D44"/>
  <c r="F44"/>
  <c r="D45"/>
  <c r="F45"/>
  <c r="D46"/>
  <c r="F46"/>
  <c r="D47"/>
  <c r="F47"/>
  <c r="D48"/>
  <c r="F48"/>
  <c r="D49"/>
  <c r="F49"/>
  <c r="D50"/>
  <c r="F50"/>
  <c r="D51"/>
  <c r="F51"/>
  <c r="D52"/>
  <c r="F52"/>
  <c r="D53"/>
  <c r="F53"/>
  <c r="D54"/>
  <c r="F54"/>
  <c r="D55"/>
  <c r="F55"/>
  <c r="D56"/>
  <c r="F56"/>
  <c r="D57"/>
  <c r="F57"/>
  <c r="D58"/>
  <c r="F58"/>
  <c r="D59"/>
  <c r="F59"/>
  <c r="D60"/>
  <c r="F60"/>
  <c r="D61"/>
  <c r="F61"/>
  <c r="D62"/>
  <c r="F62"/>
  <c r="D63"/>
  <c r="F63"/>
  <c r="D64"/>
  <c r="F64"/>
  <c r="D65"/>
  <c r="F65"/>
  <c r="D66"/>
  <c r="F66"/>
  <c r="D67"/>
  <c r="F67"/>
  <c r="D68"/>
  <c r="F68"/>
  <c r="D69"/>
  <c r="F69"/>
  <c r="D70"/>
  <c r="F70"/>
  <c r="D71"/>
  <c r="F71"/>
  <c r="D72"/>
  <c r="F72"/>
  <c r="E73"/>
  <c r="C73"/>
  <c r="E8" i="13"/>
  <c r="E9"/>
  <c r="H9" s="1"/>
  <c r="D10" i="25" s="1"/>
  <c r="E11" i="13"/>
  <c r="E13"/>
  <c r="H13" s="1"/>
  <c r="D14" i="25" s="1"/>
  <c r="E15" i="13"/>
  <c r="E17"/>
  <c r="H17" s="1"/>
  <c r="D18" i="25" s="1"/>
  <c r="E19" i="13"/>
  <c r="E21"/>
  <c r="H21" s="1"/>
  <c r="D22" i="25" s="1"/>
  <c r="E23" i="13"/>
  <c r="E25"/>
  <c r="H25" s="1"/>
  <c r="D26" i="25" s="1"/>
  <c r="E27" i="13"/>
  <c r="E29"/>
  <c r="H29" s="1"/>
  <c r="D30" i="25" s="1"/>
  <c r="E31" i="13"/>
  <c r="E33"/>
  <c r="H33" s="1"/>
  <c r="D34" i="25" s="1"/>
  <c r="E35" i="13"/>
  <c r="E37"/>
  <c r="G37" s="1"/>
  <c r="E39"/>
  <c r="E41"/>
  <c r="E43"/>
  <c r="E44"/>
  <c r="H44" s="1"/>
  <c r="D45" i="25" s="1"/>
  <c r="E45" i="13"/>
  <c r="H45" s="1"/>
  <c r="D46" i="25" s="1"/>
  <c r="E46" i="13"/>
  <c r="H46" s="1"/>
  <c r="D47" i="25" s="1"/>
  <c r="E47" i="13"/>
  <c r="E48"/>
  <c r="H48" s="1"/>
  <c r="D49" i="25" s="1"/>
  <c r="E49" i="13"/>
  <c r="H49" s="1"/>
  <c r="D50" i="25" s="1"/>
  <c r="E50" i="13"/>
  <c r="G50" s="1"/>
  <c r="E51"/>
  <c r="E52"/>
  <c r="H52" s="1"/>
  <c r="D53" i="25" s="1"/>
  <c r="E53" i="13"/>
  <c r="H53" s="1"/>
  <c r="D54" i="25" s="1"/>
  <c r="E54" i="13"/>
  <c r="H54" s="1"/>
  <c r="D55" i="25" s="1"/>
  <c r="E55" i="13"/>
  <c r="E56"/>
  <c r="H56" s="1"/>
  <c r="D57" i="25" s="1"/>
  <c r="E57" i="13"/>
  <c r="H57" s="1"/>
  <c r="D58" i="25" s="1"/>
  <c r="E58" i="13"/>
  <c r="H58" s="1"/>
  <c r="D59" i="25" s="1"/>
  <c r="E59" i="13"/>
  <c r="E60"/>
  <c r="G60" s="1"/>
  <c r="E61"/>
  <c r="E62"/>
  <c r="H62" s="1"/>
  <c r="D63" i="25" s="1"/>
  <c r="E63" i="13"/>
  <c r="E64"/>
  <c r="H64" s="1"/>
  <c r="D65" i="25" s="1"/>
  <c r="E65" i="13"/>
  <c r="H65" s="1"/>
  <c r="D66" i="25" s="1"/>
  <c r="E66" i="13"/>
  <c r="G66" s="1"/>
  <c r="E67"/>
  <c r="E68"/>
  <c r="E69"/>
  <c r="H69" s="1"/>
  <c r="D70" i="25" s="1"/>
  <c r="E70" i="13"/>
  <c r="H70" s="1"/>
  <c r="D71" i="25" s="1"/>
  <c r="E71" i="13"/>
  <c r="E72"/>
  <c r="H72" s="1"/>
  <c r="D73" i="25" s="1"/>
  <c r="E73" i="13"/>
  <c r="H73" s="1"/>
  <c r="D74" i="25" s="1"/>
  <c r="E74" i="13"/>
  <c r="H74" s="1"/>
  <c r="D75" i="25" s="1"/>
  <c r="E75" i="13"/>
  <c r="E76"/>
  <c r="G76" s="1"/>
  <c r="I20" i="2"/>
  <c r="I50"/>
  <c r="I68"/>
  <c r="I64" i="25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5"/>
  <c r="I66"/>
  <c r="I67"/>
  <c r="I68"/>
  <c r="I69"/>
  <c r="I70"/>
  <c r="I71"/>
  <c r="I72"/>
  <c r="I73"/>
  <c r="I74"/>
  <c r="I75"/>
  <c r="I76"/>
  <c r="I77"/>
  <c r="G12" i="46"/>
  <c r="G54" i="31"/>
  <c r="G33"/>
  <c r="M30" i="46"/>
  <c r="H10" i="5"/>
  <c r="D6" i="46"/>
  <c r="E6" s="1"/>
  <c r="F6" s="1"/>
  <c r="G6" s="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W6" s="1"/>
  <c r="X6" s="1"/>
  <c r="Y6" s="1"/>
  <c r="Z6" s="1"/>
  <c r="D76" i="33"/>
  <c r="E76"/>
  <c r="Q16" i="1"/>
  <c r="I48"/>
  <c r="K52"/>
  <c r="E57"/>
  <c r="G68"/>
  <c r="F7" i="33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D6" i="31"/>
  <c r="E6" s="1"/>
  <c r="F6" s="1"/>
  <c r="G6" s="1"/>
  <c r="H6" s="1"/>
  <c r="I6" s="1"/>
  <c r="J6" s="1"/>
  <c r="L6" s="1"/>
  <c r="AI76" i="13"/>
  <c r="F77" i="25" s="1"/>
  <c r="AI75" i="13"/>
  <c r="AK75" s="1"/>
  <c r="AL75" s="1"/>
  <c r="AI74"/>
  <c r="AK74" s="1"/>
  <c r="AI73"/>
  <c r="AK73" s="1"/>
  <c r="AL73" s="1"/>
  <c r="AI72"/>
  <c r="AI71"/>
  <c r="AK71" s="1"/>
  <c r="AI70"/>
  <c r="AK70" s="1"/>
  <c r="AO70" s="1"/>
  <c r="AI69"/>
  <c r="AK69" s="1"/>
  <c r="AO69" s="1"/>
  <c r="AI68"/>
  <c r="F69" i="25" s="1"/>
  <c r="AI67" i="13"/>
  <c r="AK67" s="1"/>
  <c r="AL67" s="1"/>
  <c r="AI66"/>
  <c r="AI65"/>
  <c r="AK65" s="1"/>
  <c r="AL65" s="1"/>
  <c r="AI64"/>
  <c r="AK64" s="1"/>
  <c r="AI63"/>
  <c r="AK63" s="1"/>
  <c r="AI62"/>
  <c r="AI61"/>
  <c r="AK61" s="1"/>
  <c r="AM61" s="1"/>
  <c r="G62" i="25" s="1"/>
  <c r="AI60" i="13"/>
  <c r="F61" i="25" s="1"/>
  <c r="AI59" i="13"/>
  <c r="AK59" s="1"/>
  <c r="AL59" s="1"/>
  <c r="AI58"/>
  <c r="AK58" s="1"/>
  <c r="AI57"/>
  <c r="AK57" s="1"/>
  <c r="AL57" s="1"/>
  <c r="AI56"/>
  <c r="AI55"/>
  <c r="AK55" s="1"/>
  <c r="AI54"/>
  <c r="AK54" s="1"/>
  <c r="AN54" s="1"/>
  <c r="AI53"/>
  <c r="AK53" s="1"/>
  <c r="AL53" s="1"/>
  <c r="AI52"/>
  <c r="F53" i="25" s="1"/>
  <c r="AI51" i="13"/>
  <c r="AK51" s="1"/>
  <c r="AL51" s="1"/>
  <c r="AI50"/>
  <c r="AI49"/>
  <c r="AK49" s="1"/>
  <c r="AL49" s="1"/>
  <c r="AI48"/>
  <c r="AK48" s="1"/>
  <c r="AI47"/>
  <c r="AK47" s="1"/>
  <c r="AI46"/>
  <c r="AI45"/>
  <c r="AK45" s="1"/>
  <c r="AN45" s="1"/>
  <c r="AI44"/>
  <c r="F45" i="25" s="1"/>
  <c r="AI43" i="13"/>
  <c r="AK43" s="1"/>
  <c r="AL43" s="1"/>
  <c r="AI42"/>
  <c r="AK42" s="1"/>
  <c r="AI41"/>
  <c r="AK41" s="1"/>
  <c r="AL41" s="1"/>
  <c r="AI40"/>
  <c r="AI38"/>
  <c r="AK38" s="1"/>
  <c r="AI37"/>
  <c r="AK37" s="1"/>
  <c r="AI36"/>
  <c r="AK36" s="1"/>
  <c r="AI35"/>
  <c r="AI34"/>
  <c r="AK34" s="1"/>
  <c r="AM34" s="1"/>
  <c r="G35" i="25" s="1"/>
  <c r="AI33" i="13"/>
  <c r="AI32"/>
  <c r="AK32" s="1"/>
  <c r="AN32" s="1"/>
  <c r="AI31"/>
  <c r="AK31" s="1"/>
  <c r="AI30"/>
  <c r="AK30" s="1"/>
  <c r="AI29"/>
  <c r="AK29" s="1"/>
  <c r="AL29" s="1"/>
  <c r="AI28"/>
  <c r="AK28" s="1"/>
  <c r="AI27"/>
  <c r="AI26"/>
  <c r="AK26" s="1"/>
  <c r="AN26" s="1"/>
  <c r="AI25"/>
  <c r="AK25" s="1"/>
  <c r="AI24"/>
  <c r="AI23"/>
  <c r="AK23" s="1"/>
  <c r="AN23" s="1"/>
  <c r="AI22"/>
  <c r="AK22" s="1"/>
  <c r="AI21"/>
  <c r="AK21" s="1"/>
  <c r="AN21" s="1"/>
  <c r="AI20"/>
  <c r="AK20" s="1"/>
  <c r="AL20" s="1"/>
  <c r="AI19"/>
  <c r="F20" i="25" s="1"/>
  <c r="AI18" i="13"/>
  <c r="AK18" s="1"/>
  <c r="AL18" s="1"/>
  <c r="AI17"/>
  <c r="AI16"/>
  <c r="AK16" s="1"/>
  <c r="AM16" s="1"/>
  <c r="G17" i="25" s="1"/>
  <c r="AI15" i="13"/>
  <c r="F16" i="25" s="1"/>
  <c r="AI14" i="13"/>
  <c r="AK14" s="1"/>
  <c r="AM14" s="1"/>
  <c r="G15" i="25" s="1"/>
  <c r="AI13" i="13"/>
  <c r="AK13" s="1"/>
  <c r="AO13" s="1"/>
  <c r="AI12"/>
  <c r="AK12" s="1"/>
  <c r="AM12" s="1"/>
  <c r="G13" i="25" s="1"/>
  <c r="AI11" i="13"/>
  <c r="AI10"/>
  <c r="AK10" s="1"/>
  <c r="AI9"/>
  <c r="AK9" s="1"/>
  <c r="AM9" s="1"/>
  <c r="G10" i="25" s="1"/>
  <c r="AI8" i="13"/>
  <c r="AK8" s="1"/>
  <c r="AA76"/>
  <c r="Z76"/>
  <c r="Y76"/>
  <c r="O77"/>
  <c r="Q76"/>
  <c r="Q24"/>
  <c r="C7" i="5"/>
  <c r="D7" s="1"/>
  <c r="E7" s="1"/>
  <c r="F7" s="1"/>
  <c r="G7" s="1"/>
  <c r="H7" s="1"/>
  <c r="I7" s="1"/>
  <c r="J7" s="1"/>
  <c r="L6" i="2"/>
  <c r="E6"/>
  <c r="E7"/>
  <c r="E8"/>
  <c r="E9"/>
  <c r="E10"/>
  <c r="E11"/>
  <c r="G11" s="1"/>
  <c r="H11" s="1"/>
  <c r="E12"/>
  <c r="G12" s="1"/>
  <c r="H12" s="1"/>
  <c r="E13"/>
  <c r="E14"/>
  <c r="E15"/>
  <c r="E16"/>
  <c r="G16" s="1"/>
  <c r="H16" s="1"/>
  <c r="E17"/>
  <c r="G17" s="1"/>
  <c r="H17" s="1"/>
  <c r="E18"/>
  <c r="E19"/>
  <c r="E20"/>
  <c r="G20" s="1"/>
  <c r="H20" s="1"/>
  <c r="E21"/>
  <c r="G21" s="1"/>
  <c r="H21" s="1"/>
  <c r="E22"/>
  <c r="E23"/>
  <c r="E24"/>
  <c r="G24" s="1"/>
  <c r="H24" s="1"/>
  <c r="E25"/>
  <c r="E26"/>
  <c r="E27"/>
  <c r="E28"/>
  <c r="G28" s="1"/>
  <c r="H28" s="1"/>
  <c r="E29"/>
  <c r="E30"/>
  <c r="E31"/>
  <c r="E32"/>
  <c r="G32" s="1"/>
  <c r="H32" s="1"/>
  <c r="E33"/>
  <c r="E34"/>
  <c r="E35"/>
  <c r="E36"/>
  <c r="G36" s="1"/>
  <c r="H36" s="1"/>
  <c r="E37"/>
  <c r="G37" s="1"/>
  <c r="H37" s="1"/>
  <c r="E38"/>
  <c r="E39"/>
  <c r="E40"/>
  <c r="G40" s="1"/>
  <c r="H40" s="1"/>
  <c r="E41"/>
  <c r="E42"/>
  <c r="E43"/>
  <c r="G43" s="1"/>
  <c r="H43" s="1"/>
  <c r="E44"/>
  <c r="G44" s="1"/>
  <c r="H44" s="1"/>
  <c r="E45"/>
  <c r="G45" s="1"/>
  <c r="H45" s="1"/>
  <c r="E46"/>
  <c r="E47"/>
  <c r="E48"/>
  <c r="E49"/>
  <c r="G49" s="1"/>
  <c r="H49" s="1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G73" s="1"/>
  <c r="H73" s="1"/>
  <c r="E74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V6" i="1"/>
  <c r="W6" s="1"/>
  <c r="X6" s="1"/>
  <c r="Y6" s="1"/>
  <c r="Z6" s="1"/>
  <c r="AA6" s="1"/>
  <c r="AB6" s="1"/>
  <c r="AC6" s="1"/>
  <c r="AD6" s="1"/>
  <c r="AE6" s="1"/>
  <c r="AF6" s="1"/>
  <c r="AG6" s="1"/>
  <c r="AH6" s="1"/>
  <c r="AI6" s="1"/>
  <c r="AJ6" s="1"/>
  <c r="AK6" s="1"/>
  <c r="AL6" s="1"/>
  <c r="AM6" s="1"/>
  <c r="AN6" s="1"/>
  <c r="AO6" s="1"/>
  <c r="AP6" s="1"/>
  <c r="AQ6" s="1"/>
  <c r="AR6" s="1"/>
  <c r="AS6" s="1"/>
  <c r="AT6" s="1"/>
  <c r="AU6" s="1"/>
  <c r="AV6" s="1"/>
  <c r="AW6" s="1"/>
  <c r="AX6" s="1"/>
  <c r="AY6" s="1"/>
  <c r="AZ6" s="1"/>
  <c r="BA6" s="1"/>
  <c r="BB6" s="1"/>
  <c r="BC6" s="1"/>
  <c r="BD6" s="1"/>
  <c r="BE6" s="1"/>
  <c r="BF6" s="1"/>
  <c r="BG6" s="1"/>
  <c r="BH6" s="1"/>
  <c r="BI6" s="1"/>
  <c r="BJ6" s="1"/>
  <c r="BK6" s="1"/>
  <c r="D75" i="2"/>
  <c r="E44" i="81" s="1"/>
  <c r="G44" s="1"/>
  <c r="C3" i="49"/>
  <c r="D3" s="1"/>
  <c r="E3" s="1"/>
  <c r="F3" s="1"/>
  <c r="G3" s="1"/>
  <c r="Q9" i="13"/>
  <c r="X9"/>
  <c r="Q8"/>
  <c r="X8"/>
  <c r="Q10"/>
  <c r="X10"/>
  <c r="Q11"/>
  <c r="X11"/>
  <c r="Q12"/>
  <c r="X12"/>
  <c r="Q13"/>
  <c r="X13"/>
  <c r="Q14"/>
  <c r="X14"/>
  <c r="Q15"/>
  <c r="X15"/>
  <c r="Q16"/>
  <c r="X16"/>
  <c r="Q17"/>
  <c r="X17"/>
  <c r="Q18"/>
  <c r="X18"/>
  <c r="Q19"/>
  <c r="X19"/>
  <c r="Q20"/>
  <c r="X20"/>
  <c r="Q21"/>
  <c r="X21"/>
  <c r="Q22"/>
  <c r="X22"/>
  <c r="Q23"/>
  <c r="X23"/>
  <c r="X24"/>
  <c r="Q25"/>
  <c r="X25"/>
  <c r="Q26"/>
  <c r="X26"/>
  <c r="Q27"/>
  <c r="X27"/>
  <c r="Q28"/>
  <c r="AC28" s="1"/>
  <c r="X28"/>
  <c r="Q29"/>
  <c r="X29"/>
  <c r="Q30"/>
  <c r="X30"/>
  <c r="Q31"/>
  <c r="X31"/>
  <c r="Q32"/>
  <c r="X32"/>
  <c r="Q33"/>
  <c r="X33"/>
  <c r="Q34"/>
  <c r="X34"/>
  <c r="Q35"/>
  <c r="X35"/>
  <c r="Q36"/>
  <c r="X36"/>
  <c r="Q37"/>
  <c r="X37"/>
  <c r="Q38"/>
  <c r="X38"/>
  <c r="Q39"/>
  <c r="X39"/>
  <c r="Q40"/>
  <c r="X40"/>
  <c r="Q41"/>
  <c r="X41"/>
  <c r="Q42"/>
  <c r="X42"/>
  <c r="Q43"/>
  <c r="X43"/>
  <c r="Q44"/>
  <c r="X44"/>
  <c r="Q45"/>
  <c r="X45"/>
  <c r="Q46"/>
  <c r="X46"/>
  <c r="Q47"/>
  <c r="X47"/>
  <c r="Q48"/>
  <c r="X48"/>
  <c r="Q49"/>
  <c r="X49"/>
  <c r="Q50"/>
  <c r="X50"/>
  <c r="Q51"/>
  <c r="X51"/>
  <c r="Q52"/>
  <c r="X52"/>
  <c r="Q53"/>
  <c r="X53"/>
  <c r="Q54"/>
  <c r="X54"/>
  <c r="Q55"/>
  <c r="X55"/>
  <c r="Q56"/>
  <c r="X56"/>
  <c r="Q57"/>
  <c r="X57"/>
  <c r="Q58"/>
  <c r="X58"/>
  <c r="Q59"/>
  <c r="X59"/>
  <c r="Q60"/>
  <c r="X60"/>
  <c r="Q61"/>
  <c r="X61"/>
  <c r="Q62"/>
  <c r="X62"/>
  <c r="Q63"/>
  <c r="X63"/>
  <c r="Q64"/>
  <c r="X64"/>
  <c r="Q65"/>
  <c r="X65"/>
  <c r="Q66"/>
  <c r="X66"/>
  <c r="Q67"/>
  <c r="X67"/>
  <c r="Q68"/>
  <c r="X68"/>
  <c r="Q69"/>
  <c r="X69"/>
  <c r="Q70"/>
  <c r="X70"/>
  <c r="Q71"/>
  <c r="X71"/>
  <c r="Q72"/>
  <c r="X72"/>
  <c r="Q73"/>
  <c r="X73"/>
  <c r="Q74"/>
  <c r="X74"/>
  <c r="Q75"/>
  <c r="X75"/>
  <c r="C6" i="33"/>
  <c r="D6" s="1"/>
  <c r="E6" s="1"/>
  <c r="F6" s="1"/>
  <c r="G6" s="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W6" s="1"/>
  <c r="X6" s="1"/>
  <c r="Y6" s="1"/>
  <c r="Z6" s="1"/>
  <c r="AA6" s="1"/>
  <c r="AB6" s="1"/>
  <c r="AC6" s="1"/>
  <c r="AD6" s="1"/>
  <c r="AE6" s="1"/>
  <c r="AF6" s="1"/>
  <c r="I6" i="13"/>
  <c r="J6" s="1"/>
  <c r="K6" s="1"/>
  <c r="L6" s="1"/>
  <c r="M6" s="1"/>
  <c r="N6" s="1"/>
  <c r="O6" s="1"/>
  <c r="P6" s="1"/>
  <c r="Q6" s="1"/>
  <c r="R6" s="1"/>
  <c r="S6" s="1"/>
  <c r="T6" s="1"/>
  <c r="U6" s="1"/>
  <c r="V6" s="1"/>
  <c r="W6" s="1"/>
  <c r="X6" s="1"/>
  <c r="Y6" s="1"/>
  <c r="Z6" s="1"/>
  <c r="AA6" s="1"/>
  <c r="AB6" s="1"/>
  <c r="AC6" s="1"/>
  <c r="AD6" s="1"/>
  <c r="AE6" s="1"/>
  <c r="AF6" s="1"/>
  <c r="AG6" s="1"/>
  <c r="AH6" s="1"/>
  <c r="AI6" s="1"/>
  <c r="AJ6" s="1"/>
  <c r="AK6" s="1"/>
  <c r="AL6" s="1"/>
  <c r="AM6" s="1"/>
  <c r="AN6" s="1"/>
  <c r="AO6" s="1"/>
  <c r="AP6" s="1"/>
  <c r="AQ6" s="1"/>
  <c r="AR6" s="1"/>
  <c r="D6"/>
  <c r="D7" i="25"/>
  <c r="E7" s="1"/>
  <c r="F7" s="1"/>
  <c r="G7" s="1"/>
  <c r="H7" s="1"/>
  <c r="I7" s="1"/>
  <c r="J7" s="1"/>
  <c r="N4" i="1"/>
  <c r="C75" i="2"/>
  <c r="F60" i="25"/>
  <c r="AP77" i="13"/>
  <c r="E35" i="81" s="1"/>
  <c r="H35" s="1"/>
  <c r="AA8" i="13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Z21"/>
  <c r="Z8"/>
  <c r="Z9"/>
  <c r="Z10"/>
  <c r="Z11"/>
  <c r="Z12"/>
  <c r="Z13"/>
  <c r="Z14"/>
  <c r="Z15"/>
  <c r="Z16"/>
  <c r="Z17"/>
  <c r="Z18"/>
  <c r="Z19"/>
  <c r="Z20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W77"/>
  <c r="S77"/>
  <c r="P77"/>
  <c r="L77"/>
  <c r="J77"/>
  <c r="C77"/>
  <c r="K75" i="2"/>
  <c r="O6" i="1"/>
  <c r="P6" s="1"/>
  <c r="Q6" s="1"/>
  <c r="R6" s="1"/>
  <c r="S6" s="1"/>
  <c r="Y75" i="13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AN19"/>
  <c r="AO19"/>
  <c r="D77"/>
  <c r="G12" i="31"/>
  <c r="L9" i="1"/>
  <c r="M9" s="1"/>
  <c r="N9" s="1"/>
  <c r="I8" i="2"/>
  <c r="L10" i="1"/>
  <c r="M10" s="1"/>
  <c r="N10" s="1"/>
  <c r="L11"/>
  <c r="M11" s="1"/>
  <c r="N11" s="1"/>
  <c r="L12"/>
  <c r="M12" s="1"/>
  <c r="N12" s="1"/>
  <c r="L13"/>
  <c r="M13" s="1"/>
  <c r="N13" s="1"/>
  <c r="I12" i="2"/>
  <c r="L14" i="1"/>
  <c r="M14" s="1"/>
  <c r="N14" s="1"/>
  <c r="L15"/>
  <c r="M15" s="1"/>
  <c r="N15" s="1"/>
  <c r="L17"/>
  <c r="M17" s="1"/>
  <c r="N17" s="1"/>
  <c r="I16" i="2"/>
  <c r="L18" i="1"/>
  <c r="M18" s="1"/>
  <c r="N18" s="1"/>
  <c r="L19"/>
  <c r="M19" s="1"/>
  <c r="N19" s="1"/>
  <c r="I18" i="2"/>
  <c r="L20" i="1"/>
  <c r="M20" s="1"/>
  <c r="N20" s="1"/>
  <c r="L21"/>
  <c r="M21" s="1"/>
  <c r="N21" s="1"/>
  <c r="L23"/>
  <c r="M23" s="1"/>
  <c r="N23" s="1"/>
  <c r="I24" i="2"/>
  <c r="L26" i="1"/>
  <c r="M26" s="1"/>
  <c r="N26" s="1"/>
  <c r="L27"/>
  <c r="M27" s="1"/>
  <c r="N27" s="1"/>
  <c r="L28"/>
  <c r="M28" s="1"/>
  <c r="N28" s="1"/>
  <c r="L29"/>
  <c r="M29" s="1"/>
  <c r="N29" s="1"/>
  <c r="L30"/>
  <c r="M30" s="1"/>
  <c r="N30" s="1"/>
  <c r="L31"/>
  <c r="M31" s="1"/>
  <c r="N31" s="1"/>
  <c r="I30" i="2"/>
  <c r="L32" i="1"/>
  <c r="M32" s="1"/>
  <c r="N32" s="1"/>
  <c r="L33"/>
  <c r="M33" s="1"/>
  <c r="N33" s="1"/>
  <c r="I32" i="2"/>
  <c r="L34" i="1"/>
  <c r="M34" s="1"/>
  <c r="N34" s="1"/>
  <c r="L35"/>
  <c r="M35" s="1"/>
  <c r="N35" s="1"/>
  <c r="L36"/>
  <c r="M36" s="1"/>
  <c r="N36" s="1"/>
  <c r="L37"/>
  <c r="M37" s="1"/>
  <c r="N37" s="1"/>
  <c r="I36" i="2"/>
  <c r="L38" i="1"/>
  <c r="M38" s="1"/>
  <c r="N38" s="1"/>
  <c r="L39"/>
  <c r="M39" s="1"/>
  <c r="N39" s="1"/>
  <c r="I38" i="2"/>
  <c r="L40" i="1"/>
  <c r="M40" s="1"/>
  <c r="N40" s="1"/>
  <c r="L41"/>
  <c r="M41" s="1"/>
  <c r="N41" s="1"/>
  <c r="I40" i="2"/>
  <c r="L42" i="1"/>
  <c r="M42" s="1"/>
  <c r="N42" s="1"/>
  <c r="L44"/>
  <c r="M44" s="1"/>
  <c r="N44" s="1"/>
  <c r="L45"/>
  <c r="M45" s="1"/>
  <c r="N45" s="1"/>
  <c r="L47"/>
  <c r="M47" s="1"/>
  <c r="N47" s="1"/>
  <c r="L48"/>
  <c r="M48" s="1"/>
  <c r="N48" s="1"/>
  <c r="L49"/>
  <c r="M49" s="1"/>
  <c r="N49" s="1"/>
  <c r="L50"/>
  <c r="M50" s="1"/>
  <c r="N50" s="1"/>
  <c r="L51"/>
  <c r="M51" s="1"/>
  <c r="N51" s="1"/>
  <c r="L52"/>
  <c r="M52" s="1"/>
  <c r="N52" s="1"/>
  <c r="L54"/>
  <c r="M54" s="1"/>
  <c r="N54" s="1"/>
  <c r="L55"/>
  <c r="M55" s="1"/>
  <c r="N55" s="1"/>
  <c r="L56"/>
  <c r="M56" s="1"/>
  <c r="N56" s="1"/>
  <c r="L57"/>
  <c r="M57" s="1"/>
  <c r="N57" s="1"/>
  <c r="L58"/>
  <c r="M58" s="1"/>
  <c r="N58" s="1"/>
  <c r="L59"/>
  <c r="M59" s="1"/>
  <c r="N59" s="1"/>
  <c r="L60"/>
  <c r="M60" s="1"/>
  <c r="N60" s="1"/>
  <c r="L61"/>
  <c r="M61" s="1"/>
  <c r="N61" s="1"/>
  <c r="L62"/>
  <c r="M62" s="1"/>
  <c r="N62" s="1"/>
  <c r="I61" i="2"/>
  <c r="L63" i="1"/>
  <c r="M63" s="1"/>
  <c r="N63" s="1"/>
  <c r="L64"/>
  <c r="M64" s="1"/>
  <c r="N64" s="1"/>
  <c r="L65"/>
  <c r="M65" s="1"/>
  <c r="N65" s="1"/>
  <c r="L66"/>
  <c r="M66" s="1"/>
  <c r="N66" s="1"/>
  <c r="M64" i="2"/>
  <c r="N64" s="1"/>
  <c r="M63"/>
  <c r="N63" s="1"/>
  <c r="M62"/>
  <c r="N62" s="1"/>
  <c r="M60"/>
  <c r="N60" s="1"/>
  <c r="M59"/>
  <c r="N59" s="1"/>
  <c r="M58"/>
  <c r="N58" s="1"/>
  <c r="M57"/>
  <c r="N57" s="1"/>
  <c r="M56"/>
  <c r="N56" s="1"/>
  <c r="M55"/>
  <c r="N55" s="1"/>
  <c r="M54"/>
  <c r="N54" s="1"/>
  <c r="M53"/>
  <c r="N53" s="1"/>
  <c r="M52"/>
  <c r="N52" s="1"/>
  <c r="M50"/>
  <c r="N50" s="1"/>
  <c r="M49"/>
  <c r="N49" s="1"/>
  <c r="M48"/>
  <c r="N48" s="1"/>
  <c r="M47"/>
  <c r="N47" s="1"/>
  <c r="M46"/>
  <c r="N46" s="1"/>
  <c r="M45"/>
  <c r="N45" s="1"/>
  <c r="M43"/>
  <c r="N43" s="1"/>
  <c r="M42"/>
  <c r="N42" s="1"/>
  <c r="M40"/>
  <c r="N40" s="1"/>
  <c r="M38"/>
  <c r="N38" s="1"/>
  <c r="M37"/>
  <c r="N37" s="1"/>
  <c r="M36"/>
  <c r="N36" s="1"/>
  <c r="M35"/>
  <c r="N35" s="1"/>
  <c r="M34"/>
  <c r="N34" s="1"/>
  <c r="M33"/>
  <c r="N33" s="1"/>
  <c r="M32"/>
  <c r="N32" s="1"/>
  <c r="M31"/>
  <c r="N31" s="1"/>
  <c r="M30"/>
  <c r="N30" s="1"/>
  <c r="M29"/>
  <c r="N29" s="1"/>
  <c r="M28"/>
  <c r="N28" s="1"/>
  <c r="M27"/>
  <c r="N27" s="1"/>
  <c r="M26"/>
  <c r="N26" s="1"/>
  <c r="M25"/>
  <c r="N25" s="1"/>
  <c r="M24"/>
  <c r="N24" s="1"/>
  <c r="M23"/>
  <c r="N23" s="1"/>
  <c r="M21"/>
  <c r="N21" s="1"/>
  <c r="M20"/>
  <c r="N20" s="1"/>
  <c r="M19"/>
  <c r="N19" s="1"/>
  <c r="M18"/>
  <c r="N18" s="1"/>
  <c r="M17"/>
  <c r="N17" s="1"/>
  <c r="M16"/>
  <c r="N16" s="1"/>
  <c r="M15"/>
  <c r="N15" s="1"/>
  <c r="M13"/>
  <c r="N13" s="1"/>
  <c r="M12"/>
  <c r="N12" s="1"/>
  <c r="M11"/>
  <c r="N11" s="1"/>
  <c r="M10"/>
  <c r="N10" s="1"/>
  <c r="M9"/>
  <c r="N9" s="1"/>
  <c r="M8"/>
  <c r="N8" s="1"/>
  <c r="M7"/>
  <c r="N7" s="1"/>
  <c r="M39"/>
  <c r="N39" s="1"/>
  <c r="M61"/>
  <c r="N61" s="1"/>
  <c r="G11" i="46"/>
  <c r="G21"/>
  <c r="G7"/>
  <c r="G13"/>
  <c r="G14"/>
  <c r="G10"/>
  <c r="G17"/>
  <c r="G29" i="31"/>
  <c r="I65" i="2"/>
  <c r="L67" i="1"/>
  <c r="M67" s="1"/>
  <c r="N67" s="1"/>
  <c r="M65" i="2"/>
  <c r="N65" s="1"/>
  <c r="I66"/>
  <c r="L68" i="1"/>
  <c r="M68" s="1"/>
  <c r="N68" s="1"/>
  <c r="M66" i="2"/>
  <c r="N66" s="1"/>
  <c r="L69" i="1"/>
  <c r="M69" s="1"/>
  <c r="N69" s="1"/>
  <c r="M67" i="2"/>
  <c r="N67" s="1"/>
  <c r="L70" i="1"/>
  <c r="M70" s="1"/>
  <c r="N70" s="1"/>
  <c r="M68" i="2"/>
  <c r="N68" s="1"/>
  <c r="L71" i="1"/>
  <c r="M71" s="1"/>
  <c r="N71" s="1"/>
  <c r="M69" i="2"/>
  <c r="N69" s="1"/>
  <c r="L72" i="1"/>
  <c r="M72" s="1"/>
  <c r="N72" s="1"/>
  <c r="M70" i="2"/>
  <c r="N70" s="1"/>
  <c r="L73" i="1"/>
  <c r="M73" s="1"/>
  <c r="N73" s="1"/>
  <c r="M71" i="2"/>
  <c r="N71" s="1"/>
  <c r="I72"/>
  <c r="L74" i="1"/>
  <c r="M74" s="1"/>
  <c r="N74" s="1"/>
  <c r="M72" i="2"/>
  <c r="N72" s="1"/>
  <c r="L75" i="1"/>
  <c r="M75" s="1"/>
  <c r="N75" s="1"/>
  <c r="M73" i="2"/>
  <c r="N73" s="1"/>
  <c r="L76" i="1"/>
  <c r="M76" s="1"/>
  <c r="N76" s="1"/>
  <c r="M74" i="2"/>
  <c r="N74" s="1"/>
  <c r="L8" i="1"/>
  <c r="M8" s="1"/>
  <c r="N8" s="1"/>
  <c r="M6" i="2"/>
  <c r="N6" s="1"/>
  <c r="AK39" i="13"/>
  <c r="AL39" s="1"/>
  <c r="F40" i="25"/>
  <c r="L22" i="1"/>
  <c r="M22" s="1"/>
  <c r="N22" s="1"/>
  <c r="L25"/>
  <c r="M25" s="1"/>
  <c r="N25" s="1"/>
  <c r="AJ77" i="13"/>
  <c r="AM19"/>
  <c r="G20" i="25" s="1"/>
  <c r="AL19" i="13"/>
  <c r="AL37"/>
  <c r="D5" i="2"/>
  <c r="E5" s="1"/>
  <c r="F5" s="1"/>
  <c r="G5" s="1"/>
  <c r="H5" s="1"/>
  <c r="I5" s="1"/>
  <c r="J5" s="1"/>
  <c r="K5" s="1"/>
  <c r="L5" s="1"/>
  <c r="M5" s="1"/>
  <c r="N5" s="1"/>
  <c r="O5" s="1"/>
  <c r="P5" s="1"/>
  <c r="Q5" s="1"/>
  <c r="R5" s="1"/>
  <c r="AZ77" i="1"/>
  <c r="M23" i="67"/>
  <c r="BK24" i="1"/>
  <c r="BM24" s="1"/>
  <c r="L24"/>
  <c r="M24" s="1"/>
  <c r="N24" s="1"/>
  <c r="M22" i="2"/>
  <c r="N22" s="1"/>
  <c r="M52" i="67"/>
  <c r="BK53" i="1"/>
  <c r="BM53" s="1"/>
  <c r="L53"/>
  <c r="M53" s="1"/>
  <c r="N53" s="1"/>
  <c r="M51" i="2"/>
  <c r="N51" s="1"/>
  <c r="G75" i="33" l="1"/>
  <c r="H67"/>
  <c r="H57"/>
  <c r="H55"/>
  <c r="H47"/>
  <c r="H43"/>
  <c r="H39"/>
  <c r="H35"/>
  <c r="H25"/>
  <c r="H23"/>
  <c r="H11"/>
  <c r="H9"/>
  <c r="H7"/>
  <c r="H71"/>
  <c r="H63"/>
  <c r="H59"/>
  <c r="H51"/>
  <c r="H33"/>
  <c r="H31"/>
  <c r="H27"/>
  <c r="H19"/>
  <c r="H17"/>
  <c r="H15"/>
  <c r="H74"/>
  <c r="G72"/>
  <c r="G70"/>
  <c r="H68"/>
  <c r="H66"/>
  <c r="G64"/>
  <c r="H62"/>
  <c r="G60"/>
  <c r="H58"/>
  <c r="G56"/>
  <c r="H54"/>
  <c r="H52"/>
  <c r="H50"/>
  <c r="G48"/>
  <c r="G46"/>
  <c r="H44"/>
  <c r="H42"/>
  <c r="G40"/>
  <c r="G38"/>
  <c r="H36"/>
  <c r="H34"/>
  <c r="G32"/>
  <c r="G30"/>
  <c r="G28"/>
  <c r="H26"/>
  <c r="G24"/>
  <c r="H22"/>
  <c r="H20"/>
  <c r="H18"/>
  <c r="G16"/>
  <c r="H14"/>
  <c r="H12"/>
  <c r="H10"/>
  <c r="G8"/>
  <c r="Q22" i="2"/>
  <c r="F32" i="25"/>
  <c r="G64" i="13"/>
  <c r="AC48"/>
  <c r="F65" i="25"/>
  <c r="AC73" i="13"/>
  <c r="AC61"/>
  <c r="AC57"/>
  <c r="AC45"/>
  <c r="AC39"/>
  <c r="Q70" i="1"/>
  <c r="G69" i="31"/>
  <c r="G29" i="13"/>
  <c r="AB37"/>
  <c r="AC21"/>
  <c r="F38" i="25"/>
  <c r="G19" i="33"/>
  <c r="Q51" i="1"/>
  <c r="Q59"/>
  <c r="Q36"/>
  <c r="L77" i="76"/>
  <c r="E76" i="81"/>
  <c r="H76" s="1"/>
  <c r="F43" i="25"/>
  <c r="G27" i="33"/>
  <c r="F14" i="25"/>
  <c r="F55"/>
  <c r="F75"/>
  <c r="G54" i="13"/>
  <c r="G43" i="33"/>
  <c r="F59" i="25"/>
  <c r="G71" i="33"/>
  <c r="AC74" i="13"/>
  <c r="AC66"/>
  <c r="AC62"/>
  <c r="AC54"/>
  <c r="AC38"/>
  <c r="AB75"/>
  <c r="F74" i="25"/>
  <c r="G12" i="13"/>
  <c r="F49" i="25"/>
  <c r="F62"/>
  <c r="AB28" i="13"/>
  <c r="G28"/>
  <c r="F66" i="25"/>
  <c r="AC55" i="13"/>
  <c r="AC47"/>
  <c r="AB8"/>
  <c r="AO16"/>
  <c r="F70" i="25"/>
  <c r="AC12" i="13"/>
  <c r="AC20"/>
  <c r="G52" i="33"/>
  <c r="G7"/>
  <c r="G36"/>
  <c r="H60"/>
  <c r="H16"/>
  <c r="H40"/>
  <c r="G68"/>
  <c r="F22" i="25"/>
  <c r="G8" i="13"/>
  <c r="E74" i="81"/>
  <c r="H74" s="1"/>
  <c r="F76" i="25"/>
  <c r="H8" i="13"/>
  <c r="D9" i="25" s="1"/>
  <c r="AL26" i="13"/>
  <c r="F72" i="25"/>
  <c r="G65" i="13"/>
  <c r="H30" i="33"/>
  <c r="G16" i="13"/>
  <c r="G69"/>
  <c r="G22" i="33"/>
  <c r="H46"/>
  <c r="AB23" i="13"/>
  <c r="F11" i="25"/>
  <c r="G24" i="13"/>
  <c r="G57"/>
  <c r="G26" i="33"/>
  <c r="H38"/>
  <c r="AB65" i="13"/>
  <c r="AC15"/>
  <c r="AC8"/>
  <c r="H5" i="67"/>
  <c r="I5"/>
  <c r="J5" s="1"/>
  <c r="K5" s="1"/>
  <c r="L5" s="1"/>
  <c r="M5" s="1"/>
  <c r="N5" s="1"/>
  <c r="O5" s="1"/>
  <c r="P5" s="1"/>
  <c r="Q5" s="1"/>
  <c r="R5" s="1"/>
  <c r="S5" s="1"/>
  <c r="T5" s="1"/>
  <c r="U5" s="1"/>
  <c r="V5" s="1"/>
  <c r="Q67" i="1"/>
  <c r="Q55"/>
  <c r="Q47"/>
  <c r="Q27"/>
  <c r="AC42" i="13"/>
  <c r="AM20"/>
  <c r="G21" i="25" s="1"/>
  <c r="G58" i="13"/>
  <c r="AC25"/>
  <c r="G46"/>
  <c r="G62"/>
  <c r="G74"/>
  <c r="AK60"/>
  <c r="AO60" s="1"/>
  <c r="Q74" i="1"/>
  <c r="Q64"/>
  <c r="Q42"/>
  <c r="Q22"/>
  <c r="G57" i="33"/>
  <c r="Q32" i="1"/>
  <c r="Q11"/>
  <c r="AN16" i="13"/>
  <c r="F50" i="25"/>
  <c r="F71"/>
  <c r="G21" i="13"/>
  <c r="G11" i="33"/>
  <c r="G55"/>
  <c r="G63"/>
  <c r="AC29" i="13"/>
  <c r="AB18"/>
  <c r="N18" i="67"/>
  <c r="N54"/>
  <c r="AL32" i="13"/>
  <c r="AL16"/>
  <c r="F21" i="25"/>
  <c r="AB21" i="13"/>
  <c r="AC64"/>
  <c r="G15" i="33"/>
  <c r="G23"/>
  <c r="G31"/>
  <c r="G39"/>
  <c r="G47"/>
  <c r="G67"/>
  <c r="H75"/>
  <c r="AB52" i="13"/>
  <c r="AB48"/>
  <c r="G4" i="49"/>
  <c r="AE7" i="33" s="1"/>
  <c r="AL12" i="13"/>
  <c r="F9" i="25"/>
  <c r="F46"/>
  <c r="G52" i="13"/>
  <c r="G35" i="33"/>
  <c r="G51"/>
  <c r="G59"/>
  <c r="AC68" i="13"/>
  <c r="AC52"/>
  <c r="AC26"/>
  <c r="AE11"/>
  <c r="C12" i="25" s="1"/>
  <c r="AK52" i="13"/>
  <c r="AM52" s="1"/>
  <c r="G53" i="25" s="1"/>
  <c r="AK44" i="13"/>
  <c r="AL44" s="1"/>
  <c r="AK68"/>
  <c r="AL68" s="1"/>
  <c r="X79"/>
  <c r="BL6" i="1"/>
  <c r="BM6" s="1"/>
  <c r="BN6" s="1"/>
  <c r="BO6" s="1"/>
  <c r="BP6" s="1"/>
  <c r="M6" i="31"/>
  <c r="N6" s="1"/>
  <c r="O6" s="1"/>
  <c r="P6" s="1"/>
  <c r="Q6" s="1"/>
  <c r="R6" s="1"/>
  <c r="S6" s="1"/>
  <c r="C95" i="67"/>
  <c r="C96" s="1"/>
  <c r="C101" s="1"/>
  <c r="AM26" i="13"/>
  <c r="G27" i="25" s="1"/>
  <c r="F27"/>
  <c r="F39"/>
  <c r="AC9" i="13"/>
  <c r="G33"/>
  <c r="G12" i="33"/>
  <c r="Q73" i="1"/>
  <c r="Q69"/>
  <c r="Q63"/>
  <c r="Q58"/>
  <c r="Q54"/>
  <c r="Q50"/>
  <c r="Q46"/>
  <c r="Q40"/>
  <c r="Q35"/>
  <c r="Q31"/>
  <c r="Q26"/>
  <c r="Q20"/>
  <c r="Q15"/>
  <c r="Q10"/>
  <c r="H37" i="13"/>
  <c r="D38" i="25" s="1"/>
  <c r="AB31" i="13"/>
  <c r="K5" i="72"/>
  <c r="L5" s="1"/>
  <c r="AN70" i="13"/>
  <c r="AM18"/>
  <c r="G19" i="25" s="1"/>
  <c r="Q77" i="1"/>
  <c r="E9" i="81" s="1"/>
  <c r="H9" s="1"/>
  <c r="F15" i="25"/>
  <c r="G38" i="13"/>
  <c r="G20" i="33"/>
  <c r="H32"/>
  <c r="G44"/>
  <c r="H48"/>
  <c r="H64"/>
  <c r="AC60" i="13"/>
  <c r="Q76" i="1"/>
  <c r="Q72"/>
  <c r="Q68"/>
  <c r="Q66"/>
  <c r="Q62"/>
  <c r="Q52"/>
  <c r="Q48"/>
  <c r="Q44"/>
  <c r="Q39"/>
  <c r="Q34"/>
  <c r="Q30"/>
  <c r="Q24"/>
  <c r="Q19"/>
  <c r="Q14"/>
  <c r="Q8"/>
  <c r="F35" i="25"/>
  <c r="F44"/>
  <c r="G9" i="13"/>
  <c r="G17"/>
  <c r="G45"/>
  <c r="H8" i="33"/>
  <c r="H28"/>
  <c r="H72"/>
  <c r="AB33" i="13"/>
  <c r="Q75" i="1"/>
  <c r="Q71"/>
  <c r="Q65"/>
  <c r="Q60"/>
  <c r="Q56"/>
  <c r="Q43"/>
  <c r="Q38"/>
  <c r="Q28"/>
  <c r="Q23"/>
  <c r="Q18"/>
  <c r="AI81" i="13"/>
  <c r="N62" i="67"/>
  <c r="N70"/>
  <c r="N14"/>
  <c r="N38"/>
  <c r="M38" i="46"/>
  <c r="E75" i="81" s="1"/>
  <c r="H75" s="1"/>
  <c r="N34" i="67"/>
  <c r="N50"/>
  <c r="N74"/>
  <c r="N9"/>
  <c r="L75" i="2"/>
  <c r="G77" i="81"/>
  <c r="H77"/>
  <c r="I43" i="2"/>
  <c r="G14" i="33"/>
  <c r="G18"/>
  <c r="G62"/>
  <c r="G74"/>
  <c r="G54"/>
  <c r="G58"/>
  <c r="H70"/>
  <c r="G10"/>
  <c r="G66"/>
  <c r="G25"/>
  <c r="G34"/>
  <c r="G42"/>
  <c r="G50"/>
  <c r="G17" i="81"/>
  <c r="G18"/>
  <c r="G36" i="46"/>
  <c r="G28"/>
  <c r="G30" s="1"/>
  <c r="N7" i="67"/>
  <c r="N31"/>
  <c r="N39"/>
  <c r="N43"/>
  <c r="N75"/>
  <c r="D79" i="1"/>
  <c r="N22" i="67"/>
  <c r="N46"/>
  <c r="G14" i="2"/>
  <c r="H14" s="1"/>
  <c r="G46"/>
  <c r="H46" s="1"/>
  <c r="N19" i="67"/>
  <c r="N55"/>
  <c r="N23"/>
  <c r="G31" i="2"/>
  <c r="H31" s="1"/>
  <c r="G27"/>
  <c r="H27" s="1"/>
  <c r="G23"/>
  <c r="H23" s="1"/>
  <c r="G72"/>
  <c r="H72" s="1"/>
  <c r="G68"/>
  <c r="H68" s="1"/>
  <c r="G64"/>
  <c r="H64" s="1"/>
  <c r="G60"/>
  <c r="H60" s="1"/>
  <c r="G56"/>
  <c r="H56" s="1"/>
  <c r="G52"/>
  <c r="H52" s="1"/>
  <c r="G48"/>
  <c r="H48" s="1"/>
  <c r="G8"/>
  <c r="H8" s="1"/>
  <c r="N10" i="67"/>
  <c r="N20"/>
  <c r="N27"/>
  <c r="N36"/>
  <c r="N47"/>
  <c r="N56"/>
  <c r="N66"/>
  <c r="N60"/>
  <c r="N58"/>
  <c r="G63" i="2"/>
  <c r="H63" s="1"/>
  <c r="G59"/>
  <c r="H59" s="1"/>
  <c r="G55"/>
  <c r="H55" s="1"/>
  <c r="N11" i="67"/>
  <c r="N59"/>
  <c r="D77" i="1"/>
  <c r="H77"/>
  <c r="F77"/>
  <c r="J77"/>
  <c r="O33"/>
  <c r="P33" s="1"/>
  <c r="I10"/>
  <c r="I77" s="1"/>
  <c r="O19"/>
  <c r="P19" s="1"/>
  <c r="E9"/>
  <c r="O9" s="1"/>
  <c r="P9" s="1"/>
  <c r="BN9" s="1"/>
  <c r="O49"/>
  <c r="P49" s="1"/>
  <c r="BN49" s="1"/>
  <c r="BP49" s="1"/>
  <c r="N32" i="67"/>
  <c r="N48"/>
  <c r="N68"/>
  <c r="O20" i="1"/>
  <c r="P20" s="1"/>
  <c r="BN20" s="1"/>
  <c r="BP20" s="1"/>
  <c r="K77"/>
  <c r="E23" i="81" s="1"/>
  <c r="H23" s="1"/>
  <c r="O75" i="1"/>
  <c r="P75" s="1"/>
  <c r="BN75" s="1"/>
  <c r="BP75" s="1"/>
  <c r="O58"/>
  <c r="P58" s="1"/>
  <c r="BN58" s="1"/>
  <c r="BP58" s="1"/>
  <c r="O53"/>
  <c r="P53" s="1"/>
  <c r="BN53" s="1"/>
  <c r="BP53" s="1"/>
  <c r="O22"/>
  <c r="P22" s="1"/>
  <c r="BN22" s="1"/>
  <c r="BP22" s="1"/>
  <c r="O64"/>
  <c r="P64" s="1"/>
  <c r="O21"/>
  <c r="P21" s="1"/>
  <c r="BN21" s="1"/>
  <c r="BP21" s="1"/>
  <c r="O31"/>
  <c r="P31" s="1"/>
  <c r="G77"/>
  <c r="E21" i="81" s="1"/>
  <c r="H21" s="1"/>
  <c r="O76" i="1"/>
  <c r="P76" s="1"/>
  <c r="BN76" s="1"/>
  <c r="BP76" s="1"/>
  <c r="O15"/>
  <c r="P15" s="1"/>
  <c r="O28"/>
  <c r="P28" s="1"/>
  <c r="O60"/>
  <c r="P60" s="1"/>
  <c r="BN60" s="1"/>
  <c r="BP60" s="1"/>
  <c r="O18"/>
  <c r="P18" s="1"/>
  <c r="BN18" s="1"/>
  <c r="BP18" s="1"/>
  <c r="O23"/>
  <c r="P23" s="1"/>
  <c r="BN23" s="1"/>
  <c r="BP23" s="1"/>
  <c r="O17"/>
  <c r="P17" s="1"/>
  <c r="O13"/>
  <c r="P13" s="1"/>
  <c r="BN13" s="1"/>
  <c r="BP13" s="1"/>
  <c r="I49" i="2"/>
  <c r="I37"/>
  <c r="G69"/>
  <c r="H69" s="1"/>
  <c r="G41"/>
  <c r="H41" s="1"/>
  <c r="G9"/>
  <c r="H9" s="1"/>
  <c r="N24" i="67"/>
  <c r="N28"/>
  <c r="I73" i="2"/>
  <c r="G61"/>
  <c r="H61" s="1"/>
  <c r="G57"/>
  <c r="H57" s="1"/>
  <c r="G53"/>
  <c r="H53" s="1"/>
  <c r="G33"/>
  <c r="H33" s="1"/>
  <c r="G29"/>
  <c r="H29" s="1"/>
  <c r="N52" i="67"/>
  <c r="G13" i="2"/>
  <c r="H13" s="1"/>
  <c r="N44" i="67"/>
  <c r="AK46" i="13"/>
  <c r="AO46" s="1"/>
  <c r="F47" i="25"/>
  <c r="F54"/>
  <c r="AK35" i="13"/>
  <c r="AN35" s="1"/>
  <c r="F36" i="25"/>
  <c r="AK40" i="13"/>
  <c r="AL40" s="1"/>
  <c r="F41" i="25"/>
  <c r="AE20" i="13"/>
  <c r="AD20" s="1"/>
  <c r="AB20"/>
  <c r="AK56"/>
  <c r="AL56" s="1"/>
  <c r="F57" i="25"/>
  <c r="AE69" i="13"/>
  <c r="C70" i="25" s="1"/>
  <c r="AC69" i="13"/>
  <c r="AE49"/>
  <c r="AQ49" s="1"/>
  <c r="Y49" i="1" s="1"/>
  <c r="BH49" s="1"/>
  <c r="BJ49" s="1"/>
  <c r="AC49" i="13"/>
  <c r="AK50"/>
  <c r="AN50" s="1"/>
  <c r="F51" i="25"/>
  <c r="AK62" i="13"/>
  <c r="AL62" s="1"/>
  <c r="F63" i="25"/>
  <c r="AK66" i="13"/>
  <c r="AN66" s="1"/>
  <c r="F67" i="25"/>
  <c r="AK72" i="13"/>
  <c r="AO72" s="1"/>
  <c r="F73" i="25"/>
  <c r="H73" i="33"/>
  <c r="G73"/>
  <c r="H69"/>
  <c r="G69"/>
  <c r="H65"/>
  <c r="G65"/>
  <c r="H61"/>
  <c r="G61"/>
  <c r="H53"/>
  <c r="G53"/>
  <c r="H49"/>
  <c r="G49"/>
  <c r="H45"/>
  <c r="G45"/>
  <c r="H41"/>
  <c r="G41"/>
  <c r="O67" i="1"/>
  <c r="P67" s="1"/>
  <c r="BN67" s="1"/>
  <c r="BP67" s="1"/>
  <c r="O61"/>
  <c r="P61" s="1"/>
  <c r="O54"/>
  <c r="P54" s="1"/>
  <c r="O50"/>
  <c r="P50" s="1"/>
  <c r="O45"/>
  <c r="P45" s="1"/>
  <c r="BN45" s="1"/>
  <c r="BP45" s="1"/>
  <c r="O42"/>
  <c r="P42" s="1"/>
  <c r="BN42" s="1"/>
  <c r="BP42" s="1"/>
  <c r="O40"/>
  <c r="P40" s="1"/>
  <c r="O38"/>
  <c r="P38" s="1"/>
  <c r="BN38" s="1"/>
  <c r="BP38" s="1"/>
  <c r="O32"/>
  <c r="P32" s="1"/>
  <c r="O30"/>
  <c r="P30" s="1"/>
  <c r="BN30" s="1"/>
  <c r="BP30" s="1"/>
  <c r="O27"/>
  <c r="P27" s="1"/>
  <c r="O12"/>
  <c r="P12" s="1"/>
  <c r="R12" s="1"/>
  <c r="G33" i="33"/>
  <c r="AE50" i="13"/>
  <c r="C51" i="25" s="1"/>
  <c r="AE42" i="13"/>
  <c r="AE40"/>
  <c r="AD40" s="1"/>
  <c r="AE38"/>
  <c r="C39" i="25" s="1"/>
  <c r="H42" i="13"/>
  <c r="D43" i="25" s="1"/>
  <c r="G42" i="13"/>
  <c r="BK59" i="1"/>
  <c r="BM59" s="1"/>
  <c r="BK18"/>
  <c r="BM18" s="1"/>
  <c r="H21" i="33"/>
  <c r="G21"/>
  <c r="O70" i="1"/>
  <c r="P70" s="1"/>
  <c r="O63"/>
  <c r="P63" s="1"/>
  <c r="BN63" s="1"/>
  <c r="BP63" s="1"/>
  <c r="O68"/>
  <c r="P68" s="1"/>
  <c r="BN68" s="1"/>
  <c r="BP68" s="1"/>
  <c r="O59"/>
  <c r="P59" s="1"/>
  <c r="BN59" s="1"/>
  <c r="BP59" s="1"/>
  <c r="O48"/>
  <c r="P48" s="1"/>
  <c r="O36"/>
  <c r="P36" s="1"/>
  <c r="O14"/>
  <c r="P14" s="1"/>
  <c r="BN14" s="1"/>
  <c r="BP14" s="1"/>
  <c r="H68" i="13"/>
  <c r="D69" i="25" s="1"/>
  <c r="G68" i="13"/>
  <c r="H61"/>
  <c r="D62" i="25" s="1"/>
  <c r="G61" i="13"/>
  <c r="H20"/>
  <c r="D21" i="25" s="1"/>
  <c r="G20" i="13"/>
  <c r="M8" i="67"/>
  <c r="N8" s="1"/>
  <c r="BK9" i="1"/>
  <c r="BM9" s="1"/>
  <c r="M12" i="67"/>
  <c r="N12" s="1"/>
  <c r="BK13" i="1"/>
  <c r="BM13" s="1"/>
  <c r="M21" i="67"/>
  <c r="N21" s="1"/>
  <c r="BK22" i="1"/>
  <c r="BM22" s="1"/>
  <c r="M26" i="67"/>
  <c r="N26" s="1"/>
  <c r="BK27" i="1"/>
  <c r="BM27" s="1"/>
  <c r="M30" i="67"/>
  <c r="N30" s="1"/>
  <c r="BK31" i="1"/>
  <c r="BM31" s="1"/>
  <c r="BK41"/>
  <c r="BM41" s="1"/>
  <c r="M40" i="67"/>
  <c r="N40" s="1"/>
  <c r="BK52" i="1"/>
  <c r="BM52" s="1"/>
  <c r="M51" i="67"/>
  <c r="N51" s="1"/>
  <c r="M57"/>
  <c r="N57" s="1"/>
  <c r="BK58" i="1"/>
  <c r="BM58" s="1"/>
  <c r="BK64"/>
  <c r="BM64" s="1"/>
  <c r="M63" i="67"/>
  <c r="N63" s="1"/>
  <c r="BK68" i="1"/>
  <c r="BM68" s="1"/>
  <c r="M67" i="67"/>
  <c r="N67" s="1"/>
  <c r="M71"/>
  <c r="N71" s="1"/>
  <c r="BK72" i="1"/>
  <c r="BM72" s="1"/>
  <c r="H37" i="33"/>
  <c r="G37"/>
  <c r="H29"/>
  <c r="G29"/>
  <c r="H13"/>
  <c r="G13"/>
  <c r="O65" i="1"/>
  <c r="P65" s="1"/>
  <c r="O56"/>
  <c r="P56" s="1"/>
  <c r="O25"/>
  <c r="P25" s="1"/>
  <c r="BN25" s="1"/>
  <c r="BP25" s="1"/>
  <c r="O8"/>
  <c r="P8" s="1"/>
  <c r="O71"/>
  <c r="P71" s="1"/>
  <c r="BN71" s="1"/>
  <c r="BP71" s="1"/>
  <c r="O57"/>
  <c r="P57" s="1"/>
  <c r="O52"/>
  <c r="P52" s="1"/>
  <c r="O34"/>
  <c r="P34" s="1"/>
  <c r="O26"/>
  <c r="P26" s="1"/>
  <c r="BN26" s="1"/>
  <c r="BP26" s="1"/>
  <c r="O11"/>
  <c r="P11" s="1"/>
  <c r="BN11" s="1"/>
  <c r="BP11" s="1"/>
  <c r="G48" i="13"/>
  <c r="G9" i="33"/>
  <c r="O74" i="1"/>
  <c r="P74" s="1"/>
  <c r="O73"/>
  <c r="P73" s="1"/>
  <c r="O72"/>
  <c r="P72" s="1"/>
  <c r="BN72" s="1"/>
  <c r="BP72" s="1"/>
  <c r="O69"/>
  <c r="P69" s="1"/>
  <c r="BN69" s="1"/>
  <c r="BP69" s="1"/>
  <c r="O66"/>
  <c r="P66" s="1"/>
  <c r="O62"/>
  <c r="P62" s="1"/>
  <c r="BN62" s="1"/>
  <c r="BP62" s="1"/>
  <c r="O55"/>
  <c r="P55" s="1"/>
  <c r="BN55" s="1"/>
  <c r="BP55" s="1"/>
  <c r="O51"/>
  <c r="P51" s="1"/>
  <c r="BN51" s="1"/>
  <c r="BP51" s="1"/>
  <c r="O47"/>
  <c r="P47" s="1"/>
  <c r="BN47" s="1"/>
  <c r="BP47" s="1"/>
  <c r="O44"/>
  <c r="P44" s="1"/>
  <c r="BN44" s="1"/>
  <c r="BP44" s="1"/>
  <c r="O41"/>
  <c r="P41" s="1"/>
  <c r="BN41" s="1"/>
  <c r="BP41" s="1"/>
  <c r="O39"/>
  <c r="P39" s="1"/>
  <c r="O37"/>
  <c r="P37" s="1"/>
  <c r="BN37" s="1"/>
  <c r="BP37" s="1"/>
  <c r="O35"/>
  <c r="P35" s="1"/>
  <c r="O29"/>
  <c r="P29" s="1"/>
  <c r="BN29" s="1"/>
  <c r="BP29" s="1"/>
  <c r="AN51" i="13"/>
  <c r="F10" i="25"/>
  <c r="F17"/>
  <c r="F29"/>
  <c r="F37"/>
  <c r="F42"/>
  <c r="F52"/>
  <c r="F58"/>
  <c r="F68"/>
  <c r="AB38" i="13"/>
  <c r="G17" i="33"/>
  <c r="H24"/>
  <c r="H56"/>
  <c r="G23" i="46"/>
  <c r="G24" s="1"/>
  <c r="M35" i="67"/>
  <c r="N35" s="1"/>
  <c r="N64"/>
  <c r="N72"/>
  <c r="AE47" i="13"/>
  <c r="C48" i="25" s="1"/>
  <c r="AE45" i="13"/>
  <c r="C46" i="25" s="1"/>
  <c r="AE35" i="13"/>
  <c r="AQ35" s="1"/>
  <c r="Y35" i="1" s="1"/>
  <c r="BH35" s="1"/>
  <c r="BJ35" s="1"/>
  <c r="AE27" i="13"/>
  <c r="C28" i="25" s="1"/>
  <c r="G65" i="2"/>
  <c r="H65" s="1"/>
  <c r="G25"/>
  <c r="H25" s="1"/>
  <c r="I78" i="25"/>
  <c r="BK66" i="1"/>
  <c r="BM66" s="1"/>
  <c r="BK45"/>
  <c r="BM45" s="1"/>
  <c r="BK39"/>
  <c r="BM39" s="1"/>
  <c r="C36" i="46"/>
  <c r="F77" i="33"/>
  <c r="H60" i="13"/>
  <c r="D61" i="25" s="1"/>
  <c r="G72" i="49"/>
  <c r="AE75" i="33" s="1"/>
  <c r="G70" i="49"/>
  <c r="AE73" i="33" s="1"/>
  <c r="G68" i="49"/>
  <c r="AE71" i="33" s="1"/>
  <c r="G66" i="49"/>
  <c r="AE69" i="33" s="1"/>
  <c r="G64" i="49"/>
  <c r="AE67" i="33" s="1"/>
  <c r="G62" i="49"/>
  <c r="AE65" i="33" s="1"/>
  <c r="G60" i="49"/>
  <c r="AE63" i="33" s="1"/>
  <c r="G58" i="49"/>
  <c r="AE61" i="33" s="1"/>
  <c r="G56" i="49"/>
  <c r="AE59" i="33" s="1"/>
  <c r="G54" i="49"/>
  <c r="AE57" i="33" s="1"/>
  <c r="G52" i="49"/>
  <c r="AE55" i="33" s="1"/>
  <c r="G50" i="49"/>
  <c r="AE53" i="33" s="1"/>
  <c r="G48" i="49"/>
  <c r="AE51" i="33" s="1"/>
  <c r="G46" i="49"/>
  <c r="AE49" i="33" s="1"/>
  <c r="G44" i="49"/>
  <c r="AE47" i="33" s="1"/>
  <c r="G40" i="49"/>
  <c r="AE43" i="33" s="1"/>
  <c r="I34" i="2"/>
  <c r="I46"/>
  <c r="I54"/>
  <c r="I62"/>
  <c r="I70"/>
  <c r="F75"/>
  <c r="I11"/>
  <c r="G35"/>
  <c r="H35" s="1"/>
  <c r="I39"/>
  <c r="G67"/>
  <c r="H67" s="1"/>
  <c r="AN69" i="13"/>
  <c r="AO43"/>
  <c r="AM69"/>
  <c r="G70" i="25" s="1"/>
  <c r="AO61" i="13"/>
  <c r="AN34"/>
  <c r="AL61"/>
  <c r="AN75"/>
  <c r="AM59"/>
  <c r="G60" i="25" s="1"/>
  <c r="AL69" i="13"/>
  <c r="AM45"/>
  <c r="G46" i="25" s="1"/>
  <c r="AM75" i="13"/>
  <c r="G76" i="25" s="1"/>
  <c r="AO67" i="13"/>
  <c r="AN61"/>
  <c r="AO53"/>
  <c r="AM51"/>
  <c r="G52" i="25" s="1"/>
  <c r="AN43" i="13"/>
  <c r="AL34"/>
  <c r="F64" i="25"/>
  <c r="AM53" i="13"/>
  <c r="G54" i="25" s="1"/>
  <c r="AL45" i="13"/>
  <c r="AN67"/>
  <c r="AO59"/>
  <c r="AN53"/>
  <c r="AO45"/>
  <c r="AM43"/>
  <c r="G44" i="25" s="1"/>
  <c r="F56"/>
  <c r="AK76" i="13"/>
  <c r="AL76" s="1"/>
  <c r="AO75"/>
  <c r="AM67"/>
  <c r="G68" i="25" s="1"/>
  <c r="AN59" i="13"/>
  <c r="AO51"/>
  <c r="AO34"/>
  <c r="F13" i="25"/>
  <c r="F48"/>
  <c r="AK15" i="13"/>
  <c r="AO15" s="1"/>
  <c r="AB35"/>
  <c r="AB42"/>
  <c r="AQ11"/>
  <c r="Y11" i="1" s="1"/>
  <c r="BH11" s="1"/>
  <c r="BJ11" s="1"/>
  <c r="AE67" i="13"/>
  <c r="AD67" s="1"/>
  <c r="AE61"/>
  <c r="C62" i="25" s="1"/>
  <c r="AA77" i="13"/>
  <c r="N17" i="67"/>
  <c r="N25"/>
  <c r="N29"/>
  <c r="N33"/>
  <c r="N37"/>
  <c r="N41"/>
  <c r="N49"/>
  <c r="N53"/>
  <c r="N61"/>
  <c r="N65"/>
  <c r="N69"/>
  <c r="N73"/>
  <c r="AN60" i="13"/>
  <c r="AL54"/>
  <c r="AL14"/>
  <c r="AN25"/>
  <c r="AL25"/>
  <c r="AO25"/>
  <c r="AM25"/>
  <c r="G26" i="25" s="1"/>
  <c r="AM54" i="13"/>
  <c r="G55" i="25" s="1"/>
  <c r="AM32" i="13"/>
  <c r="G33" i="25" s="1"/>
  <c r="AO18" i="13"/>
  <c r="F23" i="25"/>
  <c r="AM70" i="13"/>
  <c r="G71" i="25" s="1"/>
  <c r="AO54" i="13"/>
  <c r="AO32"/>
  <c r="AO26"/>
  <c r="AN18"/>
  <c r="F24" i="25"/>
  <c r="F30"/>
  <c r="AI77" i="13"/>
  <c r="E34" i="81" s="1"/>
  <c r="AL70" i="13"/>
  <c r="F19" i="25"/>
  <c r="F33"/>
  <c r="F26"/>
  <c r="F31"/>
  <c r="AE75" i="13"/>
  <c r="AQ75" s="1"/>
  <c r="AE43"/>
  <c r="AQ43" s="1"/>
  <c r="Y43" i="1" s="1"/>
  <c r="BH43" s="1"/>
  <c r="BJ43" s="1"/>
  <c r="AE41" i="13"/>
  <c r="AQ41" s="1"/>
  <c r="Y41" i="1" s="1"/>
  <c r="BH41" s="1"/>
  <c r="BJ41" s="1"/>
  <c r="AE37" i="13"/>
  <c r="AQ37" s="1"/>
  <c r="AE18"/>
  <c r="AD18" s="1"/>
  <c r="AE14"/>
  <c r="C15" i="25" s="1"/>
  <c r="AE10" i="13"/>
  <c r="AQ10" s="1"/>
  <c r="Y10" i="1" s="1"/>
  <c r="BH10" s="1"/>
  <c r="BJ10" s="1"/>
  <c r="AB14" i="13"/>
  <c r="AB45"/>
  <c r="AB19"/>
  <c r="AE59"/>
  <c r="C60" i="25" s="1"/>
  <c r="AE57" i="13"/>
  <c r="AQ57" s="1"/>
  <c r="AE25"/>
  <c r="AQ25" s="1"/>
  <c r="AE74"/>
  <c r="AD74" s="1"/>
  <c r="AE72"/>
  <c r="AD72" s="1"/>
  <c r="AE70"/>
  <c r="C71" i="25" s="1"/>
  <c r="AE23" i="13"/>
  <c r="C24" i="25" s="1"/>
  <c r="AE16" i="13"/>
  <c r="AD16" s="1"/>
  <c r="AE46"/>
  <c r="C47" i="25" s="1"/>
  <c r="AE32" i="13"/>
  <c r="AD32" s="1"/>
  <c r="AE30"/>
  <c r="AQ30" s="1"/>
  <c r="AE9"/>
  <c r="AC71"/>
  <c r="AC67"/>
  <c r="AC23"/>
  <c r="AC30"/>
  <c r="AE66"/>
  <c r="AD66" s="1"/>
  <c r="AE64"/>
  <c r="AE62"/>
  <c r="C63" i="25" s="1"/>
  <c r="AE55" i="13"/>
  <c r="AD55" s="1"/>
  <c r="AC41"/>
  <c r="AC10"/>
  <c r="AC18"/>
  <c r="V18" i="46"/>
  <c r="V38" s="1"/>
  <c r="G70" i="2"/>
  <c r="H70" s="1"/>
  <c r="G50"/>
  <c r="H50" s="1"/>
  <c r="G47"/>
  <c r="H47" s="1"/>
  <c r="G38"/>
  <c r="H38" s="1"/>
  <c r="G18"/>
  <c r="H18" s="1"/>
  <c r="G15"/>
  <c r="H15" s="1"/>
  <c r="G66"/>
  <c r="H66" s="1"/>
  <c r="G62"/>
  <c r="H62" s="1"/>
  <c r="G34"/>
  <c r="H34" s="1"/>
  <c r="G30"/>
  <c r="H30" s="1"/>
  <c r="N45" i="67"/>
  <c r="C76"/>
  <c r="E14" i="81" s="1"/>
  <c r="G74" i="2"/>
  <c r="H74" s="1"/>
  <c r="G71"/>
  <c r="H71" s="1"/>
  <c r="G58"/>
  <c r="H58" s="1"/>
  <c r="G54"/>
  <c r="H54" s="1"/>
  <c r="G51"/>
  <c r="H51" s="1"/>
  <c r="G42"/>
  <c r="H42" s="1"/>
  <c r="G39"/>
  <c r="H39" s="1"/>
  <c r="G26"/>
  <c r="H26" s="1"/>
  <c r="G22"/>
  <c r="H22" s="1"/>
  <c r="G19"/>
  <c r="H19" s="1"/>
  <c r="G10"/>
  <c r="H10" s="1"/>
  <c r="G7"/>
  <c r="H7" s="1"/>
  <c r="AB32" i="13"/>
  <c r="AC70"/>
  <c r="G25"/>
  <c r="G40"/>
  <c r="G53"/>
  <c r="H76"/>
  <c r="D77" i="25" s="1"/>
  <c r="AB13" i="13"/>
  <c r="AC16"/>
  <c r="AC32"/>
  <c r="AC37"/>
  <c r="AB40"/>
  <c r="AB44"/>
  <c r="AB46"/>
  <c r="AC56"/>
  <c r="AC72"/>
  <c r="G13"/>
  <c r="G72"/>
  <c r="AB16"/>
  <c r="G32"/>
  <c r="G70"/>
  <c r="AC31"/>
  <c r="AC13"/>
  <c r="AC17"/>
  <c r="AC24"/>
  <c r="AC40"/>
  <c r="AC44"/>
  <c r="AC46"/>
  <c r="AB49"/>
  <c r="AB53"/>
  <c r="AB57"/>
  <c r="AB69"/>
  <c r="AB73"/>
  <c r="G44"/>
  <c r="G49"/>
  <c r="G56"/>
  <c r="G73"/>
  <c r="AB9"/>
  <c r="AC14"/>
  <c r="AC22"/>
  <c r="AB25"/>
  <c r="AC34"/>
  <c r="AB47"/>
  <c r="AB55"/>
  <c r="G18"/>
  <c r="G34"/>
  <c r="G41"/>
  <c r="AC19"/>
  <c r="H66"/>
  <c r="D67" i="25" s="1"/>
  <c r="H50" i="13"/>
  <c r="D51" i="25" s="1"/>
  <c r="H41" i="13"/>
  <c r="D42" i="25" s="1"/>
  <c r="H10" i="13"/>
  <c r="D11" i="25" s="1"/>
  <c r="H14" i="13"/>
  <c r="D15" i="25" s="1"/>
  <c r="H18" i="13"/>
  <c r="D19" i="25" s="1"/>
  <c r="H22" i="13"/>
  <c r="D23" i="25" s="1"/>
  <c r="H26" i="13"/>
  <c r="D27" i="25" s="1"/>
  <c r="H30" i="13"/>
  <c r="D31" i="25" s="1"/>
  <c r="AB76" i="13"/>
  <c r="AB10"/>
  <c r="AB26"/>
  <c r="AB30"/>
  <c r="AC35"/>
  <c r="AB41"/>
  <c r="AB50"/>
  <c r="G10"/>
  <c r="AC58"/>
  <c r="AC50"/>
  <c r="AC63"/>
  <c r="AL31"/>
  <c r="AN31"/>
  <c r="AM31"/>
  <c r="G32" i="25" s="1"/>
  <c r="L46" i="1"/>
  <c r="M46" s="1"/>
  <c r="N46" s="1"/>
  <c r="O46" s="1"/>
  <c r="P46" s="1"/>
  <c r="BN46" s="1"/>
  <c r="BP46" s="1"/>
  <c r="Q79" i="13"/>
  <c r="Q77"/>
  <c r="AE56"/>
  <c r="AB56"/>
  <c r="AE54"/>
  <c r="C55" i="25" s="1"/>
  <c r="AB54" i="13"/>
  <c r="AE33"/>
  <c r="AC33"/>
  <c r="AE12"/>
  <c r="X77"/>
  <c r="AB12"/>
  <c r="AK17"/>
  <c r="F18" i="25"/>
  <c r="H75" i="13"/>
  <c r="D76" i="25" s="1"/>
  <c r="G75" i="13"/>
  <c r="AC75"/>
  <c r="H67"/>
  <c r="D68" i="25" s="1"/>
  <c r="G67" i="13"/>
  <c r="AB67"/>
  <c r="H59"/>
  <c r="D60" i="25" s="1"/>
  <c r="G59" i="13"/>
  <c r="AC59"/>
  <c r="AB59"/>
  <c r="H51"/>
  <c r="D52" i="25" s="1"/>
  <c r="G51" i="13"/>
  <c r="AC51"/>
  <c r="H43"/>
  <c r="D44" i="25" s="1"/>
  <c r="G43" i="13"/>
  <c r="AB43"/>
  <c r="AC43"/>
  <c r="H27"/>
  <c r="D28" i="25" s="1"/>
  <c r="G27" i="13"/>
  <c r="AB27"/>
  <c r="AC27"/>
  <c r="H11"/>
  <c r="G11"/>
  <c r="E77"/>
  <c r="G77" s="1"/>
  <c r="AB11"/>
  <c r="AD11"/>
  <c r="AC11"/>
  <c r="AE53"/>
  <c r="AC53"/>
  <c r="AB29"/>
  <c r="AE29"/>
  <c r="AE24"/>
  <c r="AB24"/>
  <c r="AK27"/>
  <c r="AN27" s="1"/>
  <c r="F28" i="25"/>
  <c r="G42" i="49"/>
  <c r="AE45" i="33" s="1"/>
  <c r="D73" i="49"/>
  <c r="BK46" i="1"/>
  <c r="BM46" s="1"/>
  <c r="AO31" i="13"/>
  <c r="AB61"/>
  <c r="AC65"/>
  <c r="AE65"/>
  <c r="AE39"/>
  <c r="AB39"/>
  <c r="AE34"/>
  <c r="AB34"/>
  <c r="G6" i="2"/>
  <c r="H6" s="1"/>
  <c r="E75"/>
  <c r="E45" i="81" s="1"/>
  <c r="H45" s="1"/>
  <c r="AE76" i="13"/>
  <c r="AC76"/>
  <c r="AK11"/>
  <c r="AL11" s="1"/>
  <c r="F12" i="25"/>
  <c r="AK24" i="13"/>
  <c r="F25" i="25"/>
  <c r="H36" i="13"/>
  <c r="D37" i="25" s="1"/>
  <c r="G36" i="13"/>
  <c r="AB36"/>
  <c r="AC36"/>
  <c r="AE71"/>
  <c r="AB71"/>
  <c r="AQ69"/>
  <c r="AB51"/>
  <c r="AE51"/>
  <c r="AE22"/>
  <c r="AB22"/>
  <c r="AE17"/>
  <c r="AB17"/>
  <c r="AE15"/>
  <c r="C16" i="25" s="1"/>
  <c r="AB15" i="13"/>
  <c r="AL23"/>
  <c r="AM23"/>
  <c r="G24" i="25" s="1"/>
  <c r="AO23" i="13"/>
  <c r="AK33"/>
  <c r="F34" i="25"/>
  <c r="Z77" i="13"/>
  <c r="F76" i="33"/>
  <c r="H71" i="13"/>
  <c r="D72" i="25" s="1"/>
  <c r="G71" i="13"/>
  <c r="H63"/>
  <c r="D64" i="25" s="1"/>
  <c r="G63" i="13"/>
  <c r="H55"/>
  <c r="D56" i="25" s="1"/>
  <c r="G55" i="13"/>
  <c r="H47"/>
  <c r="D48" i="25" s="1"/>
  <c r="G47" i="13"/>
  <c r="H35"/>
  <c r="D36" i="25" s="1"/>
  <c r="G35" i="13"/>
  <c r="H19"/>
  <c r="D20" i="25" s="1"/>
  <c r="G19" i="13"/>
  <c r="AE73"/>
  <c r="AE63"/>
  <c r="AB63"/>
  <c r="AE58"/>
  <c r="AB58"/>
  <c r="AE48"/>
  <c r="AE31"/>
  <c r="AE26"/>
  <c r="AE19"/>
  <c r="AE8"/>
  <c r="AD8" s="1"/>
  <c r="H39"/>
  <c r="D40" i="25" s="1"/>
  <c r="G39" i="13"/>
  <c r="H23"/>
  <c r="D24" i="25" s="1"/>
  <c r="G23" i="13"/>
  <c r="G18" i="46"/>
  <c r="G19" s="1"/>
  <c r="H31" i="13"/>
  <c r="D32" i="25" s="1"/>
  <c r="G31" i="13"/>
  <c r="H15"/>
  <c r="D16" i="25" s="1"/>
  <c r="G15" i="13"/>
  <c r="AE68"/>
  <c r="C69" i="25" s="1"/>
  <c r="AE60" i="13"/>
  <c r="C61" i="25" s="1"/>
  <c r="AE52" i="13"/>
  <c r="C53" i="25" s="1"/>
  <c r="AE44" i="13"/>
  <c r="C45" i="25" s="1"/>
  <c r="AE36" i="13"/>
  <c r="AQ36" s="1"/>
  <c r="AE28"/>
  <c r="AQ28" s="1"/>
  <c r="AE21"/>
  <c r="C22" i="25" s="1"/>
  <c r="AE13" i="13"/>
  <c r="C14" i="25" s="1"/>
  <c r="F73" i="49"/>
  <c r="Q9" i="1"/>
  <c r="Q13"/>
  <c r="Q17"/>
  <c r="Q21"/>
  <c r="Q25"/>
  <c r="Q29"/>
  <c r="Q33"/>
  <c r="Q37"/>
  <c r="Q41"/>
  <c r="Q45"/>
  <c r="Q49"/>
  <c r="Q53"/>
  <c r="Q57"/>
  <c r="Q61"/>
  <c r="BK62"/>
  <c r="BM62" s="1"/>
  <c r="M16" i="67"/>
  <c r="N16" s="1"/>
  <c r="G38" i="49"/>
  <c r="AE41" i="33" s="1"/>
  <c r="G36" i="49"/>
  <c r="AE39" i="33" s="1"/>
  <c r="G34" i="49"/>
  <c r="AE37" i="33" s="1"/>
  <c r="G32" i="49"/>
  <c r="AE35" i="33" s="1"/>
  <c r="G30" i="49"/>
  <c r="AE33" i="33" s="1"/>
  <c r="G28" i="49"/>
  <c r="AE31" i="33" s="1"/>
  <c r="G26" i="49"/>
  <c r="AE29" i="33" s="1"/>
  <c r="G24" i="49"/>
  <c r="AE27" i="33" s="1"/>
  <c r="G22" i="49"/>
  <c r="AE25" i="33" s="1"/>
  <c r="G20" i="49"/>
  <c r="AE23" i="33" s="1"/>
  <c r="G18" i="49"/>
  <c r="AE21" i="33" s="1"/>
  <c r="G16" i="49"/>
  <c r="AE19" i="33" s="1"/>
  <c r="G14" i="49"/>
  <c r="AE17" i="33" s="1"/>
  <c r="G12" i="49"/>
  <c r="AE15" i="33" s="1"/>
  <c r="G10" i="49"/>
  <c r="AE13" i="33" s="1"/>
  <c r="G8" i="49"/>
  <c r="AE11" i="33" s="1"/>
  <c r="G6" i="49"/>
  <c r="AE9" i="33" s="1"/>
  <c r="G71" i="49"/>
  <c r="AE74" i="33" s="1"/>
  <c r="G69" i="49"/>
  <c r="AE72" i="33" s="1"/>
  <c r="G67" i="49"/>
  <c r="AE70" i="33" s="1"/>
  <c r="G65" i="49"/>
  <c r="AE68" i="33" s="1"/>
  <c r="G63" i="49"/>
  <c r="AE66" i="33" s="1"/>
  <c r="G61" i="49"/>
  <c r="AE64" i="33" s="1"/>
  <c r="G59" i="49"/>
  <c r="AE62" i="33" s="1"/>
  <c r="G57" i="49"/>
  <c r="AE60" i="33" s="1"/>
  <c r="G55" i="49"/>
  <c r="AE58" i="33" s="1"/>
  <c r="G53" i="49"/>
  <c r="AE56" i="33" s="1"/>
  <c r="G51" i="49"/>
  <c r="AE54" i="33" s="1"/>
  <c r="G49" i="49"/>
  <c r="AE52" i="33" s="1"/>
  <c r="G47" i="49"/>
  <c r="AE50" i="33" s="1"/>
  <c r="G45" i="49"/>
  <c r="AE48" i="33" s="1"/>
  <c r="G43" i="49"/>
  <c r="AE46" i="33" s="1"/>
  <c r="G41" i="49"/>
  <c r="AE44" i="33" s="1"/>
  <c r="G39" i="49"/>
  <c r="AE42" i="33" s="1"/>
  <c r="G37" i="49"/>
  <c r="AE40" i="33" s="1"/>
  <c r="G35" i="49"/>
  <c r="AE38" i="33" s="1"/>
  <c r="G33" i="49"/>
  <c r="AE36" i="33" s="1"/>
  <c r="G31" i="49"/>
  <c r="AE34" i="33" s="1"/>
  <c r="G29" i="49"/>
  <c r="AE32" i="33" s="1"/>
  <c r="G27" i="49"/>
  <c r="AE30" i="33" s="1"/>
  <c r="G25" i="49"/>
  <c r="AE28" i="33" s="1"/>
  <c r="G23" i="49"/>
  <c r="AE26" i="33" s="1"/>
  <c r="G21" i="49"/>
  <c r="AE24" i="33" s="1"/>
  <c r="G19" i="49"/>
  <c r="AE22" i="33" s="1"/>
  <c r="G17" i="49"/>
  <c r="AE20" i="33" s="1"/>
  <c r="G15" i="49"/>
  <c r="AE18" i="33" s="1"/>
  <c r="G13" i="49"/>
  <c r="AE16" i="33" s="1"/>
  <c r="G11" i="49"/>
  <c r="AE14" i="33" s="1"/>
  <c r="G9" i="49"/>
  <c r="AE12" i="33" s="1"/>
  <c r="G7" i="49"/>
  <c r="AE10" i="33" s="1"/>
  <c r="G5" i="49"/>
  <c r="AE8" i="33" s="1"/>
  <c r="G35" i="81"/>
  <c r="H44"/>
  <c r="F5" i="80"/>
  <c r="G5" s="1"/>
  <c r="F5" i="76"/>
  <c r="G5" s="1"/>
  <c r="F7" i="80"/>
  <c r="G7" s="1"/>
  <c r="F7" i="76"/>
  <c r="G7" s="1"/>
  <c r="F9" i="80"/>
  <c r="G9" s="1"/>
  <c r="F9" i="76"/>
  <c r="G9" s="1"/>
  <c r="F11" i="80"/>
  <c r="G11" s="1"/>
  <c r="F11" i="76"/>
  <c r="G11" s="1"/>
  <c r="F13" i="80"/>
  <c r="G13" s="1"/>
  <c r="F13" i="76"/>
  <c r="G13" s="1"/>
  <c r="F15" i="80"/>
  <c r="G15" s="1"/>
  <c r="F15" i="76"/>
  <c r="G15" s="1"/>
  <c r="F17" i="80"/>
  <c r="G17" s="1"/>
  <c r="F17" i="76"/>
  <c r="G17" s="1"/>
  <c r="F19" i="80"/>
  <c r="G19" s="1"/>
  <c r="F19" i="76"/>
  <c r="G19" s="1"/>
  <c r="F22" i="80"/>
  <c r="G22" s="1"/>
  <c r="F22" i="76"/>
  <c r="G22" s="1"/>
  <c r="F24" i="80"/>
  <c r="G24" s="1"/>
  <c r="F24" i="76"/>
  <c r="G24" s="1"/>
  <c r="F26" i="80"/>
  <c r="G26" s="1"/>
  <c r="F26" i="76"/>
  <c r="G26" s="1"/>
  <c r="F28" i="80"/>
  <c r="G28" s="1"/>
  <c r="F28" i="76"/>
  <c r="G28" s="1"/>
  <c r="F30" i="80"/>
  <c r="G30" s="1"/>
  <c r="F30" i="76"/>
  <c r="G30" s="1"/>
  <c r="F32" i="80"/>
  <c r="G32" s="1"/>
  <c r="F32" i="76"/>
  <c r="G32" s="1"/>
  <c r="F34" i="80"/>
  <c r="G34" s="1"/>
  <c r="F34" i="76"/>
  <c r="G34" s="1"/>
  <c r="F36" i="80"/>
  <c r="G36" s="1"/>
  <c r="F36" i="76"/>
  <c r="G36" s="1"/>
  <c r="F38" i="80"/>
  <c r="G38" s="1"/>
  <c r="F38" i="76"/>
  <c r="G38" s="1"/>
  <c r="F41" i="80"/>
  <c r="G41" s="1"/>
  <c r="F41" i="76"/>
  <c r="G41" s="1"/>
  <c r="F44" i="80"/>
  <c r="G44" s="1"/>
  <c r="F44" i="76"/>
  <c r="G44" s="1"/>
  <c r="F46" i="80"/>
  <c r="G46" s="1"/>
  <c r="F46" i="76"/>
  <c r="G46" s="1"/>
  <c r="F48" i="80"/>
  <c r="G48" s="1"/>
  <c r="F48" i="76"/>
  <c r="G48" s="1"/>
  <c r="F49"/>
  <c r="G49" s="1"/>
  <c r="F49" i="80"/>
  <c r="G49" s="1"/>
  <c r="F51" i="76"/>
  <c r="G51" s="1"/>
  <c r="F51" i="80"/>
  <c r="G51" s="1"/>
  <c r="F53" i="76"/>
  <c r="G53" s="1"/>
  <c r="F53" i="80"/>
  <c r="G53" s="1"/>
  <c r="F55" i="76"/>
  <c r="G55" s="1"/>
  <c r="F55" i="80"/>
  <c r="G55" s="1"/>
  <c r="F57" i="76"/>
  <c r="G57" s="1"/>
  <c r="F57" i="80"/>
  <c r="G57" s="1"/>
  <c r="F59" i="76"/>
  <c r="G59" s="1"/>
  <c r="Q61" i="2" s="1"/>
  <c r="F59" i="80"/>
  <c r="G59" s="1"/>
  <c r="F61" i="76"/>
  <c r="G61" s="1"/>
  <c r="F61" i="80"/>
  <c r="G61" s="1"/>
  <c r="F63" i="76"/>
  <c r="G63" s="1"/>
  <c r="F63" i="80"/>
  <c r="G63" s="1"/>
  <c r="F65" i="76"/>
  <c r="G65" s="1"/>
  <c r="F65" i="80"/>
  <c r="G65" s="1"/>
  <c r="F67" i="76"/>
  <c r="G67" s="1"/>
  <c r="F67" i="80"/>
  <c r="G67" s="1"/>
  <c r="F69" i="76"/>
  <c r="G69" s="1"/>
  <c r="F69" i="80"/>
  <c r="G69" s="1"/>
  <c r="F4" i="76"/>
  <c r="G4" s="1"/>
  <c r="F4" i="80"/>
  <c r="G4" s="1"/>
  <c r="F6" i="76"/>
  <c r="G6" s="1"/>
  <c r="F6" i="80"/>
  <c r="G6" s="1"/>
  <c r="F8" i="76"/>
  <c r="G8" s="1"/>
  <c r="F8" i="80"/>
  <c r="G8" s="1"/>
  <c r="F10" i="76"/>
  <c r="G10" s="1"/>
  <c r="F10" i="80"/>
  <c r="G10" s="1"/>
  <c r="F12" i="76"/>
  <c r="G12" s="1"/>
  <c r="F12" i="80"/>
  <c r="G12" s="1"/>
  <c r="F14" i="76"/>
  <c r="G14" s="1"/>
  <c r="F14" i="80"/>
  <c r="G14" s="1"/>
  <c r="F16" i="76"/>
  <c r="G16" s="1"/>
  <c r="F16" i="80"/>
  <c r="G16" s="1"/>
  <c r="F18" i="76"/>
  <c r="G18" s="1"/>
  <c r="F18" i="80"/>
  <c r="G18" s="1"/>
  <c r="F21" i="76"/>
  <c r="G21" s="1"/>
  <c r="F21" i="80"/>
  <c r="G21" s="1"/>
  <c r="F23" i="76"/>
  <c r="G23" s="1"/>
  <c r="F23" i="80"/>
  <c r="G23" s="1"/>
  <c r="F25" i="76"/>
  <c r="G25" s="1"/>
  <c r="F25" i="80"/>
  <c r="G25" s="1"/>
  <c r="F27" i="76"/>
  <c r="G27" s="1"/>
  <c r="F27" i="80"/>
  <c r="G27" s="1"/>
  <c r="F29" i="76"/>
  <c r="G29" s="1"/>
  <c r="F29" i="80"/>
  <c r="G29" s="1"/>
  <c r="F31" i="76"/>
  <c r="G31" s="1"/>
  <c r="F31" i="80"/>
  <c r="G31" s="1"/>
  <c r="F33" i="76"/>
  <c r="G33" s="1"/>
  <c r="F33" i="80"/>
  <c r="G33" s="1"/>
  <c r="F35" i="76"/>
  <c r="G35" s="1"/>
  <c r="F35" i="80"/>
  <c r="G35" s="1"/>
  <c r="F37" i="76"/>
  <c r="G37" s="1"/>
  <c r="F37" i="80"/>
  <c r="G37" s="1"/>
  <c r="F40" i="76"/>
  <c r="G40" s="1"/>
  <c r="F40" i="80"/>
  <c r="G40" s="1"/>
  <c r="F43" i="76"/>
  <c r="G43" s="1"/>
  <c r="F43" i="80"/>
  <c r="G43" s="1"/>
  <c r="F45" i="76"/>
  <c r="G45" s="1"/>
  <c r="F45" i="80"/>
  <c r="G45" s="1"/>
  <c r="F47" i="76"/>
  <c r="G47" s="1"/>
  <c r="F47" i="80"/>
  <c r="G47" s="1"/>
  <c r="F50"/>
  <c r="G50" s="1"/>
  <c r="F50" i="76"/>
  <c r="G50" s="1"/>
  <c r="F52" i="80"/>
  <c r="G52" s="1"/>
  <c r="F52" i="76"/>
  <c r="G52" s="1"/>
  <c r="F54" i="80"/>
  <c r="G54" s="1"/>
  <c r="F54" i="76"/>
  <c r="G54" s="1"/>
  <c r="F56" i="80"/>
  <c r="G56" s="1"/>
  <c r="F56" i="76"/>
  <c r="G56" s="1"/>
  <c r="F58" i="80"/>
  <c r="G58" s="1"/>
  <c r="F58" i="76"/>
  <c r="G58" s="1"/>
  <c r="F60" i="80"/>
  <c r="G60" s="1"/>
  <c r="F60" i="76"/>
  <c r="G60" s="1"/>
  <c r="F62" i="80"/>
  <c r="G62" s="1"/>
  <c r="F62" i="76"/>
  <c r="G62" s="1"/>
  <c r="F64" i="80"/>
  <c r="G64" s="1"/>
  <c r="F64" i="76"/>
  <c r="G64" s="1"/>
  <c r="F66" i="80"/>
  <c r="G66" s="1"/>
  <c r="F66" i="76"/>
  <c r="G66" s="1"/>
  <c r="F68" i="80"/>
  <c r="G68" s="1"/>
  <c r="F68" i="76"/>
  <c r="G68" s="1"/>
  <c r="F70" i="80"/>
  <c r="G70" s="1"/>
  <c r="F70" i="76"/>
  <c r="G70" s="1"/>
  <c r="F72" i="80"/>
  <c r="G72" s="1"/>
  <c r="F72" i="76"/>
  <c r="G72" s="1"/>
  <c r="E12" i="81"/>
  <c r="M14" i="2"/>
  <c r="N14" s="1"/>
  <c r="I14"/>
  <c r="M44"/>
  <c r="N44" s="1"/>
  <c r="I44"/>
  <c r="C30" i="46"/>
  <c r="C31" s="1"/>
  <c r="F71" i="76"/>
  <c r="G71" s="1"/>
  <c r="F71" i="80"/>
  <c r="G71" s="1"/>
  <c r="AM39" i="13"/>
  <c r="G40" i="25" s="1"/>
  <c r="AN39" i="13"/>
  <c r="AD70"/>
  <c r="AM8"/>
  <c r="AN8"/>
  <c r="AL8"/>
  <c r="AO8"/>
  <c r="AM10"/>
  <c r="G11" i="25" s="1"/>
  <c r="AL10" i="13"/>
  <c r="AO10"/>
  <c r="AN10"/>
  <c r="AN12"/>
  <c r="AO12"/>
  <c r="AN14"/>
  <c r="AO14"/>
  <c r="AO20"/>
  <c r="AN20"/>
  <c r="AL22"/>
  <c r="AO22"/>
  <c r="AM22"/>
  <c r="G23" i="25" s="1"/>
  <c r="AN22" i="13"/>
  <c r="AM28"/>
  <c r="G29" i="25" s="1"/>
  <c r="AN28" i="13"/>
  <c r="AL28"/>
  <c r="AO28"/>
  <c r="AM30"/>
  <c r="G31" i="25" s="1"/>
  <c r="AN30" i="13"/>
  <c r="AL30"/>
  <c r="AO30"/>
  <c r="AL36"/>
  <c r="AO36"/>
  <c r="AM36"/>
  <c r="G37" i="25" s="1"/>
  <c r="AN36" i="13"/>
  <c r="AL38"/>
  <c r="AO38"/>
  <c r="AM38"/>
  <c r="G39" i="25" s="1"/>
  <c r="AN38" i="13"/>
  <c r="AO41"/>
  <c r="AM41"/>
  <c r="G42" i="25" s="1"/>
  <c r="AN41" i="13"/>
  <c r="AM47"/>
  <c r="G48" i="25" s="1"/>
  <c r="AN47" i="13"/>
  <c r="AL47"/>
  <c r="AO47"/>
  <c r="AN49"/>
  <c r="AM49"/>
  <c r="G50" i="25" s="1"/>
  <c r="AO49" i="13"/>
  <c r="AO55"/>
  <c r="AL55"/>
  <c r="AM55"/>
  <c r="G56" i="25" s="1"/>
  <c r="AN55" i="13"/>
  <c r="AO57"/>
  <c r="AM57"/>
  <c r="G58" i="25" s="1"/>
  <c r="AN57" i="13"/>
  <c r="AM63"/>
  <c r="G64" i="25" s="1"/>
  <c r="AN63" i="13"/>
  <c r="AL63"/>
  <c r="AO63"/>
  <c r="AN65"/>
  <c r="AM65"/>
  <c r="G66" i="25" s="1"/>
  <c r="AO65" i="13"/>
  <c r="AO71"/>
  <c r="AL71"/>
  <c r="AM71"/>
  <c r="G72" i="25" s="1"/>
  <c r="AN71" i="13"/>
  <c r="AO73"/>
  <c r="AM73"/>
  <c r="G74" i="25" s="1"/>
  <c r="AN73" i="13"/>
  <c r="AN9"/>
  <c r="AL9"/>
  <c r="AO9"/>
  <c r="AL13"/>
  <c r="AN13"/>
  <c r="AM13"/>
  <c r="G14" i="25" s="1"/>
  <c r="AL21" i="13"/>
  <c r="AO21"/>
  <c r="AM21"/>
  <c r="G22" i="25" s="1"/>
  <c r="AN29" i="13"/>
  <c r="AM29"/>
  <c r="G30" i="25" s="1"/>
  <c r="AO29" i="13"/>
  <c r="AO37"/>
  <c r="AM37"/>
  <c r="G38" i="25" s="1"/>
  <c r="AN37" i="13"/>
  <c r="AL42"/>
  <c r="AO42"/>
  <c r="AM42"/>
  <c r="G43" i="25" s="1"/>
  <c r="AN42" i="13"/>
  <c r="AM48"/>
  <c r="G49" i="25" s="1"/>
  <c r="AN48" i="13"/>
  <c r="AL48"/>
  <c r="AO48"/>
  <c r="AO50"/>
  <c r="AL58"/>
  <c r="AO58"/>
  <c r="AM58"/>
  <c r="G59" i="25" s="1"/>
  <c r="AN58" i="13"/>
  <c r="AM64"/>
  <c r="G65" i="25" s="1"/>
  <c r="AN64" i="13"/>
  <c r="AL64"/>
  <c r="AO64"/>
  <c r="AM72"/>
  <c r="G73" i="25" s="1"/>
  <c r="AL74" i="13"/>
  <c r="AO74"/>
  <c r="AM74"/>
  <c r="G75" i="25" s="1"/>
  <c r="AN74" i="13"/>
  <c r="AO39"/>
  <c r="AB60"/>
  <c r="AB62"/>
  <c r="AB64"/>
  <c r="AB66"/>
  <c r="AB68"/>
  <c r="AB70"/>
  <c r="AB72"/>
  <c r="AB74"/>
  <c r="O24" i="1"/>
  <c r="C19" i="46"/>
  <c r="Q72" i="2" l="1"/>
  <c r="Q68"/>
  <c r="Q64"/>
  <c r="Q60"/>
  <c r="Q56"/>
  <c r="Q52"/>
  <c r="Q48"/>
  <c r="Q43"/>
  <c r="Q38"/>
  <c r="Q34"/>
  <c r="Q26"/>
  <c r="Q21"/>
  <c r="Q17"/>
  <c r="Q13"/>
  <c r="Q9"/>
  <c r="R74" i="1"/>
  <c r="R70"/>
  <c r="Q74" i="2"/>
  <c r="Q66"/>
  <c r="Q62"/>
  <c r="Q58"/>
  <c r="Q54"/>
  <c r="Q50"/>
  <c r="Q46"/>
  <c r="Q40"/>
  <c r="Q36"/>
  <c r="Q32"/>
  <c r="Q28"/>
  <c r="Q24"/>
  <c r="Q19"/>
  <c r="Q11"/>
  <c r="Q7"/>
  <c r="Q70"/>
  <c r="Q30"/>
  <c r="Q15"/>
  <c r="Q49"/>
  <c r="Q39"/>
  <c r="Q31"/>
  <c r="Q23"/>
  <c r="Q14"/>
  <c r="Q6"/>
  <c r="Q65"/>
  <c r="Q57"/>
  <c r="Q73"/>
  <c r="Q45"/>
  <c r="Q35"/>
  <c r="Q27"/>
  <c r="Q18"/>
  <c r="Q10"/>
  <c r="Q69"/>
  <c r="Q53"/>
  <c r="Q47"/>
  <c r="Q42"/>
  <c r="Q37"/>
  <c r="Q33"/>
  <c r="Q29"/>
  <c r="Q25"/>
  <c r="Q20"/>
  <c r="Q16"/>
  <c r="Q12"/>
  <c r="Q8"/>
  <c r="Q71"/>
  <c r="Q67"/>
  <c r="Q63"/>
  <c r="Q59"/>
  <c r="Q55"/>
  <c r="Q51"/>
  <c r="AD41" i="13"/>
  <c r="R52" i="1"/>
  <c r="AD45" i="13"/>
  <c r="AL72"/>
  <c r="R56" i="1"/>
  <c r="R64"/>
  <c r="AN56" i="13"/>
  <c r="R36" i="1"/>
  <c r="AO62" i="13"/>
  <c r="AD69"/>
  <c r="AM66"/>
  <c r="G67" i="25" s="1"/>
  <c r="AM50" i="13"/>
  <c r="G51" i="25" s="1"/>
  <c r="AM35" i="13"/>
  <c r="G36" i="25" s="1"/>
  <c r="AD27" i="13"/>
  <c r="AM60"/>
  <c r="G61" i="25" s="1"/>
  <c r="AL50" i="13"/>
  <c r="AQ20"/>
  <c r="AR20" s="1"/>
  <c r="AL60"/>
  <c r="AN72"/>
  <c r="AN62"/>
  <c r="AO68"/>
  <c r="C50" i="25"/>
  <c r="AN68" i="13"/>
  <c r="AM62"/>
  <c r="G63" i="25" s="1"/>
  <c r="AN40" i="13"/>
  <c r="AM68"/>
  <c r="G69" i="25" s="1"/>
  <c r="R50" i="1"/>
  <c r="AB50" s="1"/>
  <c r="AQ62" i="13"/>
  <c r="AR62" s="1"/>
  <c r="G74" i="81"/>
  <c r="C31" i="25"/>
  <c r="G76" i="81"/>
  <c r="AL52" i="13"/>
  <c r="AR35"/>
  <c r="G75" i="81"/>
  <c r="AO44" i="13"/>
  <c r="R48" i="1"/>
  <c r="AB48" s="1"/>
  <c r="E73" i="81"/>
  <c r="C76" i="25"/>
  <c r="AN44" i="13"/>
  <c r="AL46"/>
  <c r="AD54"/>
  <c r="AM46"/>
  <c r="G47" i="25" s="1"/>
  <c r="AN46" i="13"/>
  <c r="R32" i="1"/>
  <c r="AB32" s="1"/>
  <c r="C42" i="25"/>
  <c r="C11"/>
  <c r="AN52" i="13"/>
  <c r="R19" i="1"/>
  <c r="AB19" s="1"/>
  <c r="AO52" i="13"/>
  <c r="AD35"/>
  <c r="R15" i="1"/>
  <c r="AB15" s="1"/>
  <c r="AQ38" i="13"/>
  <c r="AR38" s="1"/>
  <c r="R27" i="1"/>
  <c r="AB27" s="1"/>
  <c r="R40"/>
  <c r="AB40" s="1"/>
  <c r="AO66" i="13"/>
  <c r="AL66"/>
  <c r="AD38"/>
  <c r="C36" i="25"/>
  <c r="R66" i="1"/>
  <c r="AB66" s="1"/>
  <c r="AD49" i="13"/>
  <c r="AR49"/>
  <c r="AQ45"/>
  <c r="AR45" s="1"/>
  <c r="AD21"/>
  <c r="AM44"/>
  <c r="G45" i="25" s="1"/>
  <c r="R35" i="1"/>
  <c r="AB35" s="1"/>
  <c r="R73"/>
  <c r="AB73" s="1"/>
  <c r="R54"/>
  <c r="AB54" s="1"/>
  <c r="R28"/>
  <c r="AB28" s="1"/>
  <c r="AQ50" i="13"/>
  <c r="AR50" s="1"/>
  <c r="R39" i="1"/>
  <c r="AB39" s="1"/>
  <c r="R33"/>
  <c r="AB33" s="1"/>
  <c r="M5" i="72"/>
  <c r="N5" s="1"/>
  <c r="O5" s="1"/>
  <c r="P5" s="1"/>
  <c r="AQ27" i="13"/>
  <c r="Y27" i="1" s="1"/>
  <c r="BH27" s="1"/>
  <c r="BJ27" s="1"/>
  <c r="AD57" i="13"/>
  <c r="R57" i="1"/>
  <c r="AB57" s="1"/>
  <c r="R17"/>
  <c r="AB17" s="1"/>
  <c r="R31"/>
  <c r="AB31" s="1"/>
  <c r="AM56" i="13"/>
  <c r="G57" i="25" s="1"/>
  <c r="AM40" i="13"/>
  <c r="G41" i="25" s="1"/>
  <c r="C29"/>
  <c r="C98" i="67"/>
  <c r="C100" s="1"/>
  <c r="C102" s="1"/>
  <c r="F4" s="1"/>
  <c r="AO56" i="13"/>
  <c r="AO40"/>
  <c r="AD60"/>
  <c r="AD14"/>
  <c r="R65" i="1"/>
  <c r="AB65" s="1"/>
  <c r="R61"/>
  <c r="AB61" s="1"/>
  <c r="AQ60" i="13"/>
  <c r="AR60" s="1"/>
  <c r="AD61"/>
  <c r="C68" i="25"/>
  <c r="AO76" i="13"/>
  <c r="G76" i="33"/>
  <c r="R34" i="1"/>
  <c r="AB34" s="1"/>
  <c r="E41" i="81"/>
  <c r="H41" s="1"/>
  <c r="G9"/>
  <c r="BN19" i="1"/>
  <c r="BP19" s="1"/>
  <c r="O10"/>
  <c r="P10" s="1"/>
  <c r="BN10" s="1"/>
  <c r="BP10" s="1"/>
  <c r="BN27"/>
  <c r="BP27" s="1"/>
  <c r="BN15"/>
  <c r="BP15" s="1"/>
  <c r="G45" i="81"/>
  <c r="R29" i="1"/>
  <c r="H76" i="33"/>
  <c r="BN50" i="1"/>
  <c r="BP50" s="1"/>
  <c r="R55"/>
  <c r="AB55" s="1"/>
  <c r="R38"/>
  <c r="R25"/>
  <c r="BN31"/>
  <c r="BP31" s="1"/>
  <c r="R53"/>
  <c r="AB53" s="1"/>
  <c r="G15" i="81"/>
  <c r="E77" i="1"/>
  <c r="E20" i="81" s="1"/>
  <c r="G20" s="1"/>
  <c r="E22"/>
  <c r="G22" s="1"/>
  <c r="BN33" i="1"/>
  <c r="BP33" s="1"/>
  <c r="H14" i="81"/>
  <c r="G14"/>
  <c r="R49" i="1"/>
  <c r="R22"/>
  <c r="BN36"/>
  <c r="BP36" s="1"/>
  <c r="BN12"/>
  <c r="BP12" s="1"/>
  <c r="R20"/>
  <c r="R41"/>
  <c r="AB41" s="1"/>
  <c r="BN52"/>
  <c r="BP52" s="1"/>
  <c r="R72"/>
  <c r="BN57"/>
  <c r="BP57" s="1"/>
  <c r="R58"/>
  <c r="R63"/>
  <c r="AB63" s="1"/>
  <c r="R42"/>
  <c r="AB42" s="1"/>
  <c r="G21" i="81"/>
  <c r="R30" i="1"/>
  <c r="AB30" s="1"/>
  <c r="BN61"/>
  <c r="BP61" s="1"/>
  <c r="R75"/>
  <c r="AB75" s="1"/>
  <c r="BN17"/>
  <c r="BP17" s="1"/>
  <c r="R18"/>
  <c r="BN28"/>
  <c r="BP28" s="1"/>
  <c r="R76"/>
  <c r="AB76" s="1"/>
  <c r="R21"/>
  <c r="G23" i="81"/>
  <c r="R60" i="1"/>
  <c r="AB60" s="1"/>
  <c r="BN70"/>
  <c r="BP70" s="1"/>
  <c r="BN65"/>
  <c r="BP65" s="1"/>
  <c r="BN64"/>
  <c r="BP64" s="1"/>
  <c r="R45"/>
  <c r="BN74"/>
  <c r="BP74" s="1"/>
  <c r="R13"/>
  <c r="AB13" s="1"/>
  <c r="R11"/>
  <c r="AB11" s="1"/>
  <c r="R23"/>
  <c r="AB23" s="1"/>
  <c r="BN39"/>
  <c r="BP39" s="1"/>
  <c r="BN34"/>
  <c r="BP34" s="1"/>
  <c r="R68"/>
  <c r="R9"/>
  <c r="BN35"/>
  <c r="BP35" s="1"/>
  <c r="R44"/>
  <c r="R51"/>
  <c r="BN32"/>
  <c r="BP32" s="1"/>
  <c r="BN56"/>
  <c r="BP56" s="1"/>
  <c r="R69"/>
  <c r="BN73"/>
  <c r="BP73" s="1"/>
  <c r="R14"/>
  <c r="AB14" s="1"/>
  <c r="BN48"/>
  <c r="BP48" s="1"/>
  <c r="R62"/>
  <c r="R67"/>
  <c r="R46"/>
  <c r="AB46" s="1"/>
  <c r="H75" i="2"/>
  <c r="BN40" i="1"/>
  <c r="BP40" s="1"/>
  <c r="AL35" i="13"/>
  <c r="AD46"/>
  <c r="C21" i="25"/>
  <c r="AD75" i="13"/>
  <c r="AD59"/>
  <c r="BN8" i="1"/>
  <c r="BP8" s="1"/>
  <c r="R8"/>
  <c r="AB8" s="1"/>
  <c r="R47"/>
  <c r="AB47" s="1"/>
  <c r="R26"/>
  <c r="AB26" s="1"/>
  <c r="R59"/>
  <c r="AB59" s="1"/>
  <c r="AM15" i="13"/>
  <c r="G16" i="25" s="1"/>
  <c r="AD47" i="13"/>
  <c r="AQ18"/>
  <c r="AR18" s="1"/>
  <c r="C41" i="25"/>
  <c r="AQ40" i="13"/>
  <c r="R37" i="1"/>
  <c r="BN54"/>
  <c r="BP54" s="1"/>
  <c r="BN66"/>
  <c r="BP66" s="1"/>
  <c r="R71"/>
  <c r="AO35" i="13"/>
  <c r="AE76" i="33"/>
  <c r="AD50" i="13"/>
  <c r="C19" i="25"/>
  <c r="AQ47" i="13"/>
  <c r="C43" i="25"/>
  <c r="AQ42" i="13"/>
  <c r="AD42"/>
  <c r="AO27"/>
  <c r="AN15"/>
  <c r="AR11"/>
  <c r="AM76"/>
  <c r="G77" i="25" s="1"/>
  <c r="AN76" i="13"/>
  <c r="AL15"/>
  <c r="AD30"/>
  <c r="C37" i="25"/>
  <c r="AD68" i="13"/>
  <c r="AD23"/>
  <c r="AQ59"/>
  <c r="AR59" s="1"/>
  <c r="C58" i="25"/>
  <c r="AD36" i="13"/>
  <c r="AQ68"/>
  <c r="Y68" i="1" s="1"/>
  <c r="BH68" s="1"/>
  <c r="BJ68" s="1"/>
  <c r="AQ23" i="13"/>
  <c r="Y23" i="1" s="1"/>
  <c r="BH23" s="1"/>
  <c r="BJ23" s="1"/>
  <c r="C44" i="25"/>
  <c r="AQ67" i="13"/>
  <c r="AR67" s="1"/>
  <c r="Y57" i="1"/>
  <c r="BH57" s="1"/>
  <c r="BJ57" s="1"/>
  <c r="AR57" i="13"/>
  <c r="AD44"/>
  <c r="AQ54"/>
  <c r="Y54" i="1" s="1"/>
  <c r="BH54" s="1"/>
  <c r="BJ54" s="1"/>
  <c r="AQ70" i="13"/>
  <c r="Y70" i="1" s="1"/>
  <c r="BH70" s="1"/>
  <c r="BJ70" s="1"/>
  <c r="AD10" i="13"/>
  <c r="C26" i="25"/>
  <c r="AD28" i="13"/>
  <c r="AD52"/>
  <c r="AD62"/>
  <c r="AQ14"/>
  <c r="AR14" s="1"/>
  <c r="AD43"/>
  <c r="AQ61"/>
  <c r="AR61" s="1"/>
  <c r="AD25"/>
  <c r="G34" i="81"/>
  <c r="H34"/>
  <c r="AI82" i="13"/>
  <c r="C9" i="25"/>
  <c r="AR41" i="13"/>
  <c r="AR10"/>
  <c r="AM27"/>
  <c r="G28" i="25" s="1"/>
  <c r="AL27" i="13"/>
  <c r="F78" i="25"/>
  <c r="C38"/>
  <c r="AD15" i="13"/>
  <c r="AQ46"/>
  <c r="AR46" s="1"/>
  <c r="AD37"/>
  <c r="AD13"/>
  <c r="AQ44"/>
  <c r="AR44" s="1"/>
  <c r="AQ13"/>
  <c r="AR13" s="1"/>
  <c r="C10" i="25"/>
  <c r="AQ9" i="13"/>
  <c r="AD9"/>
  <c r="AQ16"/>
  <c r="Y16" i="1" s="1"/>
  <c r="BH16" s="1"/>
  <c r="BJ16" s="1"/>
  <c r="C17" i="25"/>
  <c r="C75"/>
  <c r="AQ74" i="13"/>
  <c r="C65" i="25"/>
  <c r="AQ64" i="13"/>
  <c r="AD64"/>
  <c r="AR30"/>
  <c r="Y30" i="1"/>
  <c r="BH30" s="1"/>
  <c r="BJ30" s="1"/>
  <c r="Y25"/>
  <c r="BH25" s="1"/>
  <c r="BJ25" s="1"/>
  <c r="AR25" i="13"/>
  <c r="C67" i="25"/>
  <c r="AQ66" i="13"/>
  <c r="AQ32"/>
  <c r="C33" i="25"/>
  <c r="AQ55" i="13"/>
  <c r="C56" i="25"/>
  <c r="C73"/>
  <c r="AQ72" i="13"/>
  <c r="AR75"/>
  <c r="Y75" i="1"/>
  <c r="BH75" s="1"/>
  <c r="BJ75" s="1"/>
  <c r="G73" i="76"/>
  <c r="G75" i="2"/>
  <c r="M15" i="67"/>
  <c r="BK16" i="1"/>
  <c r="L16"/>
  <c r="Y36"/>
  <c r="BH36" s="1"/>
  <c r="BJ36" s="1"/>
  <c r="AR36" i="13"/>
  <c r="C20" i="25"/>
  <c r="AQ19" i="13"/>
  <c r="AD19"/>
  <c r="AD73"/>
  <c r="C74" i="25"/>
  <c r="AQ73" i="13"/>
  <c r="C18" i="25"/>
  <c r="AQ17" i="13"/>
  <c r="AD17"/>
  <c r="Y69" i="1"/>
  <c r="BH69" s="1"/>
  <c r="BJ69" s="1"/>
  <c r="AR69" i="13"/>
  <c r="AQ76"/>
  <c r="C77" i="25"/>
  <c r="AD76" i="13"/>
  <c r="AR37"/>
  <c r="Y37" i="1"/>
  <c r="BH37" s="1"/>
  <c r="BJ37" s="1"/>
  <c r="AD65" i="13"/>
  <c r="C66" i="25"/>
  <c r="AQ65" i="13"/>
  <c r="C30" i="25"/>
  <c r="AQ29" i="13"/>
  <c r="AD29"/>
  <c r="C13" i="25"/>
  <c r="AQ12" i="13"/>
  <c r="AD12"/>
  <c r="AC77"/>
  <c r="AQ26"/>
  <c r="AD26"/>
  <c r="C27" i="25"/>
  <c r="C59"/>
  <c r="AQ58" i="13"/>
  <c r="AD58"/>
  <c r="AL33"/>
  <c r="AN33"/>
  <c r="AO33"/>
  <c r="AM33"/>
  <c r="G34" i="25" s="1"/>
  <c r="AD22" i="13"/>
  <c r="AQ22"/>
  <c r="C23" i="25"/>
  <c r="AN24" i="13"/>
  <c r="AM24"/>
  <c r="G25" i="25" s="1"/>
  <c r="AO24" i="13"/>
  <c r="AL24"/>
  <c r="D12" i="25"/>
  <c r="H77" i="13"/>
  <c r="E29" i="81" s="1"/>
  <c r="G9" i="31"/>
  <c r="G70" s="1"/>
  <c r="AD31" i="13"/>
  <c r="AQ31"/>
  <c r="C32" i="25"/>
  <c r="Y20" i="1"/>
  <c r="BH20" s="1"/>
  <c r="BJ20" s="1"/>
  <c r="C52" i="25"/>
  <c r="AQ51" i="13"/>
  <c r="AD51"/>
  <c r="AN11"/>
  <c r="AO11"/>
  <c r="AQ34"/>
  <c r="C35" i="25"/>
  <c r="AD34" i="13"/>
  <c r="AQ33"/>
  <c r="C34" i="25"/>
  <c r="AD33" i="13"/>
  <c r="C57" i="25"/>
  <c r="AQ56" i="13"/>
  <c r="AD56"/>
  <c r="G73" i="49"/>
  <c r="E63" i="81" s="1"/>
  <c r="AM11" i="13"/>
  <c r="G12" i="25" s="1"/>
  <c r="AQ21" i="13"/>
  <c r="Y21" i="1" s="1"/>
  <c r="BH21" s="1"/>
  <c r="BJ21" s="1"/>
  <c r="AQ52" i="13"/>
  <c r="AR52" s="1"/>
  <c r="AK77"/>
  <c r="AO77" s="1"/>
  <c r="AQ15"/>
  <c r="Y15" i="1" s="1"/>
  <c r="BH15" s="1"/>
  <c r="BJ15" s="1"/>
  <c r="L43"/>
  <c r="M43" s="1"/>
  <c r="N43" s="1"/>
  <c r="O43" s="1"/>
  <c r="P43" s="1"/>
  <c r="M42" i="67"/>
  <c r="N42" s="1"/>
  <c r="M41" i="2"/>
  <c r="I41"/>
  <c r="I75" s="1"/>
  <c r="J4" s="1"/>
  <c r="BK43" i="1"/>
  <c r="BM43" s="1"/>
  <c r="AR43" i="13"/>
  <c r="AR28"/>
  <c r="Y28" i="1"/>
  <c r="BH28" s="1"/>
  <c r="BJ28" s="1"/>
  <c r="AQ8" i="13"/>
  <c r="AE77"/>
  <c r="C49" i="25"/>
  <c r="AD48" i="13"/>
  <c r="AQ48"/>
  <c r="AQ63"/>
  <c r="C64" i="25"/>
  <c r="AD63" i="13"/>
  <c r="AQ71"/>
  <c r="C72" i="25"/>
  <c r="AD71" i="13"/>
  <c r="AD39"/>
  <c r="AQ39"/>
  <c r="C40" i="25"/>
  <c r="AQ24" i="13"/>
  <c r="AD24"/>
  <c r="C25" i="25"/>
  <c r="AD53" i="13"/>
  <c r="AQ53"/>
  <c r="C54" i="25"/>
  <c r="AM17" i="13"/>
  <c r="G18" i="25" s="1"/>
  <c r="AN17" i="13"/>
  <c r="AO17"/>
  <c r="AL17"/>
  <c r="AB77"/>
  <c r="G73" i="80"/>
  <c r="G77" s="1"/>
  <c r="G80" s="1"/>
  <c r="C38" i="46"/>
  <c r="G31"/>
  <c r="G38"/>
  <c r="AR68" i="13"/>
  <c r="G9" i="25"/>
  <c r="AR54" i="13"/>
  <c r="AR70"/>
  <c r="AB36" i="1"/>
  <c r="BP9"/>
  <c r="AB12"/>
  <c r="AB52"/>
  <c r="AB56"/>
  <c r="AB64"/>
  <c r="AB70"/>
  <c r="AB74"/>
  <c r="P24"/>
  <c r="Q5" i="72" l="1"/>
  <c r="R5" s="1"/>
  <c r="S5" s="1"/>
  <c r="T5" s="1"/>
  <c r="U5" s="1"/>
  <c r="V5" s="1"/>
  <c r="W5" s="1"/>
  <c r="X5" s="1"/>
  <c r="Y5" s="1"/>
  <c r="Z5" s="1"/>
  <c r="AA5" s="1"/>
  <c r="AB5" s="1"/>
  <c r="AC5" s="1"/>
  <c r="AD5" s="1"/>
  <c r="AE5" s="1"/>
  <c r="AF5" s="1"/>
  <c r="AG5" s="1"/>
  <c r="AH5" s="1"/>
  <c r="AI5" s="1"/>
  <c r="AJ5" s="1"/>
  <c r="AK5" s="1"/>
  <c r="AL5" s="1"/>
  <c r="AM5" s="1"/>
  <c r="AN5" s="1"/>
  <c r="AO5" s="1"/>
  <c r="AP5" s="1"/>
  <c r="AQ5" s="1"/>
  <c r="AR5" s="1"/>
  <c r="G77" i="76"/>
  <c r="G80" s="1"/>
  <c r="V76" i="2"/>
  <c r="V77" s="1"/>
  <c r="G72" i="31"/>
  <c r="Q41" i="2" s="1"/>
  <c r="Q75" s="1"/>
  <c r="Y62" i="1"/>
  <c r="BH62" s="1"/>
  <c r="BJ62" s="1"/>
  <c r="Y38"/>
  <c r="BH38" s="1"/>
  <c r="BJ38" s="1"/>
  <c r="G73" i="81"/>
  <c r="G41"/>
  <c r="AR27" i="13"/>
  <c r="E46" i="81"/>
  <c r="G46" s="1"/>
  <c r="E70"/>
  <c r="H73"/>
  <c r="Y45" i="1"/>
  <c r="BH45" s="1"/>
  <c r="BJ45" s="1"/>
  <c r="Y67"/>
  <c r="BH67" s="1"/>
  <c r="BJ67" s="1"/>
  <c r="Y50"/>
  <c r="BH50" s="1"/>
  <c r="BJ50" s="1"/>
  <c r="AL77" i="13"/>
  <c r="Y60" i="1"/>
  <c r="BH60" s="1"/>
  <c r="BJ60" s="1"/>
  <c r="Y18"/>
  <c r="BH18" s="1"/>
  <c r="BJ18" s="1"/>
  <c r="Y44"/>
  <c r="BH44" s="1"/>
  <c r="BJ44" s="1"/>
  <c r="Y59"/>
  <c r="BH59" s="1"/>
  <c r="BJ59" s="1"/>
  <c r="R10"/>
  <c r="AB10" s="1"/>
  <c r="AB38"/>
  <c r="AB72"/>
  <c r="AB45"/>
  <c r="AB49"/>
  <c r="AB29"/>
  <c r="AB21"/>
  <c r="H20" i="81"/>
  <c r="AB68" i="1"/>
  <c r="AB25"/>
  <c r="AB22"/>
  <c r="AB9"/>
  <c r="H22" i="81"/>
  <c r="AB20" i="1"/>
  <c r="J53" i="2"/>
  <c r="O53" s="1"/>
  <c r="AB18" i="1"/>
  <c r="AB58"/>
  <c r="AB69"/>
  <c r="AB62"/>
  <c r="AB44"/>
  <c r="AB51"/>
  <c r="AB67"/>
  <c r="AB71"/>
  <c r="AB37"/>
  <c r="Y61"/>
  <c r="BH61" s="1"/>
  <c r="BJ61" s="1"/>
  <c r="AR42" i="13"/>
  <c r="Y42" i="1"/>
  <c r="BH42" s="1"/>
  <c r="BJ42" s="1"/>
  <c r="AR47" i="13"/>
  <c r="Y47" i="1"/>
  <c r="BH47" s="1"/>
  <c r="BJ47" s="1"/>
  <c r="AR40" i="13"/>
  <c r="Y40" i="1"/>
  <c r="BH40" s="1"/>
  <c r="BJ40" s="1"/>
  <c r="AR23" i="13"/>
  <c r="Y13" i="1"/>
  <c r="BH13" s="1"/>
  <c r="Y14"/>
  <c r="BH14" s="1"/>
  <c r="BJ14" s="1"/>
  <c r="Y46"/>
  <c r="BH46" s="1"/>
  <c r="BJ46" s="1"/>
  <c r="AN77" i="13"/>
  <c r="AR15"/>
  <c r="AF77"/>
  <c r="H6" i="25" s="1"/>
  <c r="AR16" i="13"/>
  <c r="AR21"/>
  <c r="Y72" i="1"/>
  <c r="BH72" s="1"/>
  <c r="BJ72" s="1"/>
  <c r="AR72" i="13"/>
  <c r="Y52" i="1"/>
  <c r="BH52" s="1"/>
  <c r="BJ52" s="1"/>
  <c r="AR32" i="13"/>
  <c r="Y32" i="1"/>
  <c r="BH32" s="1"/>
  <c r="BJ32" s="1"/>
  <c r="AR74" i="13"/>
  <c r="Y74" i="1"/>
  <c r="AQ77" i="13"/>
  <c r="E28" i="81" s="1"/>
  <c r="G28" s="1"/>
  <c r="C78" i="25"/>
  <c r="AR66" i="13"/>
  <c r="Y66" i="1"/>
  <c r="BH66" s="1"/>
  <c r="BJ66" s="1"/>
  <c r="Y9"/>
  <c r="BH9" s="1"/>
  <c r="BJ9" s="1"/>
  <c r="AR9" i="13"/>
  <c r="AR55"/>
  <c r="Y55" i="1"/>
  <c r="BH55" s="1"/>
  <c r="BJ55" s="1"/>
  <c r="Y64"/>
  <c r="AR64" i="13"/>
  <c r="Y53" i="1"/>
  <c r="BH53" s="1"/>
  <c r="BJ53" s="1"/>
  <c r="AR53" i="13"/>
  <c r="AR39"/>
  <c r="Y39" i="1"/>
  <c r="N41" i="2"/>
  <c r="N75" s="1"/>
  <c r="E42" i="81" s="1"/>
  <c r="G42" s="1"/>
  <c r="M75" i="2"/>
  <c r="Y34" i="1"/>
  <c r="BH34" s="1"/>
  <c r="BJ34" s="1"/>
  <c r="AR34" i="13"/>
  <c r="Y51" i="1"/>
  <c r="BH51" s="1"/>
  <c r="BJ51" s="1"/>
  <c r="AR51" i="13"/>
  <c r="D78" i="25"/>
  <c r="AR22" i="13"/>
  <c r="Y22" i="1"/>
  <c r="Y73"/>
  <c r="AR73" i="13"/>
  <c r="Y19" i="1"/>
  <c r="AR19" i="13"/>
  <c r="BM16" i="1"/>
  <c r="BM77" s="1"/>
  <c r="BK77"/>
  <c r="Y48"/>
  <c r="BH48" s="1"/>
  <c r="BJ48" s="1"/>
  <c r="AR48" i="13"/>
  <c r="AR63"/>
  <c r="Y63" i="1"/>
  <c r="E33" i="81"/>
  <c r="AD77" i="13"/>
  <c r="E6" i="25" s="1"/>
  <c r="H63" i="81"/>
  <c r="G63"/>
  <c r="AR56" i="13"/>
  <c r="Y56" i="1"/>
  <c r="BH56" s="1"/>
  <c r="BJ56" s="1"/>
  <c r="AR33" i="13"/>
  <c r="Y33" i="1"/>
  <c r="BH33" s="1"/>
  <c r="BJ33" s="1"/>
  <c r="AR31" i="13"/>
  <c r="Y31" i="1"/>
  <c r="BH31" s="1"/>
  <c r="BJ31" s="1"/>
  <c r="AR29" i="13"/>
  <c r="Y29" i="1"/>
  <c r="N15" i="67"/>
  <c r="N76" s="1"/>
  <c r="M76"/>
  <c r="Y24" i="1"/>
  <c r="BH24" s="1"/>
  <c r="BJ24" s="1"/>
  <c r="AR24" i="13"/>
  <c r="Y71" i="1"/>
  <c r="BH71" s="1"/>
  <c r="BJ71" s="1"/>
  <c r="AR71" i="13"/>
  <c r="Y8" i="1"/>
  <c r="BH8" s="1"/>
  <c r="BJ8" s="1"/>
  <c r="AR8" i="13"/>
  <c r="BN43" i="1"/>
  <c r="BP43" s="1"/>
  <c r="R43"/>
  <c r="Y12"/>
  <c r="BH12" s="1"/>
  <c r="BJ12" s="1"/>
  <c r="AR12" i="13"/>
  <c r="Y76" i="1"/>
  <c r="AR76" i="13"/>
  <c r="AR17"/>
  <c r="Y17" i="1"/>
  <c r="BH17" s="1"/>
  <c r="BJ17" s="1"/>
  <c r="AM77" i="13"/>
  <c r="E30" i="81" s="1"/>
  <c r="H29"/>
  <c r="G29"/>
  <c r="Y58" i="1"/>
  <c r="AR58" i="13"/>
  <c r="AR26"/>
  <c r="Y26" i="1"/>
  <c r="AR65" i="13"/>
  <c r="Y65" i="1"/>
  <c r="M16"/>
  <c r="N16" s="1"/>
  <c r="L77"/>
  <c r="G12" i="81"/>
  <c r="H12"/>
  <c r="J19" i="2"/>
  <c r="O19" s="1"/>
  <c r="G78" i="25"/>
  <c r="BN24" i="1"/>
  <c r="R24"/>
  <c r="AS5" i="72" l="1"/>
  <c r="AT5" s="1"/>
  <c r="AU5" s="1"/>
  <c r="AV5" s="1"/>
  <c r="AW5" s="1"/>
  <c r="AX5" s="1"/>
  <c r="AY5" s="1"/>
  <c r="AZ5" s="1"/>
  <c r="BA5" s="1"/>
  <c r="BB5" s="1"/>
  <c r="H46" i="81"/>
  <c r="G70"/>
  <c r="H70"/>
  <c r="E2" i="25"/>
  <c r="H2"/>
  <c r="J41" i="2"/>
  <c r="O41" s="1"/>
  <c r="R41" s="1"/>
  <c r="AM43" i="1" s="1"/>
  <c r="J40" i="2"/>
  <c r="O40" s="1"/>
  <c r="AI42" i="1" s="1"/>
  <c r="AJ42" s="1"/>
  <c r="J29" i="2"/>
  <c r="O29" s="1"/>
  <c r="AI31" i="1" s="1"/>
  <c r="AJ31" s="1"/>
  <c r="J64" i="2"/>
  <c r="O64" s="1"/>
  <c r="R64" s="1"/>
  <c r="AM66" i="1" s="1"/>
  <c r="AN66" s="1"/>
  <c r="J54" i="2"/>
  <c r="O54" s="1"/>
  <c r="AI56" i="1" s="1"/>
  <c r="AJ56" s="1"/>
  <c r="J49" i="2"/>
  <c r="O49" s="1"/>
  <c r="AI51" i="1" s="1"/>
  <c r="AJ51" s="1"/>
  <c r="J26" i="2"/>
  <c r="O26" s="1"/>
  <c r="AI28" i="1" s="1"/>
  <c r="AJ28" s="1"/>
  <c r="J48" i="2"/>
  <c r="O48" s="1"/>
  <c r="AI50" i="1" s="1"/>
  <c r="AJ50" s="1"/>
  <c r="J13" i="2"/>
  <c r="O13" s="1"/>
  <c r="R13" s="1"/>
  <c r="AM15" i="1" s="1"/>
  <c r="AN15" s="1"/>
  <c r="J35" i="2"/>
  <c r="O35" s="1"/>
  <c r="R35" s="1"/>
  <c r="AM37" i="1" s="1"/>
  <c r="AN37" s="1"/>
  <c r="J36" i="2"/>
  <c r="O36" s="1"/>
  <c r="AI38" i="1" s="1"/>
  <c r="AJ38" s="1"/>
  <c r="J16" i="2"/>
  <c r="O16" s="1"/>
  <c r="AI18" i="1" s="1"/>
  <c r="AJ18" s="1"/>
  <c r="J22" i="2"/>
  <c r="O22" s="1"/>
  <c r="R22" s="1"/>
  <c r="AM24" i="1" s="1"/>
  <c r="AN24" s="1"/>
  <c r="J6" i="2"/>
  <c r="O6" s="1"/>
  <c r="J70"/>
  <c r="O70" s="1"/>
  <c r="R70" s="1"/>
  <c r="AM72" i="1" s="1"/>
  <c r="AN72" s="1"/>
  <c r="J61" i="2"/>
  <c r="O61" s="1"/>
  <c r="AI63" i="1" s="1"/>
  <c r="AJ63" s="1"/>
  <c r="J20" i="2"/>
  <c r="O20" s="1"/>
  <c r="R20" s="1"/>
  <c r="AM22" i="1" s="1"/>
  <c r="AN22" s="1"/>
  <c r="J33" i="2"/>
  <c r="O33" s="1"/>
  <c r="AI35" i="1" s="1"/>
  <c r="AJ35" s="1"/>
  <c r="J52" i="2"/>
  <c r="O52" s="1"/>
  <c r="AI54" i="1" s="1"/>
  <c r="AJ54" s="1"/>
  <c r="J68" i="2"/>
  <c r="O68" s="1"/>
  <c r="R68" s="1"/>
  <c r="AM70" i="1" s="1"/>
  <c r="AN70" s="1"/>
  <c r="J32" i="2"/>
  <c r="O32" s="1"/>
  <c r="AI34" i="1" s="1"/>
  <c r="AJ34" s="1"/>
  <c r="J28" i="2"/>
  <c r="O28" s="1"/>
  <c r="AI30" i="1" s="1"/>
  <c r="AJ30" s="1"/>
  <c r="J21" i="2"/>
  <c r="O21" s="1"/>
  <c r="AI23" i="1" s="1"/>
  <c r="AJ23" s="1"/>
  <c r="J57" i="2"/>
  <c r="O57" s="1"/>
  <c r="AI59" i="1" s="1"/>
  <c r="AJ59" s="1"/>
  <c r="J10" i="2"/>
  <c r="O10" s="1"/>
  <c r="R10" s="1"/>
  <c r="AM12" i="1" s="1"/>
  <c r="AN12" s="1"/>
  <c r="J23" i="2"/>
  <c r="O23" s="1"/>
  <c r="AI25" i="1" s="1"/>
  <c r="AJ25" s="1"/>
  <c r="J39" i="2"/>
  <c r="O39" s="1"/>
  <c r="R39" s="1"/>
  <c r="AM41" i="1" s="1"/>
  <c r="AN41" s="1"/>
  <c r="J58" i="2"/>
  <c r="O58" s="1"/>
  <c r="R58" s="1"/>
  <c r="AM60" i="1" s="1"/>
  <c r="AN60" s="1"/>
  <c r="J74" i="2"/>
  <c r="O74" s="1"/>
  <c r="R74" s="1"/>
  <c r="AM76" i="1" s="1"/>
  <c r="AN76" s="1"/>
  <c r="J59" i="2"/>
  <c r="O59" s="1"/>
  <c r="R59" s="1"/>
  <c r="AM61" i="1" s="1"/>
  <c r="AN61" s="1"/>
  <c r="J55" i="2"/>
  <c r="O55" s="1"/>
  <c r="R55" s="1"/>
  <c r="AM57" i="1" s="1"/>
  <c r="AN57" s="1"/>
  <c r="J34" i="2"/>
  <c r="O34" s="1"/>
  <c r="AI36" i="1" s="1"/>
  <c r="AJ36" s="1"/>
  <c r="J69" i="2"/>
  <c r="O69" s="1"/>
  <c r="R69" s="1"/>
  <c r="AM71" i="1" s="1"/>
  <c r="AN71" s="1"/>
  <c r="J8" i="2"/>
  <c r="O8" s="1"/>
  <c r="R8" s="1"/>
  <c r="AM10" i="1" s="1"/>
  <c r="AN10" s="1"/>
  <c r="J43" i="2"/>
  <c r="O43" s="1"/>
  <c r="R43" s="1"/>
  <c r="AM45" i="1" s="1"/>
  <c r="AN45" s="1"/>
  <c r="J37" i="2"/>
  <c r="O37" s="1"/>
  <c r="R37" s="1"/>
  <c r="AM39" i="1" s="1"/>
  <c r="AN39" s="1"/>
  <c r="J56" i="2"/>
  <c r="O56" s="1"/>
  <c r="AI58" i="1" s="1"/>
  <c r="AJ58" s="1"/>
  <c r="J72" i="2"/>
  <c r="O72" s="1"/>
  <c r="AI74" i="1" s="1"/>
  <c r="AJ74" s="1"/>
  <c r="J51" i="2"/>
  <c r="O51" s="1"/>
  <c r="AI53" i="1" s="1"/>
  <c r="AJ53" s="1"/>
  <c r="J47" i="2"/>
  <c r="O47" s="1"/>
  <c r="AI49" i="1" s="1"/>
  <c r="AJ49" s="1"/>
  <c r="J30" i="2"/>
  <c r="O30" s="1"/>
  <c r="R30" s="1"/>
  <c r="AM32" i="1" s="1"/>
  <c r="AN32" s="1"/>
  <c r="J65" i="2"/>
  <c r="O65" s="1"/>
  <c r="R65" s="1"/>
  <c r="AM67" i="1" s="1"/>
  <c r="AN67" s="1"/>
  <c r="J14" i="2"/>
  <c r="O14" s="1"/>
  <c r="AI16" i="1" s="1"/>
  <c r="J27" i="2"/>
  <c r="O27" s="1"/>
  <c r="AI29" i="1" s="1"/>
  <c r="AJ29" s="1"/>
  <c r="J46" i="2"/>
  <c r="O46" s="1"/>
  <c r="R46" s="1"/>
  <c r="AM48" i="1" s="1"/>
  <c r="AN48" s="1"/>
  <c r="J62" i="2"/>
  <c r="O62" s="1"/>
  <c r="R62" s="1"/>
  <c r="AM64" i="1" s="1"/>
  <c r="AN64" s="1"/>
  <c r="J15" i="2"/>
  <c r="O15" s="1"/>
  <c r="AI17" i="1" s="1"/>
  <c r="AJ17" s="1"/>
  <c r="J11" i="2"/>
  <c r="O11" s="1"/>
  <c r="AI13" i="1" s="1"/>
  <c r="AJ13" s="1"/>
  <c r="J9" i="2"/>
  <c r="O9" s="1"/>
  <c r="R9" s="1"/>
  <c r="AM11" i="1" s="1"/>
  <c r="AN11" s="1"/>
  <c r="J45" i="2"/>
  <c r="O45" s="1"/>
  <c r="AI47" i="1" s="1"/>
  <c r="AJ47" s="1"/>
  <c r="J73" i="2"/>
  <c r="O73" s="1"/>
  <c r="R73" s="1"/>
  <c r="AM75" i="1" s="1"/>
  <c r="AN75" s="1"/>
  <c r="J12" i="2"/>
  <c r="O12" s="1"/>
  <c r="R12" s="1"/>
  <c r="AM14" i="1" s="1"/>
  <c r="AN14" s="1"/>
  <c r="J25" i="2"/>
  <c r="O25" s="1"/>
  <c r="R25" s="1"/>
  <c r="AM27" i="1" s="1"/>
  <c r="AN27" s="1"/>
  <c r="J44" i="2"/>
  <c r="O44" s="1"/>
  <c r="R44" s="1"/>
  <c r="AM46" i="1" s="1"/>
  <c r="AN46" s="1"/>
  <c r="J60" i="2"/>
  <c r="O60" s="1"/>
  <c r="R60" s="1"/>
  <c r="AM62" i="1" s="1"/>
  <c r="AN62" s="1"/>
  <c r="J7" i="2"/>
  <c r="O7" s="1"/>
  <c r="R7" s="1"/>
  <c r="AM9" i="1" s="1"/>
  <c r="AN9" s="1"/>
  <c r="J63" i="2"/>
  <c r="O63" s="1"/>
  <c r="AI65" i="1" s="1"/>
  <c r="AJ65" s="1"/>
  <c r="J67" i="2"/>
  <c r="O67" s="1"/>
  <c r="R67" s="1"/>
  <c r="AM69" i="1" s="1"/>
  <c r="AN69" s="1"/>
  <c r="J38" i="2"/>
  <c r="O38" s="1"/>
  <c r="R38" s="1"/>
  <c r="AM40" i="1" s="1"/>
  <c r="AN40" s="1"/>
  <c r="J71" i="2"/>
  <c r="O71" s="1"/>
  <c r="AI73" i="1" s="1"/>
  <c r="AJ73" s="1"/>
  <c r="J18" i="2"/>
  <c r="O18" s="1"/>
  <c r="AI20" i="1" s="1"/>
  <c r="AJ20" s="1"/>
  <c r="J31" i="2"/>
  <c r="O31" s="1"/>
  <c r="AI33" i="1" s="1"/>
  <c r="AJ33" s="1"/>
  <c r="J50" i="2"/>
  <c r="O50" s="1"/>
  <c r="R50" s="1"/>
  <c r="AM52" i="1" s="1"/>
  <c r="AN52" s="1"/>
  <c r="J66" i="2"/>
  <c r="O66" s="1"/>
  <c r="R66" s="1"/>
  <c r="AM68" i="1" s="1"/>
  <c r="AN68" s="1"/>
  <c r="J24" i="2"/>
  <c r="O24" s="1"/>
  <c r="AI26" i="1" s="1"/>
  <c r="AJ26" s="1"/>
  <c r="J42" i="2"/>
  <c r="O42" s="1"/>
  <c r="AI44" i="1" s="1"/>
  <c r="AJ44" s="1"/>
  <c r="J17" i="2"/>
  <c r="O17" s="1"/>
  <c r="R17" s="1"/>
  <c r="AM19" i="1" s="1"/>
  <c r="AN19" s="1"/>
  <c r="E40" i="81"/>
  <c r="G40" s="1"/>
  <c r="H42"/>
  <c r="H28"/>
  <c r="BH74" i="1"/>
  <c r="BJ74" s="1"/>
  <c r="AR77" i="13"/>
  <c r="Y77" i="1"/>
  <c r="BH64"/>
  <c r="BJ64" s="1"/>
  <c r="BH58"/>
  <c r="BJ58" s="1"/>
  <c r="BH29"/>
  <c r="BJ29" s="1"/>
  <c r="BH63"/>
  <c r="BJ63" s="1"/>
  <c r="BH26"/>
  <c r="BJ26" s="1"/>
  <c r="G30" i="81"/>
  <c r="H30"/>
  <c r="BH73" i="1"/>
  <c r="BJ73" s="1"/>
  <c r="O16"/>
  <c r="N77"/>
  <c r="AB43"/>
  <c r="BH22"/>
  <c r="BJ22" s="1"/>
  <c r="BH65"/>
  <c r="BJ65" s="1"/>
  <c r="BH76"/>
  <c r="BJ76" s="1"/>
  <c r="H33" i="81"/>
  <c r="G33"/>
  <c r="BH19" i="1"/>
  <c r="BJ19" s="1"/>
  <c r="BH39"/>
  <c r="BJ39" s="1"/>
  <c r="R19" i="2"/>
  <c r="AM21" i="1" s="1"/>
  <c r="AN21" s="1"/>
  <c r="AI21"/>
  <c r="AJ21" s="1"/>
  <c r="AI55"/>
  <c r="AJ55" s="1"/>
  <c r="R53" i="2"/>
  <c r="AM55" i="1" s="1"/>
  <c r="AN55" s="1"/>
  <c r="BJ13"/>
  <c r="BP24"/>
  <c r="AB24"/>
  <c r="H53" i="25" l="1"/>
  <c r="H15"/>
  <c r="H17"/>
  <c r="H21"/>
  <c r="H62"/>
  <c r="H35"/>
  <c r="H20"/>
  <c r="H10"/>
  <c r="H13"/>
  <c r="H66"/>
  <c r="H23"/>
  <c r="H38"/>
  <c r="H45"/>
  <c r="H73"/>
  <c r="H14"/>
  <c r="H31"/>
  <c r="H76"/>
  <c r="H30"/>
  <c r="H65"/>
  <c r="H22"/>
  <c r="H68"/>
  <c r="H19"/>
  <c r="H71"/>
  <c r="H50"/>
  <c r="H11"/>
  <c r="H59"/>
  <c r="H36"/>
  <c r="H47"/>
  <c r="H72"/>
  <c r="H40"/>
  <c r="H64"/>
  <c r="H24"/>
  <c r="H55"/>
  <c r="H29"/>
  <c r="H61"/>
  <c r="H70"/>
  <c r="H74"/>
  <c r="H51"/>
  <c r="H46"/>
  <c r="H33"/>
  <c r="H60"/>
  <c r="H37"/>
  <c r="H52"/>
  <c r="H44"/>
  <c r="H67"/>
  <c r="H48"/>
  <c r="H32"/>
  <c r="H69"/>
  <c r="H63"/>
  <c r="H43"/>
  <c r="H56"/>
  <c r="H54"/>
  <c r="H39"/>
  <c r="H26"/>
  <c r="H75"/>
  <c r="H42"/>
  <c r="H49"/>
  <c r="H58"/>
  <c r="H27"/>
  <c r="H28"/>
  <c r="H34"/>
  <c r="H16"/>
  <c r="H25"/>
  <c r="H9"/>
  <c r="H77"/>
  <c r="H18"/>
  <c r="H12"/>
  <c r="H41"/>
  <c r="H57"/>
  <c r="E75"/>
  <c r="E33"/>
  <c r="E57"/>
  <c r="E59"/>
  <c r="E14"/>
  <c r="E10"/>
  <c r="E65"/>
  <c r="E13"/>
  <c r="J13" s="1"/>
  <c r="S12" i="1" s="1"/>
  <c r="T12" s="1"/>
  <c r="E39" i="25"/>
  <c r="E50"/>
  <c r="E71"/>
  <c r="E41"/>
  <c r="E46"/>
  <c r="E74"/>
  <c r="E55"/>
  <c r="E35"/>
  <c r="E58"/>
  <c r="E29"/>
  <c r="E45"/>
  <c r="E66"/>
  <c r="E34"/>
  <c r="E47"/>
  <c r="E63"/>
  <c r="E26"/>
  <c r="E49"/>
  <c r="E17"/>
  <c r="J17" s="1"/>
  <c r="S16" i="1" s="1"/>
  <c r="E18" i="25"/>
  <c r="E9"/>
  <c r="E70"/>
  <c r="E30"/>
  <c r="E53"/>
  <c r="E54"/>
  <c r="E25"/>
  <c r="E22"/>
  <c r="E73"/>
  <c r="E16"/>
  <c r="E64"/>
  <c r="E28"/>
  <c r="E67"/>
  <c r="E52"/>
  <c r="E76"/>
  <c r="E60"/>
  <c r="E62"/>
  <c r="E32"/>
  <c r="E72"/>
  <c r="E42"/>
  <c r="E43"/>
  <c r="E56"/>
  <c r="E24"/>
  <c r="E44"/>
  <c r="E19"/>
  <c r="E27"/>
  <c r="E21"/>
  <c r="E51"/>
  <c r="E40"/>
  <c r="E68"/>
  <c r="J68" s="1"/>
  <c r="S67" i="1" s="1"/>
  <c r="T67" s="1"/>
  <c r="E38" i="25"/>
  <c r="E48"/>
  <c r="E37"/>
  <c r="E15"/>
  <c r="E77"/>
  <c r="E23"/>
  <c r="J23" s="1"/>
  <c r="S22" i="1" s="1"/>
  <c r="T22" s="1"/>
  <c r="E20" i="25"/>
  <c r="E31"/>
  <c r="E11"/>
  <c r="E61"/>
  <c r="J61" s="1"/>
  <c r="S60" i="1" s="1"/>
  <c r="T60" s="1"/>
  <c r="E69" i="25"/>
  <c r="E36"/>
  <c r="E12"/>
  <c r="R51" i="2"/>
  <c r="AM53" i="1" s="1"/>
  <c r="AN53" s="1"/>
  <c r="R29" i="2"/>
  <c r="AM31" i="1" s="1"/>
  <c r="AN31" s="1"/>
  <c r="R23" i="2"/>
  <c r="AM25" i="1" s="1"/>
  <c r="AN25" s="1"/>
  <c r="R40" i="2"/>
  <c r="AM42" i="1" s="1"/>
  <c r="AN42" s="1"/>
  <c r="AI64"/>
  <c r="AJ64" s="1"/>
  <c r="R49" i="2"/>
  <c r="AM51" i="1" s="1"/>
  <c r="AN51" s="1"/>
  <c r="AI19"/>
  <c r="AJ19" s="1"/>
  <c r="R47" i="2"/>
  <c r="AM49" i="1" s="1"/>
  <c r="AN49" s="1"/>
  <c r="AI66"/>
  <c r="AJ66" s="1"/>
  <c r="AI40"/>
  <c r="AJ40" s="1"/>
  <c r="R45" i="2"/>
  <c r="AM47" i="1" s="1"/>
  <c r="AN47" s="1"/>
  <c r="AI37"/>
  <c r="AJ37" s="1"/>
  <c r="R48" i="2"/>
  <c r="AM50" i="1" s="1"/>
  <c r="AN50" s="1"/>
  <c r="R24" i="2"/>
  <c r="AM26" i="1" s="1"/>
  <c r="AN26" s="1"/>
  <c r="R16" i="2"/>
  <c r="AM18" i="1" s="1"/>
  <c r="AN18" s="1"/>
  <c r="AI39"/>
  <c r="AJ39" s="1"/>
  <c r="AI15"/>
  <c r="AJ15" s="1"/>
  <c r="AI11"/>
  <c r="AJ11" s="1"/>
  <c r="AI71"/>
  <c r="AJ71" s="1"/>
  <c r="AI62"/>
  <c r="AJ62" s="1"/>
  <c r="R61" i="2"/>
  <c r="AM63" i="1" s="1"/>
  <c r="AN63" s="1"/>
  <c r="AI52"/>
  <c r="AJ52" s="1"/>
  <c r="R36" i="2"/>
  <c r="AM38" i="1" s="1"/>
  <c r="AN38" s="1"/>
  <c r="R54" i="2"/>
  <c r="AM56" i="1" s="1"/>
  <c r="AN56" s="1"/>
  <c r="AI32"/>
  <c r="AJ32" s="1"/>
  <c r="R26" i="2"/>
  <c r="AM28" i="1" s="1"/>
  <c r="AN28" s="1"/>
  <c r="AI24"/>
  <c r="AJ24" s="1"/>
  <c r="AI68"/>
  <c r="AJ68" s="1"/>
  <c r="R71" i="2"/>
  <c r="AM73" i="1" s="1"/>
  <c r="AN73" s="1"/>
  <c r="AI22"/>
  <c r="AJ22" s="1"/>
  <c r="AI41"/>
  <c r="AJ41" s="1"/>
  <c r="R32" i="2"/>
  <c r="AM34" i="1" s="1"/>
  <c r="AN34" s="1"/>
  <c r="R56" i="2"/>
  <c r="AM58" i="1" s="1"/>
  <c r="AN58" s="1"/>
  <c r="AI61"/>
  <c r="AJ61" s="1"/>
  <c r="AI27"/>
  <c r="AJ27" s="1"/>
  <c r="AI75"/>
  <c r="AJ75" s="1"/>
  <c r="R18" i="2"/>
  <c r="AM20" i="1" s="1"/>
  <c r="AN20" s="1"/>
  <c r="R28" i="2"/>
  <c r="AM30" i="1" s="1"/>
  <c r="AN30" s="1"/>
  <c r="R52" i="2"/>
  <c r="AM54" i="1" s="1"/>
  <c r="AN54" s="1"/>
  <c r="AI10"/>
  <c r="AJ10" s="1"/>
  <c r="AI69"/>
  <c r="AJ69" s="1"/>
  <c r="R42" i="2"/>
  <c r="AM44" i="1" s="1"/>
  <c r="AN44" s="1"/>
  <c r="R63" i="2"/>
  <c r="AM65" i="1" s="1"/>
  <c r="AN65" s="1"/>
  <c r="R33" i="2"/>
  <c r="AM35" i="1" s="1"/>
  <c r="AN35" s="1"/>
  <c r="R15" i="2"/>
  <c r="AM17" i="1" s="1"/>
  <c r="AN17" s="1"/>
  <c r="AI67"/>
  <c r="AJ67" s="1"/>
  <c r="R72" i="2"/>
  <c r="AM74" i="1" s="1"/>
  <c r="AN74" s="1"/>
  <c r="AI57"/>
  <c r="AJ57" s="1"/>
  <c r="R31" i="2"/>
  <c r="AM33" i="1" s="1"/>
  <c r="AN33" s="1"/>
  <c r="R21" i="2"/>
  <c r="AM23" i="1" s="1"/>
  <c r="AN23" s="1"/>
  <c r="AI46"/>
  <c r="AJ46" s="1"/>
  <c r="AI72"/>
  <c r="AJ72" s="1"/>
  <c r="R14" i="2"/>
  <c r="AM16" i="1" s="1"/>
  <c r="AN16" s="1"/>
  <c r="AI45"/>
  <c r="AJ45" s="1"/>
  <c r="AI9"/>
  <c r="AJ9" s="1"/>
  <c r="AI48"/>
  <c r="AJ48" s="1"/>
  <c r="AI76"/>
  <c r="AJ76" s="1"/>
  <c r="AI12"/>
  <c r="AJ12" s="1"/>
  <c r="AI14"/>
  <c r="AJ14" s="1"/>
  <c r="R11" i="2"/>
  <c r="AM13" i="1" s="1"/>
  <c r="AN13" s="1"/>
  <c r="R27" i="2"/>
  <c r="AM29" i="1" s="1"/>
  <c r="AN29" s="1"/>
  <c r="J75" i="2"/>
  <c r="E47" i="81" s="1"/>
  <c r="R34" i="2"/>
  <c r="AM36" i="1" s="1"/>
  <c r="AN36" s="1"/>
  <c r="AI60"/>
  <c r="AJ60" s="1"/>
  <c r="R57" i="2"/>
  <c r="AM59" i="1" s="1"/>
  <c r="AN59" s="1"/>
  <c r="AI70"/>
  <c r="AJ70" s="1"/>
  <c r="H40" i="81"/>
  <c r="AI43" i="1"/>
  <c r="AJ43" s="1"/>
  <c r="BH77"/>
  <c r="BJ77"/>
  <c r="E24" i="81"/>
  <c r="E10" s="1"/>
  <c r="P16" i="1"/>
  <c r="O77"/>
  <c r="AN43"/>
  <c r="AJ16"/>
  <c r="O79" i="2"/>
  <c r="AI8" i="1"/>
  <c r="O75" i="2"/>
  <c r="AI87" i="1" s="1"/>
  <c r="R6" i="2"/>
  <c r="J62" i="25" l="1"/>
  <c r="S61" i="1" s="1"/>
  <c r="T61" s="1"/>
  <c r="X61" s="1"/>
  <c r="J60" i="25"/>
  <c r="S59" i="1" s="1"/>
  <c r="T59" s="1"/>
  <c r="U59" s="1"/>
  <c r="J67" i="25"/>
  <c r="S66" i="1" s="1"/>
  <c r="T66" s="1"/>
  <c r="W66" s="1"/>
  <c r="N69" i="101" s="1"/>
  <c r="J53" i="25"/>
  <c r="S52" i="1" s="1"/>
  <c r="T52" s="1"/>
  <c r="U52" s="1"/>
  <c r="J11" i="25"/>
  <c r="S10" i="1" s="1"/>
  <c r="T10" s="1"/>
  <c r="Z10" s="1"/>
  <c r="AC10" s="1"/>
  <c r="AS10" s="1"/>
  <c r="J72" i="25"/>
  <c r="S71" i="1" s="1"/>
  <c r="T71" s="1"/>
  <c r="W71" s="1"/>
  <c r="N74" i="101" s="1"/>
  <c r="J76" i="25"/>
  <c r="S75" i="1" s="1"/>
  <c r="T75" s="1"/>
  <c r="U75" s="1"/>
  <c r="J48" i="25"/>
  <c r="S47" i="1" s="1"/>
  <c r="T47" s="1"/>
  <c r="W47" s="1"/>
  <c r="N50" i="101" s="1"/>
  <c r="J51" i="25"/>
  <c r="S50" i="1" s="1"/>
  <c r="T50" s="1"/>
  <c r="X50" s="1"/>
  <c r="J44" i="25"/>
  <c r="S43" i="1" s="1"/>
  <c r="T43" s="1"/>
  <c r="X43" s="1"/>
  <c r="J42" i="25"/>
  <c r="S41" i="1" s="1"/>
  <c r="T41" s="1"/>
  <c r="W41" s="1"/>
  <c r="N44" i="101" s="1"/>
  <c r="J10" i="25"/>
  <c r="S9" i="1" s="1"/>
  <c r="T9" s="1"/>
  <c r="W9" s="1"/>
  <c r="N12" i="101" s="1"/>
  <c r="J64" i="25"/>
  <c r="S63" i="1" s="1"/>
  <c r="T63" s="1"/>
  <c r="W63" s="1"/>
  <c r="N66" i="101" s="1"/>
  <c r="J20" i="25"/>
  <c r="S19" i="1" s="1"/>
  <c r="T19" s="1"/>
  <c r="W19" s="1"/>
  <c r="N22" i="101" s="1"/>
  <c r="J37" i="25"/>
  <c r="S36" i="1" s="1"/>
  <c r="T36" s="1"/>
  <c r="AA36" s="1"/>
  <c r="J40" i="25"/>
  <c r="S39" i="1" s="1"/>
  <c r="T39" s="1"/>
  <c r="AA39" s="1"/>
  <c r="J19" i="25"/>
  <c r="S18" i="1" s="1"/>
  <c r="T18" s="1"/>
  <c r="W18" s="1"/>
  <c r="N21" i="101" s="1"/>
  <c r="J43" i="25"/>
  <c r="S42" i="1" s="1"/>
  <c r="T42" s="1"/>
  <c r="X42" s="1"/>
  <c r="J36" i="25"/>
  <c r="S35" i="1" s="1"/>
  <c r="T35" s="1"/>
  <c r="U35" s="1"/>
  <c r="J15" i="25"/>
  <c r="S14" i="1" s="1"/>
  <c r="T14" s="1"/>
  <c r="W14" s="1"/>
  <c r="N17" i="101" s="1"/>
  <c r="J27" i="25"/>
  <c r="S26" i="1" s="1"/>
  <c r="T26" s="1"/>
  <c r="W26" s="1"/>
  <c r="N29" i="101" s="1"/>
  <c r="J56" i="25"/>
  <c r="S55" i="1" s="1"/>
  <c r="T55" s="1"/>
  <c r="W55" s="1"/>
  <c r="N58" i="101" s="1"/>
  <c r="J32" i="25"/>
  <c r="S31" i="1" s="1"/>
  <c r="T31" s="1"/>
  <c r="X31" s="1"/>
  <c r="J52" i="25"/>
  <c r="S51" i="1" s="1"/>
  <c r="T51" s="1"/>
  <c r="AA51" s="1"/>
  <c r="J35" i="25"/>
  <c r="S34" i="1" s="1"/>
  <c r="T34" s="1"/>
  <c r="U34" s="1"/>
  <c r="J41" i="25"/>
  <c r="S40" i="1" s="1"/>
  <c r="T40" s="1"/>
  <c r="AA40" s="1"/>
  <c r="J28" i="25"/>
  <c r="S27" i="1" s="1"/>
  <c r="T27" s="1"/>
  <c r="W27" s="1"/>
  <c r="N30" i="101" s="1"/>
  <c r="J54" i="25"/>
  <c r="S53" i="1" s="1"/>
  <c r="T53" s="1"/>
  <c r="U53" s="1"/>
  <c r="J70" i="25"/>
  <c r="S69" i="1" s="1"/>
  <c r="T69" s="1"/>
  <c r="Z69" s="1"/>
  <c r="AC69" s="1"/>
  <c r="J38" i="25"/>
  <c r="S37" i="1" s="1"/>
  <c r="T37" s="1"/>
  <c r="W37" s="1"/>
  <c r="N40" i="101" s="1"/>
  <c r="U60" i="1"/>
  <c r="Z60"/>
  <c r="AC60" s="1"/>
  <c r="X60"/>
  <c r="W60"/>
  <c r="N63" i="101" s="1"/>
  <c r="AA60" i="1"/>
  <c r="H78" i="25"/>
  <c r="X22" i="1"/>
  <c r="W22"/>
  <c r="N25" i="101" s="1"/>
  <c r="Z22" i="1"/>
  <c r="AC22" s="1"/>
  <c r="AA22"/>
  <c r="U22"/>
  <c r="J50" i="25"/>
  <c r="S49" i="1" s="1"/>
  <c r="T49" s="1"/>
  <c r="E78" i="25"/>
  <c r="J12"/>
  <c r="S11" i="1" s="1"/>
  <c r="T11" s="1"/>
  <c r="J21" i="25"/>
  <c r="S20" i="1" s="1"/>
  <c r="T20" s="1"/>
  <c r="J24" i="25"/>
  <c r="S23" i="1" s="1"/>
  <c r="T23" s="1"/>
  <c r="J25" i="25"/>
  <c r="S24" i="1" s="1"/>
  <c r="T24" s="1"/>
  <c r="J75" i="25"/>
  <c r="S74" i="1" s="1"/>
  <c r="T74" s="1"/>
  <c r="J46" i="25"/>
  <c r="S45" i="1" s="1"/>
  <c r="T45" s="1"/>
  <c r="J71" i="25"/>
  <c r="S70" i="1" s="1"/>
  <c r="T70" s="1"/>
  <c r="J65" i="25"/>
  <c r="S64" i="1" s="1"/>
  <c r="T64" s="1"/>
  <c r="J14" i="25"/>
  <c r="S13" i="1" s="1"/>
  <c r="T13" s="1"/>
  <c r="J33" i="25"/>
  <c r="S32" i="1" s="1"/>
  <c r="T32" s="1"/>
  <c r="J47" i="25"/>
  <c r="S46" i="1" s="1"/>
  <c r="T46" s="1"/>
  <c r="J31" i="25"/>
  <c r="S30" i="1" s="1"/>
  <c r="T30" s="1"/>
  <c r="U67"/>
  <c r="AA67"/>
  <c r="Z67"/>
  <c r="AC67" s="1"/>
  <c r="X67"/>
  <c r="W67"/>
  <c r="N70" i="101" s="1"/>
  <c r="J9" i="25"/>
  <c r="U12" i="1"/>
  <c r="X12"/>
  <c r="W12"/>
  <c r="N15" i="101" s="1"/>
  <c r="Z12" i="1"/>
  <c r="AC12" s="1"/>
  <c r="AA12"/>
  <c r="J18" i="25"/>
  <c r="S17" i="1" s="1"/>
  <c r="T17" s="1"/>
  <c r="J16" i="25"/>
  <c r="S15" i="1" s="1"/>
  <c r="T15" s="1"/>
  <c r="J58" i="25"/>
  <c r="S57" i="1" s="1"/>
  <c r="T57" s="1"/>
  <c r="J26" i="25"/>
  <c r="S25" i="1" s="1"/>
  <c r="T25" s="1"/>
  <c r="J29" i="25"/>
  <c r="S28" i="1" s="1"/>
  <c r="T28" s="1"/>
  <c r="J59" i="25"/>
  <c r="S58" i="1" s="1"/>
  <c r="T58" s="1"/>
  <c r="J30" i="25"/>
  <c r="S29" i="1" s="1"/>
  <c r="T29" s="1"/>
  <c r="J73" i="25"/>
  <c r="S72" i="1" s="1"/>
  <c r="T72" s="1"/>
  <c r="J66" i="25"/>
  <c r="S65" i="1" s="1"/>
  <c r="T65" s="1"/>
  <c r="J22" i="25"/>
  <c r="S21" i="1" s="1"/>
  <c r="T21" s="1"/>
  <c r="J69" i="25"/>
  <c r="S68" i="1" s="1"/>
  <c r="T68" s="1"/>
  <c r="W61"/>
  <c r="N64" i="101" s="1"/>
  <c r="J57" i="25"/>
  <c r="S56" i="1" s="1"/>
  <c r="T56" s="1"/>
  <c r="J77" i="25"/>
  <c r="S76" i="1" s="1"/>
  <c r="T76" s="1"/>
  <c r="J34" i="25"/>
  <c r="S33" i="1" s="1"/>
  <c r="T33" s="1"/>
  <c r="J49" i="25"/>
  <c r="S48" i="1" s="1"/>
  <c r="T48" s="1"/>
  <c r="J39" i="25"/>
  <c r="S38" i="1" s="1"/>
  <c r="T38" s="1"/>
  <c r="J63" i="25"/>
  <c r="S62" i="1" s="1"/>
  <c r="T62" s="1"/>
  <c r="J74" i="25"/>
  <c r="S73" i="1" s="1"/>
  <c r="T73" s="1"/>
  <c r="J55" i="25"/>
  <c r="S54" i="1" s="1"/>
  <c r="T54" s="1"/>
  <c r="J45" i="25"/>
  <c r="S44" i="1" s="1"/>
  <c r="T44" s="1"/>
  <c r="R16"/>
  <c r="BN16"/>
  <c r="P77"/>
  <c r="G24" i="81"/>
  <c r="H24"/>
  <c r="H47"/>
  <c r="E43"/>
  <c r="G47"/>
  <c r="AM8" i="1"/>
  <c r="AM77" s="1"/>
  <c r="R75" i="2"/>
  <c r="AM87" i="1" s="1"/>
  <c r="AI77"/>
  <c r="AJ77" s="1"/>
  <c r="AJ8"/>
  <c r="W52" l="1"/>
  <c r="N55" i="101" s="1"/>
  <c r="U10" i="1"/>
  <c r="V10" s="1"/>
  <c r="M13" i="101" s="1"/>
  <c r="X71" i="1"/>
  <c r="Z9"/>
  <c r="AC9" s="1"/>
  <c r="AS9" s="1"/>
  <c r="Z59"/>
  <c r="AC59" s="1"/>
  <c r="U43"/>
  <c r="BB43" s="1"/>
  <c r="BD43" s="1"/>
  <c r="AA71"/>
  <c r="U71"/>
  <c r="BB71" s="1"/>
  <c r="BD71" s="1"/>
  <c r="W59"/>
  <c r="N62" i="101" s="1"/>
  <c r="AA42" i="1"/>
  <c r="X19"/>
  <c r="Z71"/>
  <c r="AC71" s="1"/>
  <c r="AS71" s="1"/>
  <c r="X59"/>
  <c r="AA59"/>
  <c r="AA43"/>
  <c r="U40"/>
  <c r="V40" s="1"/>
  <c r="M43" i="101" s="1"/>
  <c r="W34" i="1"/>
  <c r="N37" i="101" s="1"/>
  <c r="Z75" i="1"/>
  <c r="AC75" s="1"/>
  <c r="AS75" s="1"/>
  <c r="AA47"/>
  <c r="Z52"/>
  <c r="AC52" s="1"/>
  <c r="AS52" s="1"/>
  <c r="X39"/>
  <c r="X52"/>
  <c r="W39"/>
  <c r="Z14"/>
  <c r="AC14" s="1"/>
  <c r="AD14" s="1"/>
  <c r="AE14" s="1"/>
  <c r="AF14" s="1"/>
  <c r="X9"/>
  <c r="X47"/>
  <c r="X51"/>
  <c r="AA14"/>
  <c r="U9"/>
  <c r="BB9" s="1"/>
  <c r="BD9" s="1"/>
  <c r="U47"/>
  <c r="V47" s="1"/>
  <c r="M50" i="101" s="1"/>
  <c r="Z51" i="1"/>
  <c r="AC51" s="1"/>
  <c r="AS51" s="1"/>
  <c r="U14"/>
  <c r="V14" s="1"/>
  <c r="M17" i="101" s="1"/>
  <c r="Z66" i="1"/>
  <c r="AC66" s="1"/>
  <c r="AD66" s="1"/>
  <c r="AE66" s="1"/>
  <c r="AA66"/>
  <c r="U66"/>
  <c r="V66" s="1"/>
  <c r="M69" i="101" s="1"/>
  <c r="W75" i="1"/>
  <c r="X75"/>
  <c r="AA41"/>
  <c r="X66"/>
  <c r="AA75"/>
  <c r="X27"/>
  <c r="AA52"/>
  <c r="Z39"/>
  <c r="AC39" s="1"/>
  <c r="AS39" s="1"/>
  <c r="W51"/>
  <c r="U51"/>
  <c r="V51" s="1"/>
  <c r="M54" i="101" s="1"/>
  <c r="X14" i="1"/>
  <c r="U50"/>
  <c r="BB50" s="1"/>
  <c r="BD50" s="1"/>
  <c r="AA9"/>
  <c r="Z47"/>
  <c r="AC47" s="1"/>
  <c r="AS47" s="1"/>
  <c r="U61"/>
  <c r="BB61" s="1"/>
  <c r="BD61" s="1"/>
  <c r="AA18"/>
  <c r="X10"/>
  <c r="AA61"/>
  <c r="U39"/>
  <c r="BB39" s="1"/>
  <c r="BD39" s="1"/>
  <c r="Z61"/>
  <c r="AC61" s="1"/>
  <c r="AS61" s="1"/>
  <c r="X26"/>
  <c r="X63"/>
  <c r="AA10"/>
  <c r="W10"/>
  <c r="W53"/>
  <c r="F52" i="84" s="1"/>
  <c r="AA31" i="1"/>
  <c r="X41"/>
  <c r="W42"/>
  <c r="U55"/>
  <c r="V55" s="1"/>
  <c r="M58" i="101" s="1"/>
  <c r="W43" i="1"/>
  <c r="N46" i="101" s="1"/>
  <c r="Z43" i="1"/>
  <c r="AC43" s="1"/>
  <c r="AS43" s="1"/>
  <c r="AT43" s="1"/>
  <c r="F46" i="101" s="1"/>
  <c r="G46" s="1"/>
  <c r="AA69" i="1"/>
  <c r="X18"/>
  <c r="Z18"/>
  <c r="AC18" s="1"/>
  <c r="AS18" s="1"/>
  <c r="Z34"/>
  <c r="AC34" s="1"/>
  <c r="AS34" s="1"/>
  <c r="Z26"/>
  <c r="AC26" s="1"/>
  <c r="AD26" s="1"/>
  <c r="AE26" s="1"/>
  <c r="U26"/>
  <c r="V26" s="1"/>
  <c r="M29" i="101" s="1"/>
  <c r="Z63" i="1"/>
  <c r="AC63" s="1"/>
  <c r="AD63" s="1"/>
  <c r="AE63" s="1"/>
  <c r="U63"/>
  <c r="V63" s="1"/>
  <c r="M66" i="101" s="1"/>
  <c r="AA50" i="1"/>
  <c r="X53"/>
  <c r="U18"/>
  <c r="BB18" s="1"/>
  <c r="BD18" s="1"/>
  <c r="X34"/>
  <c r="AA26"/>
  <c r="AA63"/>
  <c r="Z50"/>
  <c r="AC50" s="1"/>
  <c r="AS50" s="1"/>
  <c r="W50"/>
  <c r="U41"/>
  <c r="V41" s="1"/>
  <c r="M44" i="101" s="1"/>
  <c r="Z41" i="1"/>
  <c r="AC41" s="1"/>
  <c r="AS41" s="1"/>
  <c r="Z53"/>
  <c r="AC53" s="1"/>
  <c r="AS53" s="1"/>
  <c r="AA34"/>
  <c r="AA53"/>
  <c r="U31"/>
  <c r="V31" s="1"/>
  <c r="M34" i="101" s="1"/>
  <c r="Z19" i="1"/>
  <c r="AC19" s="1"/>
  <c r="AD19" s="1"/>
  <c r="AE19" s="1"/>
  <c r="AA55"/>
  <c r="W69"/>
  <c r="U36"/>
  <c r="V36" s="1"/>
  <c r="M39" i="101" s="1"/>
  <c r="AA35" i="1"/>
  <c r="U42"/>
  <c r="BB42" s="1"/>
  <c r="BD42" s="1"/>
  <c r="AA19"/>
  <c r="Z55"/>
  <c r="AC55" s="1"/>
  <c r="AS55" s="1"/>
  <c r="Z37"/>
  <c r="AC37" s="1"/>
  <c r="AS37" s="1"/>
  <c r="W36"/>
  <c r="W35"/>
  <c r="Z42"/>
  <c r="AC42" s="1"/>
  <c r="AS42" s="1"/>
  <c r="X36"/>
  <c r="Z36"/>
  <c r="AC36" s="1"/>
  <c r="AD36" s="1"/>
  <c r="AE36" s="1"/>
  <c r="BE36" s="1"/>
  <c r="BG36" s="1"/>
  <c r="U19"/>
  <c r="V19" s="1"/>
  <c r="M22" i="101" s="1"/>
  <c r="W31" i="1"/>
  <c r="X55"/>
  <c r="X35"/>
  <c r="X37"/>
  <c r="X69"/>
  <c r="X40"/>
  <c r="Z31"/>
  <c r="AC31" s="1"/>
  <c r="AS31" s="1"/>
  <c r="U37"/>
  <c r="BB37" s="1"/>
  <c r="BD37" s="1"/>
  <c r="Z35"/>
  <c r="AC35" s="1"/>
  <c r="AS35" s="1"/>
  <c r="U69"/>
  <c r="BB69" s="1"/>
  <c r="BD69" s="1"/>
  <c r="W40"/>
  <c r="AA37"/>
  <c r="Z27"/>
  <c r="AC27" s="1"/>
  <c r="AS27" s="1"/>
  <c r="U27"/>
  <c r="BB27" s="1"/>
  <c r="BD27" s="1"/>
  <c r="Z40"/>
  <c r="AC40" s="1"/>
  <c r="AD40" s="1"/>
  <c r="AE40" s="1"/>
  <c r="AA27"/>
  <c r="AA38"/>
  <c r="X38"/>
  <c r="W38"/>
  <c r="N41" i="101" s="1"/>
  <c r="U38" i="1"/>
  <c r="Z38"/>
  <c r="AC38" s="1"/>
  <c r="X25"/>
  <c r="U25"/>
  <c r="W25"/>
  <c r="N28" i="101" s="1"/>
  <c r="AA25" i="1"/>
  <c r="Z25"/>
  <c r="AC25" s="1"/>
  <c r="BB12"/>
  <c r="BD12" s="1"/>
  <c r="V12"/>
  <c r="M15" i="101" s="1"/>
  <c r="U46" i="1"/>
  <c r="Z46"/>
  <c r="AC46" s="1"/>
  <c r="X46"/>
  <c r="AA46"/>
  <c r="W46"/>
  <c r="N49" i="101" s="1"/>
  <c r="U20" i="1"/>
  <c r="Z20"/>
  <c r="AC20" s="1"/>
  <c r="W20"/>
  <c r="N23" i="101" s="1"/>
  <c r="X20" i="1"/>
  <c r="AA20"/>
  <c r="F46" i="84"/>
  <c r="F46" i="83"/>
  <c r="AA54" i="1"/>
  <c r="X54"/>
  <c r="U54"/>
  <c r="W54"/>
  <c r="N57" i="101" s="1"/>
  <c r="Z54" i="1"/>
  <c r="AC54" s="1"/>
  <c r="U48"/>
  <c r="W48"/>
  <c r="N51" i="101" s="1"/>
  <c r="X48" i="1"/>
  <c r="AA48"/>
  <c r="Z48"/>
  <c r="AC48" s="1"/>
  <c r="F65" i="84"/>
  <c r="F65" i="83"/>
  <c r="W68" i="1"/>
  <c r="N71" i="101" s="1"/>
  <c r="U68" i="1"/>
  <c r="AA68"/>
  <c r="X68"/>
  <c r="Z68"/>
  <c r="AC68" s="1"/>
  <c r="X29"/>
  <c r="W29"/>
  <c r="N32" i="101" s="1"/>
  <c r="U29" i="1"/>
  <c r="Z29"/>
  <c r="AC29" s="1"/>
  <c r="AA29"/>
  <c r="X57"/>
  <c r="W57"/>
  <c r="N60" i="101" s="1"/>
  <c r="AA57" i="1"/>
  <c r="Z57"/>
  <c r="AC57" s="1"/>
  <c r="U57"/>
  <c r="AS12"/>
  <c r="AD12"/>
  <c r="AE12" s="1"/>
  <c r="V34"/>
  <c r="M37" i="101" s="1"/>
  <c r="BB34" i="1"/>
  <c r="BD34" s="1"/>
  <c r="F25" i="84"/>
  <c r="F25" i="83"/>
  <c r="AS67" i="1"/>
  <c r="AD67"/>
  <c r="AE67" s="1"/>
  <c r="U30"/>
  <c r="Z30"/>
  <c r="AC30" s="1"/>
  <c r="W30"/>
  <c r="N33" i="101" s="1"/>
  <c r="AA30" i="1"/>
  <c r="X30"/>
  <c r="F36" i="83"/>
  <c r="F36" i="84"/>
  <c r="U32" i="1"/>
  <c r="X32"/>
  <c r="W32"/>
  <c r="N35" i="101" s="1"/>
  <c r="Z32" i="1"/>
  <c r="AC32" s="1"/>
  <c r="AA32"/>
  <c r="AA45"/>
  <c r="U45"/>
  <c r="X45"/>
  <c r="Z45"/>
  <c r="AC45" s="1"/>
  <c r="W45"/>
  <c r="N48" i="101" s="1"/>
  <c r="BB75" i="1"/>
  <c r="BD75" s="1"/>
  <c r="V75"/>
  <c r="M78" i="101" s="1"/>
  <c r="F70" i="84"/>
  <c r="F70" i="83"/>
  <c r="AA11" i="1"/>
  <c r="X11"/>
  <c r="Z11"/>
  <c r="AC11" s="1"/>
  <c r="W11"/>
  <c r="N14" i="101" s="1"/>
  <c r="U11" i="1"/>
  <c r="F26" i="84"/>
  <c r="F26" i="83"/>
  <c r="F58" i="84"/>
  <c r="F49" i="83"/>
  <c r="F21" i="84"/>
  <c r="F21" i="83"/>
  <c r="AS60" i="1"/>
  <c r="AD60"/>
  <c r="AE60" s="1"/>
  <c r="U44"/>
  <c r="Z44"/>
  <c r="AC44" s="1"/>
  <c r="W44"/>
  <c r="N47" i="101" s="1"/>
  <c r="X44" i="1"/>
  <c r="AA44"/>
  <c r="F60" i="84"/>
  <c r="F60" i="83"/>
  <c r="F17" i="84"/>
  <c r="F17" i="83"/>
  <c r="F33"/>
  <c r="U70" i="1"/>
  <c r="W70"/>
  <c r="N73" i="101" s="1"/>
  <c r="Z70" i="1"/>
  <c r="AC70" s="1"/>
  <c r="AA70"/>
  <c r="X70"/>
  <c r="AS69"/>
  <c r="BB59"/>
  <c r="BD59" s="1"/>
  <c r="V59"/>
  <c r="M62" i="101" s="1"/>
  <c r="U73" i="1"/>
  <c r="W73"/>
  <c r="N76" i="101" s="1"/>
  <c r="X73" i="1"/>
  <c r="Z73"/>
  <c r="AC73" s="1"/>
  <c r="AA73"/>
  <c r="W33"/>
  <c r="N36" i="101" s="1"/>
  <c r="X33" i="1"/>
  <c r="U33"/>
  <c r="AA33"/>
  <c r="Z33"/>
  <c r="AC33" s="1"/>
  <c r="F18" i="84"/>
  <c r="F18" i="83"/>
  <c r="AA21" i="1"/>
  <c r="W21"/>
  <c r="N24" i="101" s="1"/>
  <c r="X21" i="1"/>
  <c r="U21"/>
  <c r="Z21"/>
  <c r="AC21" s="1"/>
  <c r="X58"/>
  <c r="U58"/>
  <c r="W58"/>
  <c r="N61" i="101" s="1"/>
  <c r="AA58" i="1"/>
  <c r="Z58"/>
  <c r="AC58" s="1"/>
  <c r="AA15"/>
  <c r="W15"/>
  <c r="N18" i="101" s="1"/>
  <c r="X15" i="1"/>
  <c r="U15"/>
  <c r="Z15"/>
  <c r="AC15" s="1"/>
  <c r="F11" i="84"/>
  <c r="F11" i="83"/>
  <c r="S8" i="1"/>
  <c r="J78" i="25"/>
  <c r="F54" i="84"/>
  <c r="F54" i="83"/>
  <c r="F13"/>
  <c r="F13" i="84"/>
  <c r="BB35" i="1"/>
  <c r="BD35" s="1"/>
  <c r="V35"/>
  <c r="M38" i="101" s="1"/>
  <c r="X13" i="1"/>
  <c r="AA13"/>
  <c r="Z13"/>
  <c r="AC13" s="1"/>
  <c r="U13"/>
  <c r="W13"/>
  <c r="N16" i="101" s="1"/>
  <c r="X74" i="1"/>
  <c r="W74"/>
  <c r="N77" i="101" s="1"/>
  <c r="U74" i="1"/>
  <c r="Z74"/>
  <c r="AC74" s="1"/>
  <c r="AA74"/>
  <c r="BB22"/>
  <c r="BD22" s="1"/>
  <c r="V22"/>
  <c r="M25" i="101" s="1"/>
  <c r="F8" i="83"/>
  <c r="F8" i="84"/>
  <c r="V60" i="1"/>
  <c r="M63" i="101" s="1"/>
  <c r="BB60" i="1"/>
  <c r="BD60" s="1"/>
  <c r="U56"/>
  <c r="W56"/>
  <c r="N59" i="101" s="1"/>
  <c r="X56" i="1"/>
  <c r="AA56"/>
  <c r="Z56"/>
  <c r="AC56" s="1"/>
  <c r="U72"/>
  <c r="X72"/>
  <c r="W72"/>
  <c r="N75" i="101" s="1"/>
  <c r="AA72" i="1"/>
  <c r="Z72"/>
  <c r="AC72" s="1"/>
  <c r="AD22"/>
  <c r="AE22" s="1"/>
  <c r="AS22"/>
  <c r="U62"/>
  <c r="W62"/>
  <c r="N65" i="101" s="1"/>
  <c r="AA62" i="1"/>
  <c r="X62"/>
  <c r="Z62"/>
  <c r="AC62" s="1"/>
  <c r="U76"/>
  <c r="Z76"/>
  <c r="AC76" s="1"/>
  <c r="W76"/>
  <c r="N79" i="101" s="1"/>
  <c r="X76" i="1"/>
  <c r="AA76"/>
  <c r="BB52"/>
  <c r="BD52" s="1"/>
  <c r="V52"/>
  <c r="M55" i="101" s="1"/>
  <c r="W65" i="1"/>
  <c r="N68" i="101" s="1"/>
  <c r="X65" i="1"/>
  <c r="U65"/>
  <c r="Z65"/>
  <c r="AC65" s="1"/>
  <c r="AA65"/>
  <c r="U28"/>
  <c r="AA28"/>
  <c r="W28"/>
  <c r="N31" i="101" s="1"/>
  <c r="X28" i="1"/>
  <c r="Z28"/>
  <c r="AC28" s="1"/>
  <c r="U17"/>
  <c r="W17"/>
  <c r="N20" i="101" s="1"/>
  <c r="X17" i="1"/>
  <c r="AA17"/>
  <c r="Z17"/>
  <c r="AC17" s="1"/>
  <c r="F66" i="84"/>
  <c r="F66" i="83"/>
  <c r="BB67" i="1"/>
  <c r="BD67" s="1"/>
  <c r="V67"/>
  <c r="M70" i="101" s="1"/>
  <c r="W64" i="1"/>
  <c r="N67" i="101" s="1"/>
  <c r="U64" i="1"/>
  <c r="Z64"/>
  <c r="AC64" s="1"/>
  <c r="X64"/>
  <c r="AA64"/>
  <c r="U24"/>
  <c r="X24"/>
  <c r="Z24"/>
  <c r="AC24" s="1"/>
  <c r="AS24" s="1"/>
  <c r="W24"/>
  <c r="N27" i="101" s="1"/>
  <c r="AA24" i="1"/>
  <c r="F62" i="83"/>
  <c r="F62" i="84"/>
  <c r="Z23" i="1"/>
  <c r="AC23" s="1"/>
  <c r="AA23"/>
  <c r="X23"/>
  <c r="U23"/>
  <c r="W23"/>
  <c r="N26" i="101" s="1"/>
  <c r="U49" i="1"/>
  <c r="W49"/>
  <c r="N52" i="101" s="1"/>
  <c r="Z49" i="1"/>
  <c r="AC49" s="1"/>
  <c r="AA49"/>
  <c r="X49"/>
  <c r="AS59"/>
  <c r="AD59"/>
  <c r="AE59" s="1"/>
  <c r="R81"/>
  <c r="F40" i="84"/>
  <c r="F40" i="83"/>
  <c r="F59" i="84"/>
  <c r="F59" i="83"/>
  <c r="V53" i="1"/>
  <c r="M56" i="101" s="1"/>
  <c r="BB53" i="1"/>
  <c r="BD53" s="1"/>
  <c r="L9" i="67"/>
  <c r="O9" s="1"/>
  <c r="P9" s="1"/>
  <c r="AT10" i="1"/>
  <c r="F13" i="101" s="1"/>
  <c r="G13" s="1"/>
  <c r="AC8" i="100" s="1"/>
  <c r="E9" i="83"/>
  <c r="G10" i="81"/>
  <c r="H10"/>
  <c r="AB16" i="1"/>
  <c r="AB77" s="1"/>
  <c r="T16"/>
  <c r="U16" s="1"/>
  <c r="R77"/>
  <c r="BP16"/>
  <c r="BP77" s="1"/>
  <c r="BN77"/>
  <c r="H43" i="81"/>
  <c r="G43"/>
  <c r="E39"/>
  <c r="AN8" i="1"/>
  <c r="AN77"/>
  <c r="F51" i="83" l="1"/>
  <c r="F33" i="84"/>
  <c r="F58" i="83"/>
  <c r="F51" i="84"/>
  <c r="AS14" i="1"/>
  <c r="L13" i="67" s="1"/>
  <c r="O13" s="1"/>
  <c r="P13" s="1"/>
  <c r="AD9" i="1"/>
  <c r="AE9" s="1"/>
  <c r="AF9" s="1"/>
  <c r="AG40"/>
  <c r="AH40" s="1"/>
  <c r="E9" i="84"/>
  <c r="BB10" i="1"/>
  <c r="BD10" s="1"/>
  <c r="V43"/>
  <c r="M46" i="101" s="1"/>
  <c r="V71" i="1"/>
  <c r="M74" i="101" s="1"/>
  <c r="AD71" i="1"/>
  <c r="AE71" s="1"/>
  <c r="AF71" s="1"/>
  <c r="F34" i="83"/>
  <c r="N38" i="101"/>
  <c r="F49" i="84"/>
  <c r="N53" i="101"/>
  <c r="F41" i="84"/>
  <c r="N45" i="101"/>
  <c r="F9" i="84"/>
  <c r="N13" i="101"/>
  <c r="F38" i="83"/>
  <c r="N42" i="101"/>
  <c r="F39" i="83"/>
  <c r="N43" i="101"/>
  <c r="F30" i="84"/>
  <c r="N34" i="101"/>
  <c r="F35" i="84"/>
  <c r="N39" i="101"/>
  <c r="F68" i="83"/>
  <c r="N72" i="101"/>
  <c r="F52" i="83"/>
  <c r="N56" i="101"/>
  <c r="F50" i="83"/>
  <c r="N54" i="101"/>
  <c r="F74" i="84"/>
  <c r="N78" i="101"/>
  <c r="AD39" i="1"/>
  <c r="AE39" s="1"/>
  <c r="AG39" s="1"/>
  <c r="AO39" s="1"/>
  <c r="AD34"/>
  <c r="AE34" s="1"/>
  <c r="BE34" s="1"/>
  <c r="BG34" s="1"/>
  <c r="L42" i="67"/>
  <c r="O42" s="1"/>
  <c r="P42" s="1"/>
  <c r="R42" s="1"/>
  <c r="BB66" i="1"/>
  <c r="BD66" s="1"/>
  <c r="AD52"/>
  <c r="AE52" s="1"/>
  <c r="BE52" s="1"/>
  <c r="BG52" s="1"/>
  <c r="BB40"/>
  <c r="BD40" s="1"/>
  <c r="BB14"/>
  <c r="BD14" s="1"/>
  <c r="AD55"/>
  <c r="AE55" s="1"/>
  <c r="BE55" s="1"/>
  <c r="BG55" s="1"/>
  <c r="V9"/>
  <c r="M12" i="101" s="1"/>
  <c r="AD27" i="1"/>
  <c r="AE27" s="1"/>
  <c r="BE27" s="1"/>
  <c r="BG27" s="1"/>
  <c r="AS19"/>
  <c r="AT19" s="1"/>
  <c r="F22" i="101" s="1"/>
  <c r="G22" s="1"/>
  <c r="AC17" i="100" s="1"/>
  <c r="AD41" i="1"/>
  <c r="AE41" s="1"/>
  <c r="AF41" s="1"/>
  <c r="AD51"/>
  <c r="AE51" s="1"/>
  <c r="BE51" s="1"/>
  <c r="BG51" s="1"/>
  <c r="R9" i="67"/>
  <c r="AB8" i="100"/>
  <c r="AD61" i="1"/>
  <c r="AE61" s="1"/>
  <c r="BE61" s="1"/>
  <c r="BG61" s="1"/>
  <c r="AS63"/>
  <c r="AT63" s="1"/>
  <c r="F66" i="101" s="1"/>
  <c r="G66" s="1"/>
  <c r="AC61" i="100" s="1"/>
  <c r="V50" i="1"/>
  <c r="V18"/>
  <c r="M21" i="101" s="1"/>
  <c r="AD53" i="1"/>
  <c r="AE53" s="1"/>
  <c r="AF53" s="1"/>
  <c r="AD18"/>
  <c r="AE18" s="1"/>
  <c r="BE18" s="1"/>
  <c r="BG18" s="1"/>
  <c r="F38" i="84"/>
  <c r="V61" i="1"/>
  <c r="E60" i="84" s="1"/>
  <c r="V39" i="1"/>
  <c r="E38" i="84" s="1"/>
  <c r="BB47" i="1"/>
  <c r="BD47" s="1"/>
  <c r="AS66"/>
  <c r="AT66" s="1"/>
  <c r="F69" i="101" s="1"/>
  <c r="G69" s="1"/>
  <c r="AC64" i="100" s="1"/>
  <c r="AD47" i="1"/>
  <c r="AE47" s="1"/>
  <c r="BE47" s="1"/>
  <c r="BG47" s="1"/>
  <c r="AG41"/>
  <c r="AK41" s="1"/>
  <c r="AL41" s="1"/>
  <c r="V42"/>
  <c r="F68" i="84"/>
  <c r="BB51" i="1"/>
  <c r="BD51" s="1"/>
  <c r="F74" i="83"/>
  <c r="F50" i="84"/>
  <c r="AD75" i="1"/>
  <c r="AE75" s="1"/>
  <c r="AF75" s="1"/>
  <c r="BB26"/>
  <c r="BD26" s="1"/>
  <c r="V37"/>
  <c r="BB19"/>
  <c r="BD19" s="1"/>
  <c r="AD35"/>
  <c r="AE35" s="1"/>
  <c r="BE35" s="1"/>
  <c r="BG35" s="1"/>
  <c r="BB31"/>
  <c r="BD31" s="1"/>
  <c r="BB36"/>
  <c r="BD36" s="1"/>
  <c r="AS36"/>
  <c r="AT36" s="1"/>
  <c r="F39" i="101" s="1"/>
  <c r="G39" s="1"/>
  <c r="AC34" i="100" s="1"/>
  <c r="F42" i="83"/>
  <c r="AD10" i="1"/>
  <c r="AE10" s="1"/>
  <c r="F9" i="83"/>
  <c r="AD43" i="1"/>
  <c r="AE43" s="1"/>
  <c r="BE43" s="1"/>
  <c r="BG43" s="1"/>
  <c r="F42" i="84"/>
  <c r="AS26" i="1"/>
  <c r="L25" i="67" s="1"/>
  <c r="O25" s="1"/>
  <c r="P25" s="1"/>
  <c r="BB41" i="1"/>
  <c r="BD41" s="1"/>
  <c r="BB55"/>
  <c r="BD55" s="1"/>
  <c r="F35" i="83"/>
  <c r="F41"/>
  <c r="AD69" i="1"/>
  <c r="AE69" s="1"/>
  <c r="AG69" s="1"/>
  <c r="F39" i="84"/>
  <c r="AS40" i="1"/>
  <c r="AT40" s="1"/>
  <c r="F43" i="101" s="1"/>
  <c r="G43" s="1"/>
  <c r="AC38" i="100" s="1"/>
  <c r="BB63" i="1"/>
  <c r="BD63" s="1"/>
  <c r="AD50"/>
  <c r="AE50" s="1"/>
  <c r="BE50" s="1"/>
  <c r="BG50" s="1"/>
  <c r="E42" i="83"/>
  <c r="V69" i="1"/>
  <c r="AD37"/>
  <c r="AE37" s="1"/>
  <c r="AG37" s="1"/>
  <c r="F30" i="83"/>
  <c r="AD42" i="1"/>
  <c r="AE42" s="1"/>
  <c r="BE42" s="1"/>
  <c r="BG42" s="1"/>
  <c r="E42" i="84"/>
  <c r="AD31" i="1"/>
  <c r="AE31" s="1"/>
  <c r="BE31" s="1"/>
  <c r="BG31" s="1"/>
  <c r="F34" i="84"/>
  <c r="V27" i="1"/>
  <c r="AD24"/>
  <c r="AE24" s="1"/>
  <c r="AF24" s="1"/>
  <c r="AF36"/>
  <c r="AG18"/>
  <c r="AK18" s="1"/>
  <c r="AL18" s="1"/>
  <c r="AG27"/>
  <c r="AO27" s="1"/>
  <c r="AF26"/>
  <c r="BE26"/>
  <c r="BG26" s="1"/>
  <c r="AG26"/>
  <c r="T8"/>
  <c r="T77" s="1"/>
  <c r="E27" i="81" s="1"/>
  <c r="H27" s="1"/>
  <c r="S77" i="1"/>
  <c r="E74" i="83"/>
  <c r="E74" i="84"/>
  <c r="L54" i="67"/>
  <c r="O54" s="1"/>
  <c r="P54" s="1"/>
  <c r="AT55" i="1"/>
  <c r="F58" i="101" s="1"/>
  <c r="G58" s="1"/>
  <c r="AC53" i="100" s="1"/>
  <c r="BB76" i="1"/>
  <c r="BD76" s="1"/>
  <c r="V76"/>
  <c r="M79" i="101" s="1"/>
  <c r="F61" i="83"/>
  <c r="F61" i="84"/>
  <c r="AT27" i="1"/>
  <c r="F30" i="101" s="1"/>
  <c r="G30" s="1"/>
  <c r="AC25" i="100" s="1"/>
  <c r="L26" i="67"/>
  <c r="O26" s="1"/>
  <c r="P26" s="1"/>
  <c r="BE9" i="1"/>
  <c r="BG9" s="1"/>
  <c r="AG9"/>
  <c r="AD20"/>
  <c r="AE20" s="1"/>
  <c r="AS20"/>
  <c r="F37" i="84"/>
  <c r="F37" i="83"/>
  <c r="AD21" i="1"/>
  <c r="AE21" s="1"/>
  <c r="BE21" s="1"/>
  <c r="BG21" s="1"/>
  <c r="AS21"/>
  <c r="BB30"/>
  <c r="BD30" s="1"/>
  <c r="V30"/>
  <c r="M33" i="101" s="1"/>
  <c r="BB49" i="1"/>
  <c r="BD49" s="1"/>
  <c r="V49"/>
  <c r="M52" i="101" s="1"/>
  <c r="AG75" i="1"/>
  <c r="BB24"/>
  <c r="BD24" s="1"/>
  <c r="V24"/>
  <c r="M27" i="101" s="1"/>
  <c r="V64" i="1"/>
  <c r="M67" i="101" s="1"/>
  <c r="BB64" i="1"/>
  <c r="BD64" s="1"/>
  <c r="E66" i="83"/>
  <c r="E66" i="84"/>
  <c r="AS28" i="1"/>
  <c r="AD28"/>
  <c r="AE28" s="1"/>
  <c r="BE28" s="1"/>
  <c r="BG28" s="1"/>
  <c r="V28"/>
  <c r="M31" i="101" s="1"/>
  <c r="BB28" i="1"/>
  <c r="BD28" s="1"/>
  <c r="L41" i="67"/>
  <c r="O41" s="1"/>
  <c r="P41" s="1"/>
  <c r="AT42" i="1"/>
  <c r="F45" i="101" s="1"/>
  <c r="G45" s="1"/>
  <c r="AC40" i="100" s="1"/>
  <c r="BE40" i="1"/>
  <c r="BG40" s="1"/>
  <c r="AF40"/>
  <c r="E59" i="84"/>
  <c r="E59" i="83"/>
  <c r="E35" i="84"/>
  <c r="E35" i="83"/>
  <c r="F43" i="84"/>
  <c r="F43" i="83"/>
  <c r="AT53" i="1"/>
  <c r="F56" i="101" s="1"/>
  <c r="G56" s="1"/>
  <c r="AC51" i="100" s="1"/>
  <c r="L52" i="67"/>
  <c r="O52" s="1"/>
  <c r="P52" s="1"/>
  <c r="E46" i="84"/>
  <c r="E46" i="83"/>
  <c r="L17" i="67"/>
  <c r="O17" s="1"/>
  <c r="P17" s="1"/>
  <c r="AT18" i="1"/>
  <c r="F21" i="101" s="1"/>
  <c r="G21" s="1"/>
  <c r="AC16" i="100" s="1"/>
  <c r="AG52" i="1"/>
  <c r="F47" i="84"/>
  <c r="F47" i="83"/>
  <c r="V54" i="1"/>
  <c r="M57" i="101" s="1"/>
  <c r="BB54" i="1"/>
  <c r="BD54" s="1"/>
  <c r="AD32"/>
  <c r="AE32" s="1"/>
  <c r="BE32" s="1"/>
  <c r="BG32" s="1"/>
  <c r="AS32"/>
  <c r="L21" i="67"/>
  <c r="O21" s="1"/>
  <c r="P21" s="1"/>
  <c r="AT22" i="1"/>
  <c r="F25" i="101" s="1"/>
  <c r="G25" s="1"/>
  <c r="AC20" i="100" s="1"/>
  <c r="AG63" i="1"/>
  <c r="BE63"/>
  <c r="BG63" s="1"/>
  <c r="AF63"/>
  <c r="AT14"/>
  <c r="F17" i="101" s="1"/>
  <c r="G17" s="1"/>
  <c r="AC12" i="100" s="1"/>
  <c r="F71" i="83"/>
  <c r="F71" i="84"/>
  <c r="F55"/>
  <c r="F55" i="83"/>
  <c r="E65" i="84"/>
  <c r="E65" i="83"/>
  <c r="BB33" i="1"/>
  <c r="BD33" s="1"/>
  <c r="V33"/>
  <c r="M36" i="101" s="1"/>
  <c r="AD73" i="1"/>
  <c r="AE73" s="1"/>
  <c r="BE73" s="1"/>
  <c r="BG73" s="1"/>
  <c r="AS73"/>
  <c r="E58" i="84"/>
  <c r="E58" i="83"/>
  <c r="AD70" i="1"/>
  <c r="AE70" s="1"/>
  <c r="AS70"/>
  <c r="V57"/>
  <c r="M60" i="101" s="1"/>
  <c r="BB57" i="1"/>
  <c r="BD57" s="1"/>
  <c r="F28" i="83"/>
  <c r="F28" i="84"/>
  <c r="E52"/>
  <c r="E52" i="83"/>
  <c r="AT47" i="1"/>
  <c r="F50" i="101" s="1"/>
  <c r="G50" s="1"/>
  <c r="AC45" i="100" s="1"/>
  <c r="L46" i="67"/>
  <c r="O46" s="1"/>
  <c r="P46" s="1"/>
  <c r="F22" i="84"/>
  <c r="F22" i="83"/>
  <c r="AS23" i="1"/>
  <c r="AD23"/>
  <c r="AE23" s="1"/>
  <c r="BE23" s="1"/>
  <c r="BG23" s="1"/>
  <c r="L74" i="67"/>
  <c r="O74" s="1"/>
  <c r="P74" s="1"/>
  <c r="AT75" i="1"/>
  <c r="F78" i="101" s="1"/>
  <c r="G78" s="1"/>
  <c r="AC73" i="100" s="1"/>
  <c r="F23" i="83"/>
  <c r="F23" i="84"/>
  <c r="F63" i="83"/>
  <c r="F63" i="84"/>
  <c r="F64"/>
  <c r="F64" i="83"/>
  <c r="AF66" i="1"/>
  <c r="BE66"/>
  <c r="BG66" s="1"/>
  <c r="AS62"/>
  <c r="AD62"/>
  <c r="AE62" s="1"/>
  <c r="AF62" s="1"/>
  <c r="BB62"/>
  <c r="BD62" s="1"/>
  <c r="V62"/>
  <c r="M65" i="101" s="1"/>
  <c r="BE22" i="1"/>
  <c r="BG22" s="1"/>
  <c r="AG22"/>
  <c r="AG14"/>
  <c r="BE14"/>
  <c r="BG14" s="1"/>
  <c r="AD56"/>
  <c r="AE56" s="1"/>
  <c r="AG56" s="1"/>
  <c r="AS56"/>
  <c r="BB56"/>
  <c r="BD56" s="1"/>
  <c r="V56"/>
  <c r="M59" i="101" s="1"/>
  <c r="E70" i="83"/>
  <c r="AS74" i="1"/>
  <c r="AD74"/>
  <c r="AE74" s="1"/>
  <c r="AG74" s="1"/>
  <c r="F12" i="84"/>
  <c r="F12" i="83"/>
  <c r="AT34" i="1"/>
  <c r="F37" i="101" s="1"/>
  <c r="G37" s="1"/>
  <c r="AC32" i="100" s="1"/>
  <c r="L33" i="67"/>
  <c r="O33" s="1"/>
  <c r="P33" s="1"/>
  <c r="F14" i="84"/>
  <c r="F14" i="83"/>
  <c r="F57" i="84"/>
  <c r="F57" i="83"/>
  <c r="V21" i="1"/>
  <c r="M24" i="101" s="1"/>
  <c r="BB21" i="1"/>
  <c r="BD21" s="1"/>
  <c r="E62" i="84"/>
  <c r="E62" i="83"/>
  <c r="F69" i="84"/>
  <c r="F69" i="83"/>
  <c r="AS44" i="1"/>
  <c r="AD44"/>
  <c r="AE44" s="1"/>
  <c r="BE44" s="1"/>
  <c r="BG44" s="1"/>
  <c r="BE60"/>
  <c r="BG60" s="1"/>
  <c r="AF60"/>
  <c r="AG60"/>
  <c r="V11"/>
  <c r="M14" i="101" s="1"/>
  <c r="BB11" i="1"/>
  <c r="BD11" s="1"/>
  <c r="V45"/>
  <c r="M48" i="101" s="1"/>
  <c r="BB45" i="1"/>
  <c r="BD45" s="1"/>
  <c r="F31" i="84"/>
  <c r="F31" i="83"/>
  <c r="BE67" i="1"/>
  <c r="BG67" s="1"/>
  <c r="AG67"/>
  <c r="AF67"/>
  <c r="E33" i="84"/>
  <c r="E33" i="83"/>
  <c r="AS57" i="1"/>
  <c r="AD57"/>
  <c r="AE57" s="1"/>
  <c r="V68"/>
  <c r="M71" i="101" s="1"/>
  <c r="BB68" i="1"/>
  <c r="BD68" s="1"/>
  <c r="AS48"/>
  <c r="AD48"/>
  <c r="AE48" s="1"/>
  <c r="AG48" s="1"/>
  <c r="V48"/>
  <c r="M51" i="101" s="1"/>
  <c r="BB48" i="1"/>
  <c r="BD48" s="1"/>
  <c r="E39" i="84"/>
  <c r="E39" i="83"/>
  <c r="BB20" i="1"/>
  <c r="BD20" s="1"/>
  <c r="V20"/>
  <c r="M23" i="101" s="1"/>
  <c r="AD46" i="1"/>
  <c r="AE46" s="1"/>
  <c r="AG46" s="1"/>
  <c r="AS46"/>
  <c r="E11" i="83"/>
  <c r="E11" i="84"/>
  <c r="F24"/>
  <c r="F24" i="83"/>
  <c r="AF59" i="1"/>
  <c r="AG59"/>
  <c r="BE59"/>
  <c r="BG59" s="1"/>
  <c r="AD49"/>
  <c r="AE49" s="1"/>
  <c r="BE49" s="1"/>
  <c r="BG49" s="1"/>
  <c r="AS49"/>
  <c r="V23"/>
  <c r="M26" i="101" s="1"/>
  <c r="BB23" i="1"/>
  <c r="BD23" s="1"/>
  <c r="F16" i="84"/>
  <c r="F16" i="83"/>
  <c r="F27" i="84"/>
  <c r="F27" i="83"/>
  <c r="AS65" i="1"/>
  <c r="AD65"/>
  <c r="AE65" s="1"/>
  <c r="BE65" s="1"/>
  <c r="BG65" s="1"/>
  <c r="L60" i="67"/>
  <c r="O60" s="1"/>
  <c r="P60" s="1"/>
  <c r="AT61" i="1"/>
  <c r="F64" i="101" s="1"/>
  <c r="G64" s="1"/>
  <c r="AC59" i="100" s="1"/>
  <c r="E51" i="83"/>
  <c r="E51" i="84"/>
  <c r="F75" i="83"/>
  <c r="F75" i="84"/>
  <c r="AS72" i="1"/>
  <c r="AD72"/>
  <c r="AE72" s="1"/>
  <c r="BB72"/>
  <c r="BD72" s="1"/>
  <c r="V72"/>
  <c r="M75" i="101" s="1"/>
  <c r="E49" i="83"/>
  <c r="BB74" i="1"/>
  <c r="BD74" s="1"/>
  <c r="V74"/>
  <c r="M77" i="101" s="1"/>
  <c r="BB13" i="1"/>
  <c r="BD13" s="1"/>
  <c r="V13"/>
  <c r="M16" i="101" s="1"/>
  <c r="L34" i="67"/>
  <c r="O34" s="1"/>
  <c r="P34" s="1"/>
  <c r="AT35" i="1"/>
  <c r="F38" i="101" s="1"/>
  <c r="G38" s="1"/>
  <c r="AC33" i="100" s="1"/>
  <c r="E25" i="83"/>
  <c r="E25" i="84"/>
  <c r="L50" i="67"/>
  <c r="O50" s="1"/>
  <c r="P50" s="1"/>
  <c r="AT51" i="1"/>
  <c r="F54" i="101" s="1"/>
  <c r="G54" s="1"/>
  <c r="AC49" i="100" s="1"/>
  <c r="AD15" i="1"/>
  <c r="AE15" s="1"/>
  <c r="BE15" s="1"/>
  <c r="BG15" s="1"/>
  <c r="AS15"/>
  <c r="V58"/>
  <c r="M61" i="101" s="1"/>
  <c r="BB58" i="1"/>
  <c r="BD58" s="1"/>
  <c r="AT39"/>
  <c r="F42" i="101" s="1"/>
  <c r="G42" s="1"/>
  <c r="AC37" i="100" s="1"/>
  <c r="L38" i="67"/>
  <c r="O38" s="1"/>
  <c r="P38" s="1"/>
  <c r="AS33" i="1"/>
  <c r="AD33"/>
  <c r="AE33" s="1"/>
  <c r="F32" i="84"/>
  <c r="F32" i="83"/>
  <c r="F72" i="84"/>
  <c r="F72" i="83"/>
  <c r="BB70" i="1"/>
  <c r="BD70" s="1"/>
  <c r="V70"/>
  <c r="M73" i="101" s="1"/>
  <c r="V44" i="1"/>
  <c r="M47" i="101" s="1"/>
  <c r="BB44" i="1"/>
  <c r="BD44" s="1"/>
  <c r="AT60"/>
  <c r="F63" i="101" s="1"/>
  <c r="G63" s="1"/>
  <c r="AC58" i="100" s="1"/>
  <c r="L59" i="67"/>
  <c r="O59" s="1"/>
  <c r="P59" s="1"/>
  <c r="AT41" i="1"/>
  <c r="F44" i="101" s="1"/>
  <c r="G44" s="1"/>
  <c r="AC39" i="100" s="1"/>
  <c r="L40" i="67"/>
  <c r="O40" s="1"/>
  <c r="P40" s="1"/>
  <c r="F10" i="84"/>
  <c r="F10" i="83"/>
  <c r="F44" i="84"/>
  <c r="F44" i="83"/>
  <c r="F29" i="84"/>
  <c r="F29" i="83"/>
  <c r="AT67" i="1"/>
  <c r="F70" i="101" s="1"/>
  <c r="G70" s="1"/>
  <c r="AC65" i="100" s="1"/>
  <c r="L66" i="67"/>
  <c r="O66" s="1"/>
  <c r="P66" s="1"/>
  <c r="E54" i="83"/>
  <c r="E54" i="84"/>
  <c r="L30" i="67"/>
  <c r="O30" s="1"/>
  <c r="P30" s="1"/>
  <c r="AT31" i="1"/>
  <c r="F34" i="101" s="1"/>
  <c r="G34" s="1"/>
  <c r="AC29" i="100" s="1"/>
  <c r="BE12" i="1"/>
  <c r="BG12" s="1"/>
  <c r="AF12"/>
  <c r="AD29"/>
  <c r="AE29" s="1"/>
  <c r="BE29" s="1"/>
  <c r="BG29" s="1"/>
  <c r="AS29"/>
  <c r="AD68"/>
  <c r="AE68" s="1"/>
  <c r="AS68"/>
  <c r="F67" i="84"/>
  <c r="F67" i="83"/>
  <c r="AS54" i="1"/>
  <c r="AD54"/>
  <c r="AE54" s="1"/>
  <c r="BE54" s="1"/>
  <c r="BG54" s="1"/>
  <c r="F45" i="84"/>
  <c r="F45" i="83"/>
  <c r="V46" i="1"/>
  <c r="M49" i="101" s="1"/>
  <c r="BB46" i="1"/>
  <c r="BD46" s="1"/>
  <c r="V25"/>
  <c r="M28" i="101" s="1"/>
  <c r="BB25" i="1"/>
  <c r="BD25" s="1"/>
  <c r="AS38"/>
  <c r="AD38"/>
  <c r="AE38" s="1"/>
  <c r="BE38" s="1"/>
  <c r="BG38" s="1"/>
  <c r="AT59"/>
  <c r="F62" i="101" s="1"/>
  <c r="G62" s="1"/>
  <c r="AC57" i="100" s="1"/>
  <c r="L58" i="67"/>
  <c r="O58" s="1"/>
  <c r="P58" s="1"/>
  <c r="F48" i="83"/>
  <c r="F48" i="84"/>
  <c r="L70" i="67"/>
  <c r="O70" s="1"/>
  <c r="P70" s="1"/>
  <c r="AT71" i="1"/>
  <c r="F74" i="101" s="1"/>
  <c r="G74" s="1"/>
  <c r="AC69" i="100" s="1"/>
  <c r="AD64" i="1"/>
  <c r="AE64" s="1"/>
  <c r="BE64" s="1"/>
  <c r="BG64" s="1"/>
  <c r="AS64"/>
  <c r="E50" i="83"/>
  <c r="E50" i="84"/>
  <c r="AS17" i="1"/>
  <c r="AD17"/>
  <c r="AE17" s="1"/>
  <c r="BB17"/>
  <c r="BD17" s="1"/>
  <c r="V17"/>
  <c r="M20" i="101" s="1"/>
  <c r="V65" i="1"/>
  <c r="M68" i="101" s="1"/>
  <c r="BB65" i="1"/>
  <c r="BD65" s="1"/>
  <c r="E18" i="84"/>
  <c r="E18" i="83"/>
  <c r="AS76" i="1"/>
  <c r="AD76"/>
  <c r="AE76" s="1"/>
  <c r="AG76" s="1"/>
  <c r="L36" i="67"/>
  <c r="O36" s="1"/>
  <c r="P36" s="1"/>
  <c r="AT37" i="1"/>
  <c r="F40" i="101" s="1"/>
  <c r="G40" s="1"/>
  <c r="AC35" i="100" s="1"/>
  <c r="E21" i="83"/>
  <c r="E21" i="84"/>
  <c r="F73" i="83"/>
  <c r="F73" i="84"/>
  <c r="AS13" i="1"/>
  <c r="AD13"/>
  <c r="AE13" s="1"/>
  <c r="BE13" s="1"/>
  <c r="BG13" s="1"/>
  <c r="E34" i="83"/>
  <c r="E34" i="84"/>
  <c r="BB15" i="1"/>
  <c r="BD15" s="1"/>
  <c r="V15"/>
  <c r="M18" i="101" s="1"/>
  <c r="AD58" i="1"/>
  <c r="AE58" s="1"/>
  <c r="BE58" s="1"/>
  <c r="BG58" s="1"/>
  <c r="AS58"/>
  <c r="F20" i="84"/>
  <c r="F20" i="83"/>
  <c r="BE39" i="1"/>
  <c r="BG39" s="1"/>
  <c r="AG66"/>
  <c r="BB73"/>
  <c r="BD73" s="1"/>
  <c r="V73"/>
  <c r="M76" i="101" s="1"/>
  <c r="AT69" i="1"/>
  <c r="F72" i="101" s="1"/>
  <c r="G72" s="1"/>
  <c r="AC67" i="100" s="1"/>
  <c r="L68" i="67"/>
  <c r="O68" s="1"/>
  <c r="P68" s="1"/>
  <c r="E30" i="84"/>
  <c r="E30" i="83"/>
  <c r="AG36" i="1"/>
  <c r="E40" i="84"/>
  <c r="E40" i="83"/>
  <c r="AT50" i="1"/>
  <c r="F53" i="101" s="1"/>
  <c r="G53" s="1"/>
  <c r="AC48" i="100" s="1"/>
  <c r="L49" i="67"/>
  <c r="O49" s="1"/>
  <c r="P49" s="1"/>
  <c r="AD11" i="1"/>
  <c r="AE11" s="1"/>
  <c r="AS11"/>
  <c r="AS45"/>
  <c r="AD45"/>
  <c r="AE45" s="1"/>
  <c r="BE45" s="1"/>
  <c r="BG45" s="1"/>
  <c r="BB32"/>
  <c r="BD32" s="1"/>
  <c r="V32"/>
  <c r="M35" i="101" s="1"/>
  <c r="AD30" i="1"/>
  <c r="AE30" s="1"/>
  <c r="AS30"/>
  <c r="AG34"/>
  <c r="AT12"/>
  <c r="F15" i="101" s="1"/>
  <c r="G15" s="1"/>
  <c r="AC10" i="100" s="1"/>
  <c r="L11" i="67"/>
  <c r="O11" s="1"/>
  <c r="P11" s="1"/>
  <c r="F56" i="84"/>
  <c r="F56" i="83"/>
  <c r="V29" i="1"/>
  <c r="M32" i="101" s="1"/>
  <c r="BB29" i="1"/>
  <c r="BD29" s="1"/>
  <c r="BE19"/>
  <c r="BG19" s="1"/>
  <c r="AG19"/>
  <c r="AF19"/>
  <c r="L51" i="67"/>
  <c r="O51" s="1"/>
  <c r="P51" s="1"/>
  <c r="AT52" i="1"/>
  <c r="F55" i="101" s="1"/>
  <c r="G55" s="1"/>
  <c r="AC50" i="100" s="1"/>
  <c r="F53" i="84"/>
  <c r="F53" i="83"/>
  <c r="AG12" i="1"/>
  <c r="L8" i="67"/>
  <c r="O8" s="1"/>
  <c r="P8" s="1"/>
  <c r="AB7" i="100" s="1"/>
  <c r="AT9" i="1"/>
  <c r="F12" i="101" s="1"/>
  <c r="G12" s="1"/>
  <c r="AC7" i="100" s="1"/>
  <c r="F19" i="83"/>
  <c r="F19" i="84"/>
  <c r="E13" i="83"/>
  <c r="E13" i="84"/>
  <c r="AD25" i="1"/>
  <c r="AE25" s="1"/>
  <c r="AG25" s="1"/>
  <c r="AS25"/>
  <c r="BB38"/>
  <c r="BD38" s="1"/>
  <c r="V38"/>
  <c r="M41" i="101" s="1"/>
  <c r="AF22" i="1"/>
  <c r="J9" i="99"/>
  <c r="K9" s="1"/>
  <c r="J9" i="98"/>
  <c r="K9" s="1"/>
  <c r="J42"/>
  <c r="J42" i="99"/>
  <c r="K42" s="1"/>
  <c r="BB16" i="1"/>
  <c r="BD16" s="1"/>
  <c r="V16"/>
  <c r="M19" i="101" s="1"/>
  <c r="E25" i="81"/>
  <c r="R79" i="1"/>
  <c r="U79" s="1"/>
  <c r="Z16"/>
  <c r="AC16" s="1"/>
  <c r="W16"/>
  <c r="N19" i="101" s="1"/>
  <c r="AA16" i="1"/>
  <c r="X16"/>
  <c r="G39" i="81"/>
  <c r="H39"/>
  <c r="AT24" i="1"/>
  <c r="F27" i="101" s="1"/>
  <c r="G27" s="1"/>
  <c r="AC22" i="100" s="1"/>
  <c r="L23" i="67"/>
  <c r="AF39" i="1" l="1"/>
  <c r="AF52"/>
  <c r="AF51"/>
  <c r="E8" i="84"/>
  <c r="E8" i="83"/>
  <c r="AG51" i="1"/>
  <c r="AK51" s="1"/>
  <c r="AL51" s="1"/>
  <c r="AF55"/>
  <c r="E17" i="83"/>
  <c r="AO40" i="1"/>
  <c r="C39" i="33" s="1"/>
  <c r="E70" i="84"/>
  <c r="AK40" i="1"/>
  <c r="AL40" s="1"/>
  <c r="E17" i="84"/>
  <c r="AG47" i="1"/>
  <c r="AK47" s="1"/>
  <c r="AL47" s="1"/>
  <c r="AG71"/>
  <c r="AO71" s="1"/>
  <c r="AG55"/>
  <c r="BE41"/>
  <c r="BG41" s="1"/>
  <c r="BE71"/>
  <c r="BG71" s="1"/>
  <c r="E68" i="83"/>
  <c r="M72" i="101"/>
  <c r="E41" i="84"/>
  <c r="M45" i="101"/>
  <c r="E60" i="83"/>
  <c r="M64" i="101"/>
  <c r="S42" i="67"/>
  <c r="Y41" i="72" s="1"/>
  <c r="E26" i="83"/>
  <c r="M30" i="101"/>
  <c r="E36" i="83"/>
  <c r="M40" i="101"/>
  <c r="E38" i="83"/>
  <c r="M42" i="101"/>
  <c r="E49" i="84"/>
  <c r="M53" i="101"/>
  <c r="S9" i="67"/>
  <c r="Y8" i="72" s="1"/>
  <c r="AB41" i="100"/>
  <c r="AF34" i="1"/>
  <c r="L18" i="67"/>
  <c r="O18" s="1"/>
  <c r="P18" s="1"/>
  <c r="AB17" i="100" s="1"/>
  <c r="AH18" i="1"/>
  <c r="D39" i="120"/>
  <c r="E39" s="1"/>
  <c r="H39" s="1"/>
  <c r="I39" s="1"/>
  <c r="J39" s="1"/>
  <c r="L39" s="1"/>
  <c r="D39" i="118"/>
  <c r="E39" s="1"/>
  <c r="H39" s="1"/>
  <c r="D39" i="119"/>
  <c r="E39" s="1"/>
  <c r="H39" s="1"/>
  <c r="D39" i="117"/>
  <c r="E39" s="1"/>
  <c r="H39" s="1"/>
  <c r="N39" i="33" s="1"/>
  <c r="D39" i="116"/>
  <c r="E39" s="1"/>
  <c r="H39" s="1"/>
  <c r="D39" i="115"/>
  <c r="E39" s="1"/>
  <c r="H39" s="1"/>
  <c r="D39" i="114"/>
  <c r="E39" s="1"/>
  <c r="H39" s="1"/>
  <c r="K39" i="33" s="1"/>
  <c r="D39" i="113"/>
  <c r="E39" s="1"/>
  <c r="H39" s="1"/>
  <c r="J39" i="33" s="1"/>
  <c r="D50" i="120"/>
  <c r="E50" s="1"/>
  <c r="H50" s="1"/>
  <c r="D50" i="119"/>
  <c r="E50" s="1"/>
  <c r="H50" s="1"/>
  <c r="I50" s="1"/>
  <c r="J50" s="1"/>
  <c r="L50" s="1"/>
  <c r="D50" i="118"/>
  <c r="E50" s="1"/>
  <c r="H50" s="1"/>
  <c r="O50" i="33" s="1"/>
  <c r="D50" i="117"/>
  <c r="E50" s="1"/>
  <c r="H50" s="1"/>
  <c r="N50" i="33" s="1"/>
  <c r="D50" i="116"/>
  <c r="E50" s="1"/>
  <c r="H50" s="1"/>
  <c r="D50" i="115"/>
  <c r="E50" s="1"/>
  <c r="H50" s="1"/>
  <c r="L50" i="33" s="1"/>
  <c r="D50" i="114"/>
  <c r="E50" s="1"/>
  <c r="H50" s="1"/>
  <c r="D50" i="113"/>
  <c r="E50" s="1"/>
  <c r="H50" s="1"/>
  <c r="J50" i="33" s="1"/>
  <c r="D40" i="119"/>
  <c r="E40" s="1"/>
  <c r="H40" s="1"/>
  <c r="D40" i="118"/>
  <c r="E40" s="1"/>
  <c r="H40" s="1"/>
  <c r="D40" i="120"/>
  <c r="E40" s="1"/>
  <c r="H40" s="1"/>
  <c r="I40" s="1"/>
  <c r="J40" s="1"/>
  <c r="L40" s="1"/>
  <c r="D40" i="116"/>
  <c r="E40" s="1"/>
  <c r="H40" s="1"/>
  <c r="M40" i="33" s="1"/>
  <c r="D40" i="115"/>
  <c r="E40" s="1"/>
  <c r="H40" s="1"/>
  <c r="D40" i="114"/>
  <c r="E40" s="1"/>
  <c r="H40" s="1"/>
  <c r="D40" i="117"/>
  <c r="E40" s="1"/>
  <c r="H40" s="1"/>
  <c r="N40" i="33" s="1"/>
  <c r="D40" i="113"/>
  <c r="E40" s="1"/>
  <c r="H40" s="1"/>
  <c r="J40" i="33" s="1"/>
  <c r="D17" i="118"/>
  <c r="E17" s="1"/>
  <c r="H17" s="1"/>
  <c r="D17" i="120"/>
  <c r="E17" s="1"/>
  <c r="H17" s="1"/>
  <c r="I17" s="1"/>
  <c r="J17" s="1"/>
  <c r="L17" s="1"/>
  <c r="D17" i="119"/>
  <c r="E17" s="1"/>
  <c r="H17" s="1"/>
  <c r="I17" s="1"/>
  <c r="J17" s="1"/>
  <c r="L17" s="1"/>
  <c r="D17" i="116"/>
  <c r="E17" s="1"/>
  <c r="H17" s="1"/>
  <c r="D17" i="115"/>
  <c r="E17" s="1"/>
  <c r="H17" s="1"/>
  <c r="D17" i="117"/>
  <c r="E17" s="1"/>
  <c r="H17" s="1"/>
  <c r="N17" i="33" s="1"/>
  <c r="D17" i="114"/>
  <c r="E17" s="1"/>
  <c r="H17" s="1"/>
  <c r="K17" i="33" s="1"/>
  <c r="D17" i="113"/>
  <c r="E17" s="1"/>
  <c r="H17" s="1"/>
  <c r="J17" i="33" s="1"/>
  <c r="BE53" i="1"/>
  <c r="BG53" s="1"/>
  <c r="AT26"/>
  <c r="F29" i="101" s="1"/>
  <c r="G29" s="1"/>
  <c r="AC24" i="100" s="1"/>
  <c r="AH41" i="1"/>
  <c r="AO41"/>
  <c r="AP41" s="1"/>
  <c r="E41" i="83"/>
  <c r="AG53" i="1"/>
  <c r="E36" i="84"/>
  <c r="AF61" i="1"/>
  <c r="AG61"/>
  <c r="AO61" s="1"/>
  <c r="AP61" s="1"/>
  <c r="AF18"/>
  <c r="AF27"/>
  <c r="BE69"/>
  <c r="BG69" s="1"/>
  <c r="L35" i="67"/>
  <c r="O35" s="1"/>
  <c r="P35" s="1"/>
  <c r="R35" s="1"/>
  <c r="L62"/>
  <c r="O62" s="1"/>
  <c r="P62" s="1"/>
  <c r="AB61" i="100" s="1"/>
  <c r="AG50" i="1"/>
  <c r="AK50" s="1"/>
  <c r="AL50" s="1"/>
  <c r="R68" i="67"/>
  <c r="AB67" i="100"/>
  <c r="R59" i="67"/>
  <c r="AB58" i="100"/>
  <c r="R51" i="67"/>
  <c r="AB50" i="100"/>
  <c r="R30" i="67"/>
  <c r="AB29" i="100"/>
  <c r="R38" i="67"/>
  <c r="AB37" i="100"/>
  <c r="R62" i="67"/>
  <c r="R18"/>
  <c r="R17"/>
  <c r="AB16" i="100"/>
  <c r="R26" i="67"/>
  <c r="AB25" i="100"/>
  <c r="R11" i="67"/>
  <c r="AB10" i="100"/>
  <c r="R58" i="67"/>
  <c r="AB57" i="100"/>
  <c r="R74" i="67"/>
  <c r="AB73" i="100"/>
  <c r="R41" i="67"/>
  <c r="AB40" i="100"/>
  <c r="R33" i="67"/>
  <c r="AB32" i="100"/>
  <c r="R13" i="67"/>
  <c r="AB12" i="100"/>
  <c r="R49" i="67"/>
  <c r="AB48" i="100"/>
  <c r="R36" i="67"/>
  <c r="AB35" i="100"/>
  <c r="R70" i="67"/>
  <c r="AB69" i="100"/>
  <c r="R66" i="67"/>
  <c r="AB65" i="100"/>
  <c r="R40" i="67"/>
  <c r="AB39" i="100"/>
  <c r="R50" i="67"/>
  <c r="AB49" i="100"/>
  <c r="R34" i="67"/>
  <c r="AB33" i="100"/>
  <c r="R60" i="67"/>
  <c r="AB59" i="100"/>
  <c r="R46" i="67"/>
  <c r="AB45" i="100"/>
  <c r="R21" i="67"/>
  <c r="AB20" i="100"/>
  <c r="R52" i="67"/>
  <c r="AB51" i="100"/>
  <c r="R54" i="67"/>
  <c r="AB53" i="100"/>
  <c r="R25" i="67"/>
  <c r="AB24" i="100"/>
  <c r="AF47" i="1"/>
  <c r="AH39"/>
  <c r="L65" i="67"/>
  <c r="O65" s="1"/>
  <c r="P65" s="1"/>
  <c r="BE75" i="1"/>
  <c r="BG75" s="1"/>
  <c r="R8" i="67"/>
  <c r="AG42" i="1"/>
  <c r="AK42" s="1"/>
  <c r="AL42" s="1"/>
  <c r="AF35"/>
  <c r="AK39"/>
  <c r="AL39" s="1"/>
  <c r="AF42"/>
  <c r="AF43"/>
  <c r="AG43"/>
  <c r="AH43" s="1"/>
  <c r="BE10"/>
  <c r="BG10" s="1"/>
  <c r="AG10"/>
  <c r="AF10"/>
  <c r="BE37"/>
  <c r="BG37" s="1"/>
  <c r="AG35"/>
  <c r="AH35" s="1"/>
  <c r="AF69"/>
  <c r="AF50"/>
  <c r="L39" i="67"/>
  <c r="O39" s="1"/>
  <c r="P39" s="1"/>
  <c r="AB38" i="100" s="1"/>
  <c r="E68" i="84"/>
  <c r="AG31" i="1"/>
  <c r="AH31" s="1"/>
  <c r="BE24"/>
  <c r="BG24" s="1"/>
  <c r="AF37"/>
  <c r="AF31"/>
  <c r="E26" i="84"/>
  <c r="AG24" i="1"/>
  <c r="AO24" s="1"/>
  <c r="AO51"/>
  <c r="BA51" s="1"/>
  <c r="D39" i="99"/>
  <c r="D39" i="98"/>
  <c r="D50"/>
  <c r="D50" i="99"/>
  <c r="D17" i="98"/>
  <c r="D17" i="99"/>
  <c r="D40" i="98"/>
  <c r="D40" i="99"/>
  <c r="AH27" i="1"/>
  <c r="AO18"/>
  <c r="BA18" s="1"/>
  <c r="AG38"/>
  <c r="AK38" s="1"/>
  <c r="AL38" s="1"/>
  <c r="AG65"/>
  <c r="AH65" s="1"/>
  <c r="AG15"/>
  <c r="AK15" s="1"/>
  <c r="AL15" s="1"/>
  <c r="AH51"/>
  <c r="AK27"/>
  <c r="AL27" s="1"/>
  <c r="AG23"/>
  <c r="AO23" s="1"/>
  <c r="AG73"/>
  <c r="AK73" s="1"/>
  <c r="AL73" s="1"/>
  <c r="AG28"/>
  <c r="AO28" s="1"/>
  <c r="AW28" s="1"/>
  <c r="AG29"/>
  <c r="AH29" s="1"/>
  <c r="AG21"/>
  <c r="AO21" s="1"/>
  <c r="AF49"/>
  <c r="AF28"/>
  <c r="AF45"/>
  <c r="AF58"/>
  <c r="AF13"/>
  <c r="AF54"/>
  <c r="AF73"/>
  <c r="AG54"/>
  <c r="AO54" s="1"/>
  <c r="AW54" s="1"/>
  <c r="AG64"/>
  <c r="AK64" s="1"/>
  <c r="AL64" s="1"/>
  <c r="AG32"/>
  <c r="AO32" s="1"/>
  <c r="AG44"/>
  <c r="AH44" s="1"/>
  <c r="AF32"/>
  <c r="BE30"/>
  <c r="BG30" s="1"/>
  <c r="AG30"/>
  <c r="AF30"/>
  <c r="J50" i="99"/>
  <c r="K50" s="1"/>
  <c r="J50" i="98"/>
  <c r="K50" s="1"/>
  <c r="E47" i="84"/>
  <c r="E47" i="83"/>
  <c r="E37" i="84"/>
  <c r="E37" i="83"/>
  <c r="J8" i="98"/>
  <c r="K8" s="1"/>
  <c r="J8" i="99"/>
  <c r="K8" s="1"/>
  <c r="AH25" i="1"/>
  <c r="AO25"/>
  <c r="AW25" s="1"/>
  <c r="AK25"/>
  <c r="AL25" s="1"/>
  <c r="AF68"/>
  <c r="BE68"/>
  <c r="BG68" s="1"/>
  <c r="AG68"/>
  <c r="E57" i="83"/>
  <c r="E57" i="84"/>
  <c r="D50" i="88"/>
  <c r="E50" s="1"/>
  <c r="G50" s="1"/>
  <c r="D50" i="92"/>
  <c r="E50" s="1"/>
  <c r="G50" s="1"/>
  <c r="D50" i="89"/>
  <c r="E50" s="1"/>
  <c r="G50" s="1"/>
  <c r="D50" i="85"/>
  <c r="E50" s="1"/>
  <c r="G50" s="1"/>
  <c r="D50" i="86"/>
  <c r="E50" s="1"/>
  <c r="G50" s="1"/>
  <c r="F50" i="90"/>
  <c r="G50" s="1"/>
  <c r="I50" s="1"/>
  <c r="Y50" i="33" s="1"/>
  <c r="D50" i="91"/>
  <c r="E50" s="1"/>
  <c r="G50" s="1"/>
  <c r="D50" i="87"/>
  <c r="E50" s="1"/>
  <c r="G50" s="1"/>
  <c r="D47" i="80"/>
  <c r="E47" s="1"/>
  <c r="H47" s="1"/>
  <c r="D47" i="76"/>
  <c r="E47" s="1"/>
  <c r="H47" s="1"/>
  <c r="L48" i="67"/>
  <c r="O48" s="1"/>
  <c r="P48" s="1"/>
  <c r="AT49" i="1"/>
  <c r="F52" i="101" s="1"/>
  <c r="G52" s="1"/>
  <c r="AC47" i="100" s="1"/>
  <c r="L43" i="67"/>
  <c r="O43" s="1"/>
  <c r="P43" s="1"/>
  <c r="AT44" i="1"/>
  <c r="F47" i="101" s="1"/>
  <c r="G47" s="1"/>
  <c r="AC42" i="100" s="1"/>
  <c r="L73" i="67"/>
  <c r="O73" s="1"/>
  <c r="P73" s="1"/>
  <c r="AT74" i="1"/>
  <c r="F77" i="101" s="1"/>
  <c r="G77" s="1"/>
  <c r="AC72" i="100" s="1"/>
  <c r="E55" i="84"/>
  <c r="E55" i="83"/>
  <c r="AH22" i="1"/>
  <c r="AO22"/>
  <c r="AK22"/>
  <c r="AL22" s="1"/>
  <c r="J74" i="99"/>
  <c r="K74" s="1"/>
  <c r="J74" i="98"/>
  <c r="K74" s="1"/>
  <c r="E29" i="83"/>
  <c r="E29" i="84"/>
  <c r="J68" i="99"/>
  <c r="K68" s="1"/>
  <c r="J68" i="98"/>
  <c r="K68" s="1"/>
  <c r="AO66" i="1"/>
  <c r="AK66"/>
  <c r="AL66" s="1"/>
  <c r="AH66"/>
  <c r="E14" i="84"/>
  <c r="E14" i="83"/>
  <c r="E64" i="84"/>
  <c r="E64" i="83"/>
  <c r="L22" i="67"/>
  <c r="O22" s="1"/>
  <c r="P22" s="1"/>
  <c r="AT23" i="1"/>
  <c r="F26" i="101" s="1"/>
  <c r="G26" s="1"/>
  <c r="AC21" i="100" s="1"/>
  <c r="AG11" i="1"/>
  <c r="AF11"/>
  <c r="BE11"/>
  <c r="BG11" s="1"/>
  <c r="AO36"/>
  <c r="AH36"/>
  <c r="AK36"/>
  <c r="AL36" s="1"/>
  <c r="L75" i="67"/>
  <c r="O75" s="1"/>
  <c r="P75" s="1"/>
  <c r="AT76" i="1"/>
  <c r="F79" i="101" s="1"/>
  <c r="G79" s="1"/>
  <c r="AC74" i="100" s="1"/>
  <c r="J34" i="99"/>
  <c r="K34" s="1"/>
  <c r="J34" i="98"/>
  <c r="K34" s="1"/>
  <c r="E19" i="84"/>
  <c r="E19" i="83"/>
  <c r="J46" i="98"/>
  <c r="K46" s="1"/>
  <c r="J46" i="99"/>
  <c r="K46" s="1"/>
  <c r="J58" i="98"/>
  <c r="K58" s="1"/>
  <c r="J58" i="99"/>
  <c r="K58" s="1"/>
  <c r="AF33" i="1"/>
  <c r="BE33"/>
  <c r="BG33" s="1"/>
  <c r="AG33"/>
  <c r="E71" i="83"/>
  <c r="E71" i="84"/>
  <c r="J35" i="99"/>
  <c r="K35" s="1"/>
  <c r="J35" i="98"/>
  <c r="K35" s="1"/>
  <c r="E44" i="84"/>
  <c r="E44" i="83"/>
  <c r="BE70" i="1"/>
  <c r="BG70" s="1"/>
  <c r="AF70"/>
  <c r="AG70"/>
  <c r="AT73"/>
  <c r="F76" i="101" s="1"/>
  <c r="G76" s="1"/>
  <c r="AC71" i="100" s="1"/>
  <c r="L72" i="67"/>
  <c r="O72" s="1"/>
  <c r="P72" s="1"/>
  <c r="E48" i="83"/>
  <c r="E48" i="84"/>
  <c r="AH47" i="1"/>
  <c r="AG17"/>
  <c r="BE17"/>
  <c r="BG17" s="1"/>
  <c r="AF17"/>
  <c r="L63" i="67"/>
  <c r="O63" s="1"/>
  <c r="P63" s="1"/>
  <c r="AT64" i="1"/>
  <c r="F67" i="101" s="1"/>
  <c r="G67" s="1"/>
  <c r="AC62" i="100" s="1"/>
  <c r="J40" i="98"/>
  <c r="K40" s="1"/>
  <c r="J40" i="99"/>
  <c r="K40" s="1"/>
  <c r="AO74" i="1"/>
  <c r="AW74" s="1"/>
  <c r="AK74"/>
  <c r="AL74" s="1"/>
  <c r="AH74"/>
  <c r="L31" i="67"/>
  <c r="O31" s="1"/>
  <c r="P31" s="1"/>
  <c r="AT32" i="1"/>
  <c r="F35" i="101" s="1"/>
  <c r="G35" s="1"/>
  <c r="AC30" i="100" s="1"/>
  <c r="J52" i="98"/>
  <c r="K52" s="1"/>
  <c r="J52" i="99"/>
  <c r="K52" s="1"/>
  <c r="L27" i="67"/>
  <c r="O27" s="1"/>
  <c r="P27" s="1"/>
  <c r="AT28" i="1"/>
  <c r="F31" i="101" s="1"/>
  <c r="G31" s="1"/>
  <c r="AC26" i="100" s="1"/>
  <c r="BE20" i="1"/>
  <c r="BG20" s="1"/>
  <c r="AF20"/>
  <c r="AG20"/>
  <c r="C26" i="33"/>
  <c r="AP27" i="1"/>
  <c r="BA27"/>
  <c r="AW27"/>
  <c r="AO76"/>
  <c r="AH76"/>
  <c r="AK76"/>
  <c r="AL76" s="1"/>
  <c r="J51" i="98"/>
  <c r="K51" s="1"/>
  <c r="J51" i="99"/>
  <c r="K51" s="1"/>
  <c r="AK19" i="1"/>
  <c r="AL19" s="1"/>
  <c r="AO19"/>
  <c r="AH19"/>
  <c r="E28" i="84"/>
  <c r="E28" i="83"/>
  <c r="J11" i="99"/>
  <c r="K11" s="1"/>
  <c r="J11" i="98"/>
  <c r="K11" s="1"/>
  <c r="L57" i="67"/>
  <c r="O57" s="1"/>
  <c r="P57" s="1"/>
  <c r="AT58" i="1"/>
  <c r="F61" i="101" s="1"/>
  <c r="G61" s="1"/>
  <c r="AC56" i="100" s="1"/>
  <c r="J36" i="99"/>
  <c r="K36" s="1"/>
  <c r="J36" i="98"/>
  <c r="K36" s="1"/>
  <c r="E16" i="84"/>
  <c r="E16" i="83"/>
  <c r="AT17" i="1"/>
  <c r="F20" i="101" s="1"/>
  <c r="G20" s="1"/>
  <c r="AC15" i="100" s="1"/>
  <c r="L16" i="67"/>
  <c r="O16" s="1"/>
  <c r="P16" s="1"/>
  <c r="AF64" i="1"/>
  <c r="AF38"/>
  <c r="E45" i="84"/>
  <c r="E45" i="83"/>
  <c r="AF29" i="1"/>
  <c r="E43" i="84"/>
  <c r="E43" i="83"/>
  <c r="AH69" i="1"/>
  <c r="AK69"/>
  <c r="AL69" s="1"/>
  <c r="AO69"/>
  <c r="AT33"/>
  <c r="F36" i="101" s="1"/>
  <c r="G36" s="1"/>
  <c r="AC31" i="100" s="1"/>
  <c r="L32" i="67"/>
  <c r="O32" s="1"/>
  <c r="P32" s="1"/>
  <c r="J38" i="99"/>
  <c r="K38" s="1"/>
  <c r="J38" i="98"/>
  <c r="K38" s="1"/>
  <c r="AF15" i="1"/>
  <c r="AG13"/>
  <c r="E73" i="84"/>
  <c r="E73" i="83"/>
  <c r="AH37" i="1"/>
  <c r="AO37"/>
  <c r="AK37"/>
  <c r="AL37" s="1"/>
  <c r="J60" i="98"/>
  <c r="K60" s="1"/>
  <c r="J60" i="99"/>
  <c r="K60" s="1"/>
  <c r="AF65" i="1"/>
  <c r="L45" i="67"/>
  <c r="O45" s="1"/>
  <c r="P45" s="1"/>
  <c r="AT46" i="1"/>
  <c r="F49" i="101" s="1"/>
  <c r="G49" s="1"/>
  <c r="AC44" i="100" s="1"/>
  <c r="AF48" i="1"/>
  <c r="BE48"/>
  <c r="BG48" s="1"/>
  <c r="E67" i="83"/>
  <c r="E67" i="84"/>
  <c r="J33" i="98"/>
  <c r="K33" s="1"/>
  <c r="J33" i="99"/>
  <c r="K33" s="1"/>
  <c r="AK14" i="1"/>
  <c r="AL14" s="1"/>
  <c r="AH14"/>
  <c r="AO14"/>
  <c r="AG62"/>
  <c r="BE62"/>
  <c r="BG62" s="1"/>
  <c r="E56" i="83"/>
  <c r="E56" i="84"/>
  <c r="AO63" i="1"/>
  <c r="AK63"/>
  <c r="AL63" s="1"/>
  <c r="AH63"/>
  <c r="AO52"/>
  <c r="AK52"/>
  <c r="AL52" s="1"/>
  <c r="AH52"/>
  <c r="J41" i="99"/>
  <c r="K41" s="1"/>
  <c r="J41" i="98"/>
  <c r="K41" s="1"/>
  <c r="E27" i="84"/>
  <c r="E27" i="83"/>
  <c r="E63" i="84"/>
  <c r="E63" i="83"/>
  <c r="AF21" i="1"/>
  <c r="AH9"/>
  <c r="AK9"/>
  <c r="AL9" s="1"/>
  <c r="AO9"/>
  <c r="AW40"/>
  <c r="E75" i="84"/>
  <c r="E75" i="83"/>
  <c r="J54" i="98"/>
  <c r="K54" s="1"/>
  <c r="J54" i="99"/>
  <c r="K54" s="1"/>
  <c r="D17" i="91"/>
  <c r="E17" s="1"/>
  <c r="G17" s="1"/>
  <c r="F17" i="90"/>
  <c r="G17" s="1"/>
  <c r="I17" s="1"/>
  <c r="Y17" i="33" s="1"/>
  <c r="D17" i="92"/>
  <c r="E17" s="1"/>
  <c r="G17" s="1"/>
  <c r="D17" i="86"/>
  <c r="E17" s="1"/>
  <c r="G17" s="1"/>
  <c r="D17" i="87"/>
  <c r="E17" s="1"/>
  <c r="G17" s="1"/>
  <c r="D17" i="85"/>
  <c r="E17" s="1"/>
  <c r="G17" s="1"/>
  <c r="D14" i="80"/>
  <c r="E14" s="1"/>
  <c r="H14" s="1"/>
  <c r="D17" i="89"/>
  <c r="E17" s="1"/>
  <c r="G17" s="1"/>
  <c r="D14" i="76"/>
  <c r="E14" s="1"/>
  <c r="H14" s="1"/>
  <c r="D17" i="88"/>
  <c r="E17" s="1"/>
  <c r="G17" s="1"/>
  <c r="X8" i="1"/>
  <c r="U8"/>
  <c r="W8"/>
  <c r="N11" i="101" s="1"/>
  <c r="AA8" i="1"/>
  <c r="AA77" s="1"/>
  <c r="Z8"/>
  <c r="AC8" s="1"/>
  <c r="AS8" s="1"/>
  <c r="AT25"/>
  <c r="F28" i="101" s="1"/>
  <c r="G28" s="1"/>
  <c r="AC23" i="100" s="1"/>
  <c r="L24" i="67"/>
  <c r="O24" s="1"/>
  <c r="P24" s="1"/>
  <c r="AO12" i="1"/>
  <c r="AH12"/>
  <c r="AK12"/>
  <c r="AL12" s="1"/>
  <c r="AK34"/>
  <c r="AL34" s="1"/>
  <c r="AH34"/>
  <c r="AO34"/>
  <c r="E31" i="84"/>
  <c r="E31" i="83"/>
  <c r="AT45" i="1"/>
  <c r="F48" i="101" s="1"/>
  <c r="G48" s="1"/>
  <c r="AC43" i="100" s="1"/>
  <c r="L44" i="67"/>
  <c r="O44" s="1"/>
  <c r="P44" s="1"/>
  <c r="J49" i="99"/>
  <c r="K49" s="1"/>
  <c r="J49" i="98"/>
  <c r="K49" s="1"/>
  <c r="AO53" i="1"/>
  <c r="AH53"/>
  <c r="AK53"/>
  <c r="AL53" s="1"/>
  <c r="E72" i="83"/>
  <c r="E72" i="84"/>
  <c r="AT13" i="1"/>
  <c r="F16" i="101" s="1"/>
  <c r="G16" s="1"/>
  <c r="AC11" i="100" s="1"/>
  <c r="L12" i="67"/>
  <c r="O12" s="1"/>
  <c r="P12" s="1"/>
  <c r="E24" i="83"/>
  <c r="E24" i="84"/>
  <c r="L53" i="67"/>
  <c r="O53" s="1"/>
  <c r="P53" s="1"/>
  <c r="AT54" i="1"/>
  <c r="F57" i="101" s="1"/>
  <c r="G57" s="1"/>
  <c r="AC52" i="100" s="1"/>
  <c r="L28" i="67"/>
  <c r="O28" s="1"/>
  <c r="P28" s="1"/>
  <c r="AT29" i="1"/>
  <c r="F32" i="101" s="1"/>
  <c r="G32" s="1"/>
  <c r="AC27" i="100" s="1"/>
  <c r="J30" i="98"/>
  <c r="K30" s="1"/>
  <c r="J30" i="99"/>
  <c r="K30" s="1"/>
  <c r="J59" i="98"/>
  <c r="K59" s="1"/>
  <c r="J59" i="99"/>
  <c r="K59" s="1"/>
  <c r="AG58" i="1"/>
  <c r="AT15"/>
  <c r="F18" i="101" s="1"/>
  <c r="G18" s="1"/>
  <c r="AC13" i="100" s="1"/>
  <c r="L14" i="67"/>
  <c r="O14" s="1"/>
  <c r="P14" s="1"/>
  <c r="E12" i="83"/>
  <c r="E12" i="84"/>
  <c r="AF72" i="1"/>
  <c r="BE72"/>
  <c r="BG72" s="1"/>
  <c r="E22" i="84"/>
  <c r="E22" i="83"/>
  <c r="AF46" i="1"/>
  <c r="BE46"/>
  <c r="BG46" s="1"/>
  <c r="AO48"/>
  <c r="AW48" s="1"/>
  <c r="AK48"/>
  <c r="AL48" s="1"/>
  <c r="AH48"/>
  <c r="L47" i="67"/>
  <c r="O47" s="1"/>
  <c r="P47" s="1"/>
  <c r="AT48" i="1"/>
  <c r="F51" i="101" s="1"/>
  <c r="G51" s="1"/>
  <c r="AC46" i="100" s="1"/>
  <c r="AF57" i="1"/>
  <c r="BE57"/>
  <c r="BG57" s="1"/>
  <c r="AH67"/>
  <c r="AK67"/>
  <c r="AL67" s="1"/>
  <c r="AO67"/>
  <c r="AG45"/>
  <c r="E10" i="84"/>
  <c r="E10" i="83"/>
  <c r="AF44" i="1"/>
  <c r="J25" i="98"/>
  <c r="K25" s="1"/>
  <c r="J25" i="99"/>
  <c r="K25" s="1"/>
  <c r="AT56" i="1"/>
  <c r="F59" i="101" s="1"/>
  <c r="G59" s="1"/>
  <c r="AC54" i="100" s="1"/>
  <c r="L55" i="67"/>
  <c r="O55" s="1"/>
  <c r="P55" s="1"/>
  <c r="E61" i="84"/>
  <c r="E61" i="83"/>
  <c r="L61" i="67"/>
  <c r="O61" s="1"/>
  <c r="P61" s="1"/>
  <c r="AT62" i="1"/>
  <c r="F65" i="101" s="1"/>
  <c r="G65" s="1"/>
  <c r="AC60" i="100" s="1"/>
  <c r="AF23" i="1"/>
  <c r="J13" i="99"/>
  <c r="K13" s="1"/>
  <c r="J13" i="98"/>
  <c r="K13" s="1"/>
  <c r="J21" i="99"/>
  <c r="K21" s="1"/>
  <c r="J21" i="98"/>
  <c r="K21" s="1"/>
  <c r="E53" i="84"/>
  <c r="E53" i="83"/>
  <c r="E23" i="84"/>
  <c r="E23" i="83"/>
  <c r="AH75" i="1"/>
  <c r="AO75"/>
  <c r="AK75"/>
  <c r="AL75" s="1"/>
  <c r="L20" i="67"/>
  <c r="O20" s="1"/>
  <c r="P20" s="1"/>
  <c r="AT21" i="1"/>
  <c r="F24" i="101" s="1"/>
  <c r="G24" s="1"/>
  <c r="AC19" i="100" s="1"/>
  <c r="AT20" i="1"/>
  <c r="F23" i="101" s="1"/>
  <c r="G23" s="1"/>
  <c r="AC18" i="100" s="1"/>
  <c r="L19" i="67"/>
  <c r="O19" s="1"/>
  <c r="P19" s="1"/>
  <c r="D40" i="88"/>
  <c r="E40" s="1"/>
  <c r="G40" s="1"/>
  <c r="D40" i="92"/>
  <c r="E40" s="1"/>
  <c r="G40" s="1"/>
  <c r="D37" i="76"/>
  <c r="E37" s="1"/>
  <c r="H37" s="1"/>
  <c r="D40" i="89"/>
  <c r="E40" s="1"/>
  <c r="G40" s="1"/>
  <c r="D40" i="85"/>
  <c r="E40" s="1"/>
  <c r="G40" s="1"/>
  <c r="D40" i="86"/>
  <c r="E40" s="1"/>
  <c r="G40" s="1"/>
  <c r="F40" i="90"/>
  <c r="G40" s="1"/>
  <c r="I40" s="1"/>
  <c r="Y40" i="33" s="1"/>
  <c r="D40" i="91"/>
  <c r="E40" s="1"/>
  <c r="G40" s="1"/>
  <c r="D37" i="80"/>
  <c r="E37" s="1"/>
  <c r="H37" s="1"/>
  <c r="D40" i="87"/>
  <c r="E40" s="1"/>
  <c r="G40" s="1"/>
  <c r="J26" i="99"/>
  <c r="K26" s="1"/>
  <c r="J26" i="98"/>
  <c r="K26" s="1"/>
  <c r="AK26" i="1"/>
  <c r="AL26" s="1"/>
  <c r="AO26"/>
  <c r="AH26"/>
  <c r="AF25"/>
  <c r="BE25"/>
  <c r="BG25" s="1"/>
  <c r="AO55"/>
  <c r="AH55"/>
  <c r="AK55"/>
  <c r="AL55" s="1"/>
  <c r="L29" i="67"/>
  <c r="O29" s="1"/>
  <c r="P29" s="1"/>
  <c r="AT30" i="1"/>
  <c r="F33" i="101" s="1"/>
  <c r="G33" s="1"/>
  <c r="AC28" i="100" s="1"/>
  <c r="L10" i="67"/>
  <c r="O10" s="1"/>
  <c r="P10" s="1"/>
  <c r="AT11" i="1"/>
  <c r="F14" i="101" s="1"/>
  <c r="G14" s="1"/>
  <c r="AC9" i="100" s="1"/>
  <c r="C38" i="33"/>
  <c r="AP39" i="1"/>
  <c r="AW39"/>
  <c r="BA39"/>
  <c r="J39" i="98"/>
  <c r="K39" s="1"/>
  <c r="J39" i="99"/>
  <c r="K39" s="1"/>
  <c r="AF76" i="1"/>
  <c r="BE76"/>
  <c r="BG76" s="1"/>
  <c r="J70" i="98"/>
  <c r="K70" s="1"/>
  <c r="J70" i="99"/>
  <c r="K70" s="1"/>
  <c r="L37" i="67"/>
  <c r="O37" s="1"/>
  <c r="P37" s="1"/>
  <c r="AT38" i="1"/>
  <c r="F41" i="101" s="1"/>
  <c r="G41" s="1"/>
  <c r="AC36" i="100" s="1"/>
  <c r="AK46" i="1"/>
  <c r="AL46" s="1"/>
  <c r="AH46"/>
  <c r="AO46"/>
  <c r="AT68"/>
  <c r="F71" i="101" s="1"/>
  <c r="G71" s="1"/>
  <c r="AC66" i="100" s="1"/>
  <c r="L67" i="67"/>
  <c r="O67" s="1"/>
  <c r="P67" s="1"/>
  <c r="J66" i="98"/>
  <c r="K66" s="1"/>
  <c r="J66" i="99"/>
  <c r="K66" s="1"/>
  <c r="E69" i="83"/>
  <c r="E69" i="84"/>
  <c r="AG72" i="1"/>
  <c r="L71" i="67"/>
  <c r="O71" s="1"/>
  <c r="P71" s="1"/>
  <c r="AT72" i="1"/>
  <c r="F75" i="101" s="1"/>
  <c r="G75" s="1"/>
  <c r="AC70" i="100" s="1"/>
  <c r="AT65" i="1"/>
  <c r="F68" i="101" s="1"/>
  <c r="G68" s="1"/>
  <c r="AC63" i="100" s="1"/>
  <c r="L64" i="67"/>
  <c r="O64" s="1"/>
  <c r="P64" s="1"/>
  <c r="AH59" i="1"/>
  <c r="AO59"/>
  <c r="AK59"/>
  <c r="AL59" s="1"/>
  <c r="L56" i="67"/>
  <c r="O56" s="1"/>
  <c r="P56" s="1"/>
  <c r="AT57" i="1"/>
  <c r="F60" i="101" s="1"/>
  <c r="G60" s="1"/>
  <c r="AC55" i="100" s="1"/>
  <c r="AO60" i="1"/>
  <c r="AH60"/>
  <c r="AK60"/>
  <c r="AL60" s="1"/>
  <c r="E20" i="83"/>
  <c r="E20" i="84"/>
  <c r="AF74" i="1"/>
  <c r="BE74"/>
  <c r="BG74" s="1"/>
  <c r="AH56"/>
  <c r="AO56"/>
  <c r="AK56"/>
  <c r="AL56" s="1"/>
  <c r="AF56"/>
  <c r="BE56"/>
  <c r="BG56" s="1"/>
  <c r="J62" i="98"/>
  <c r="K62" s="1"/>
  <c r="J62" i="99"/>
  <c r="K62" s="1"/>
  <c r="J18" i="98"/>
  <c r="K18" s="1"/>
  <c r="J18" i="99"/>
  <c r="K18" s="1"/>
  <c r="AG57" i="1"/>
  <c r="AT70"/>
  <c r="F73" i="101" s="1"/>
  <c r="G73" s="1"/>
  <c r="AC68" i="100" s="1"/>
  <c r="L69" i="67"/>
  <c r="O69" s="1"/>
  <c r="P69" s="1"/>
  <c r="E32" i="84"/>
  <c r="E32" i="83"/>
  <c r="J17" i="98"/>
  <c r="K17" s="1"/>
  <c r="J17" i="99"/>
  <c r="K17" s="1"/>
  <c r="AG49" i="1"/>
  <c r="D39" i="89"/>
  <c r="E39" s="1"/>
  <c r="G39" s="1"/>
  <c r="F39" i="90"/>
  <c r="G39" s="1"/>
  <c r="I39" s="1"/>
  <c r="Y39" i="33" s="1"/>
  <c r="D39" i="91"/>
  <c r="E39" s="1"/>
  <c r="G39" s="1"/>
  <c r="D39" i="85"/>
  <c r="E39" s="1"/>
  <c r="G39" s="1"/>
  <c r="D39" i="86"/>
  <c r="E39" s="1"/>
  <c r="G39" s="1"/>
  <c r="D39" i="88"/>
  <c r="E39" s="1"/>
  <c r="G39" s="1"/>
  <c r="D36" i="76"/>
  <c r="E36" s="1"/>
  <c r="H36" s="1"/>
  <c r="D39" i="87"/>
  <c r="E39" s="1"/>
  <c r="G39" s="1"/>
  <c r="D39" i="92"/>
  <c r="E39" s="1"/>
  <c r="G39" s="1"/>
  <c r="D36" i="80"/>
  <c r="E36" s="1"/>
  <c r="H36" s="1"/>
  <c r="J65" i="98"/>
  <c r="K65" s="1"/>
  <c r="J65" i="99"/>
  <c r="K65" s="1"/>
  <c r="L42"/>
  <c r="AB41" i="72" s="1"/>
  <c r="F41" i="100"/>
  <c r="L9" i="99"/>
  <c r="AB8" i="72" s="1"/>
  <c r="F8" i="100"/>
  <c r="L9" i="98"/>
  <c r="AC8" i="72" s="1"/>
  <c r="G8" i="100"/>
  <c r="L65" i="98"/>
  <c r="AC64" i="72" s="1"/>
  <c r="J23" i="98"/>
  <c r="J23" i="99"/>
  <c r="K23" s="1"/>
  <c r="K42" i="98"/>
  <c r="E15" i="84"/>
  <c r="E15" i="83"/>
  <c r="F15" i="84"/>
  <c r="F15" i="83"/>
  <c r="G27" i="81"/>
  <c r="W77" i="1"/>
  <c r="N80" i="101" s="1"/>
  <c r="X77" i="1"/>
  <c r="AD16"/>
  <c r="AE16" s="1"/>
  <c r="AF16" s="1"/>
  <c r="AS16"/>
  <c r="G25" i="81"/>
  <c r="H25"/>
  <c r="O23" i="67"/>
  <c r="P23" s="1"/>
  <c r="AB22" i="100" s="1"/>
  <c r="D44" i="101" l="1"/>
  <c r="I44" s="1"/>
  <c r="K44" s="1"/>
  <c r="L44" s="1"/>
  <c r="AH40" i="33"/>
  <c r="D42" i="101"/>
  <c r="AH38" i="33"/>
  <c r="D30" i="101"/>
  <c r="E30" s="1"/>
  <c r="AH26" i="33"/>
  <c r="AP40" i="1"/>
  <c r="AO47"/>
  <c r="D64" i="101"/>
  <c r="I64" s="1"/>
  <c r="K64" s="1"/>
  <c r="L64" s="1"/>
  <c r="AH60" i="33"/>
  <c r="BA40" i="1"/>
  <c r="AH71"/>
  <c r="AK71"/>
  <c r="AL71" s="1"/>
  <c r="D70" i="118" s="1"/>
  <c r="E70" s="1"/>
  <c r="H70" s="1"/>
  <c r="D38" i="87"/>
  <c r="E38" s="1"/>
  <c r="G38" s="1"/>
  <c r="H38" s="1"/>
  <c r="I38" s="1"/>
  <c r="K38" s="1"/>
  <c r="I14" i="76"/>
  <c r="P17" i="33" s="1"/>
  <c r="I47" i="80"/>
  <c r="Q50" i="33" s="1"/>
  <c r="I14" i="80"/>
  <c r="Q17" i="33" s="1"/>
  <c r="I36" i="76"/>
  <c r="P39" i="33" s="1"/>
  <c r="I37" i="80"/>
  <c r="Q40" i="33" s="1"/>
  <c r="BA61" i="1"/>
  <c r="I36" i="80"/>
  <c r="Q39" i="33" s="1"/>
  <c r="I47" i="76"/>
  <c r="P50" i="33" s="1"/>
  <c r="I37" i="76"/>
  <c r="P40" i="33" s="1"/>
  <c r="G64" i="100"/>
  <c r="L18" i="98"/>
  <c r="AC17" i="72" s="1"/>
  <c r="L50" i="98"/>
  <c r="AC49" i="72" s="1"/>
  <c r="S62" i="67"/>
  <c r="Y61" i="72" s="1"/>
  <c r="S38" i="67"/>
  <c r="Y37" i="72" s="1"/>
  <c r="S30" i="67"/>
  <c r="Y29" i="72" s="1"/>
  <c r="S51" i="67"/>
  <c r="Y50" i="72" s="1"/>
  <c r="S59" i="67"/>
  <c r="Y58" i="72" s="1"/>
  <c r="S68" i="67"/>
  <c r="Y67" i="72" s="1"/>
  <c r="G16" i="100"/>
  <c r="L21" i="98"/>
  <c r="AC20" i="72" s="1"/>
  <c r="L25" i="98"/>
  <c r="AC24" i="72" s="1"/>
  <c r="G53" i="100"/>
  <c r="L51" i="98"/>
  <c r="AC50" i="72" s="1"/>
  <c r="G7" i="100"/>
  <c r="S8" i="67"/>
  <c r="Y7" i="72" s="1"/>
  <c r="S25" i="67"/>
  <c r="Y24" i="72" s="1"/>
  <c r="S54" i="67"/>
  <c r="Y53" i="72" s="1"/>
  <c r="S52" i="67"/>
  <c r="Y51" i="72" s="1"/>
  <c r="S21" i="67"/>
  <c r="Y20" i="72" s="1"/>
  <c r="S46" i="67"/>
  <c r="Y45" i="72" s="1"/>
  <c r="S60" i="67"/>
  <c r="Y59" i="72" s="1"/>
  <c r="S34" i="67"/>
  <c r="Y33" i="72" s="1"/>
  <c r="S50" i="67"/>
  <c r="Y49" i="72" s="1"/>
  <c r="S40" i="67"/>
  <c r="Y39" i="72" s="1"/>
  <c r="S66" i="67"/>
  <c r="Y65" i="72" s="1"/>
  <c r="S70" i="67"/>
  <c r="Y69" i="72" s="1"/>
  <c r="S36" i="67"/>
  <c r="Y35" i="72" s="1"/>
  <c r="S49" i="67"/>
  <c r="Y48" i="72" s="1"/>
  <c r="S13" i="67"/>
  <c r="Y12" i="72" s="1"/>
  <c r="S33" i="67"/>
  <c r="Y32" i="72" s="1"/>
  <c r="S41" i="67"/>
  <c r="Y40" i="72" s="1"/>
  <c r="S74" i="67"/>
  <c r="Y73" i="72" s="1"/>
  <c r="S58" i="67"/>
  <c r="Y57" i="72" s="1"/>
  <c r="S11" i="67"/>
  <c r="Y10" i="72" s="1"/>
  <c r="S26" i="67"/>
  <c r="Y25" i="72" s="1"/>
  <c r="S17" i="67"/>
  <c r="Y16" i="72" s="1"/>
  <c r="S18" i="67"/>
  <c r="Y17" i="72" s="1"/>
  <c r="S35" i="67"/>
  <c r="Y34" i="72" s="1"/>
  <c r="I30" i="101"/>
  <c r="K30" s="1"/>
  <c r="L30" s="1"/>
  <c r="I42"/>
  <c r="K42" s="1"/>
  <c r="L42" s="1"/>
  <c r="E42"/>
  <c r="BA41" i="1"/>
  <c r="H39" i="91"/>
  <c r="I39" s="1"/>
  <c r="K39" s="1"/>
  <c r="L39" s="1"/>
  <c r="W39" i="33"/>
  <c r="J37" i="80"/>
  <c r="K37" s="1"/>
  <c r="M37" s="1"/>
  <c r="N37" s="1"/>
  <c r="H40" i="85"/>
  <c r="I40" s="1"/>
  <c r="K40" s="1"/>
  <c r="R40" i="33"/>
  <c r="H40" i="88"/>
  <c r="I40" s="1"/>
  <c r="K40" s="1"/>
  <c r="L40" s="1"/>
  <c r="U40" i="33"/>
  <c r="H17" i="88"/>
  <c r="I17" s="1"/>
  <c r="K17" s="1"/>
  <c r="L17" s="1"/>
  <c r="U17" i="33"/>
  <c r="H17" i="89"/>
  <c r="I17" s="1"/>
  <c r="K17" s="1"/>
  <c r="L17" s="1"/>
  <c r="V17" i="33"/>
  <c r="H17" i="85"/>
  <c r="I17" s="1"/>
  <c r="K17" s="1"/>
  <c r="R17" i="33"/>
  <c r="H17" i="86"/>
  <c r="I17" s="1"/>
  <c r="K17" s="1"/>
  <c r="L17" s="1"/>
  <c r="S17" i="33"/>
  <c r="H50" i="87"/>
  <c r="I50" s="1"/>
  <c r="K50" s="1"/>
  <c r="L50" s="1"/>
  <c r="T50" i="33"/>
  <c r="H50" i="85"/>
  <c r="I50" s="1"/>
  <c r="K50" s="1"/>
  <c r="R50" i="33"/>
  <c r="H50" i="92"/>
  <c r="I50" s="1"/>
  <c r="K50" s="1"/>
  <c r="L50" s="1"/>
  <c r="X50" i="33"/>
  <c r="I17" i="115"/>
  <c r="J17" s="1"/>
  <c r="L17" s="1"/>
  <c r="M17" s="1"/>
  <c r="L17" i="33"/>
  <c r="I17" i="118"/>
  <c r="J17" s="1"/>
  <c r="L17" s="1"/>
  <c r="M17" s="1"/>
  <c r="O17" i="33"/>
  <c r="I40" i="115"/>
  <c r="J40" s="1"/>
  <c r="L40" s="1"/>
  <c r="M40" s="1"/>
  <c r="L40" i="33"/>
  <c r="I50" i="114"/>
  <c r="J50" s="1"/>
  <c r="L50" s="1"/>
  <c r="M50" s="1"/>
  <c r="K50" i="33"/>
  <c r="I50" i="116"/>
  <c r="J50" s="1"/>
  <c r="L50" s="1"/>
  <c r="M50" s="1"/>
  <c r="M50" i="33"/>
  <c r="I39" i="116"/>
  <c r="J39" s="1"/>
  <c r="L39" s="1"/>
  <c r="M39" s="1"/>
  <c r="M39" i="33"/>
  <c r="H39" i="92"/>
  <c r="I39" s="1"/>
  <c r="K39" s="1"/>
  <c r="L39" s="1"/>
  <c r="X39" i="33"/>
  <c r="H39" i="86"/>
  <c r="I39" s="1"/>
  <c r="K39" s="1"/>
  <c r="L39" s="1"/>
  <c r="S39" i="33"/>
  <c r="H39" i="89"/>
  <c r="I39" s="1"/>
  <c r="K39" s="1"/>
  <c r="L39" s="1"/>
  <c r="V39" i="33"/>
  <c r="J36" i="80"/>
  <c r="K36" s="1"/>
  <c r="M36" s="1"/>
  <c r="N36" s="1"/>
  <c r="H39" i="87"/>
  <c r="I39" s="1"/>
  <c r="K39" s="1"/>
  <c r="L39" s="1"/>
  <c r="T39" i="33"/>
  <c r="H39" i="88"/>
  <c r="I39" s="1"/>
  <c r="K39" s="1"/>
  <c r="L39" s="1"/>
  <c r="U39" i="33"/>
  <c r="H39" i="85"/>
  <c r="I39" s="1"/>
  <c r="K39" s="1"/>
  <c r="R39" i="33"/>
  <c r="H40" i="87"/>
  <c r="I40" s="1"/>
  <c r="K40" s="1"/>
  <c r="L40" s="1"/>
  <c r="T40" i="33"/>
  <c r="H40" i="91"/>
  <c r="I40" s="1"/>
  <c r="K40" s="1"/>
  <c r="L40" s="1"/>
  <c r="W40" i="33"/>
  <c r="H40" i="86"/>
  <c r="I40" s="1"/>
  <c r="K40" s="1"/>
  <c r="L40" s="1"/>
  <c r="S40" i="33"/>
  <c r="H40" i="89"/>
  <c r="I40" s="1"/>
  <c r="K40" s="1"/>
  <c r="L40" s="1"/>
  <c r="V40" i="33"/>
  <c r="H40" i="92"/>
  <c r="I40" s="1"/>
  <c r="K40" s="1"/>
  <c r="L40" s="1"/>
  <c r="X40" i="33"/>
  <c r="J14" i="80"/>
  <c r="K14" s="1"/>
  <c r="M14" s="1"/>
  <c r="N14" s="1"/>
  <c r="H17" i="87"/>
  <c r="I17" s="1"/>
  <c r="K17" s="1"/>
  <c r="L17" s="1"/>
  <c r="T17" i="33"/>
  <c r="H17" i="92"/>
  <c r="I17" s="1"/>
  <c r="K17" s="1"/>
  <c r="L17" s="1"/>
  <c r="X17" i="33"/>
  <c r="H17" i="91"/>
  <c r="I17" s="1"/>
  <c r="K17" s="1"/>
  <c r="L17" s="1"/>
  <c r="W17" i="33"/>
  <c r="J47" i="80"/>
  <c r="K47" s="1"/>
  <c r="M47" s="1"/>
  <c r="N47" s="1"/>
  <c r="H50" i="91"/>
  <c r="I50" s="1"/>
  <c r="K50" s="1"/>
  <c r="L50" s="1"/>
  <c r="W50" i="33"/>
  <c r="H50" i="86"/>
  <c r="I50" s="1"/>
  <c r="K50" s="1"/>
  <c r="L50" s="1"/>
  <c r="S50" i="33"/>
  <c r="H50" i="89"/>
  <c r="I50" s="1"/>
  <c r="K50" s="1"/>
  <c r="V50" i="33"/>
  <c r="H50" i="88"/>
  <c r="I50" s="1"/>
  <c r="K50" s="1"/>
  <c r="L50" s="1"/>
  <c r="U50" i="33"/>
  <c r="I17" i="116"/>
  <c r="J17" s="1"/>
  <c r="L17" s="1"/>
  <c r="M17" s="1"/>
  <c r="M17" i="33"/>
  <c r="I40" i="114"/>
  <c r="J40" s="1"/>
  <c r="L40" s="1"/>
  <c r="M40" s="1"/>
  <c r="K40" i="33"/>
  <c r="I40" i="118"/>
  <c r="J40" s="1"/>
  <c r="L40" s="1"/>
  <c r="M40" s="1"/>
  <c r="O40" i="33"/>
  <c r="I39" i="115"/>
  <c r="J39" s="1"/>
  <c r="L39" s="1"/>
  <c r="M39" s="1"/>
  <c r="L39" i="33"/>
  <c r="I39" i="118"/>
  <c r="J39" s="1"/>
  <c r="L39" s="1"/>
  <c r="M39" s="1"/>
  <c r="O39" i="33"/>
  <c r="AW61" i="1"/>
  <c r="AQ61" s="1"/>
  <c r="C60" i="33"/>
  <c r="AH61" i="1"/>
  <c r="AK61"/>
  <c r="AL61" s="1"/>
  <c r="D60" i="99" s="1"/>
  <c r="E60" s="1"/>
  <c r="H60" s="1"/>
  <c r="AH23" i="1"/>
  <c r="D55" i="120"/>
  <c r="E55" s="1"/>
  <c r="H55" s="1"/>
  <c r="D55" i="119"/>
  <c r="E55" s="1"/>
  <c r="H55" s="1"/>
  <c r="D55" i="118"/>
  <c r="E55" s="1"/>
  <c r="H55" s="1"/>
  <c r="O55" i="33" s="1"/>
  <c r="D55" i="116"/>
  <c r="E55" s="1"/>
  <c r="H55" s="1"/>
  <c r="D55" i="114"/>
  <c r="E55" s="1"/>
  <c r="H55" s="1"/>
  <c r="D55" i="117"/>
  <c r="E55" s="1"/>
  <c r="H55" s="1"/>
  <c r="N55" i="33" s="1"/>
  <c r="D55" i="115"/>
  <c r="E55" s="1"/>
  <c r="H55" s="1"/>
  <c r="D55" i="113"/>
  <c r="E55" s="1"/>
  <c r="H55" s="1"/>
  <c r="J55" i="33" s="1"/>
  <c r="D58" i="120"/>
  <c r="E58" s="1"/>
  <c r="H58" s="1"/>
  <c r="D58" i="119"/>
  <c r="E58" s="1"/>
  <c r="H58" s="1"/>
  <c r="I58" s="1"/>
  <c r="J58" s="1"/>
  <c r="L58" s="1"/>
  <c r="D58" i="118"/>
  <c r="E58" s="1"/>
  <c r="H58" s="1"/>
  <c r="O58" i="33" s="1"/>
  <c r="D58" i="117"/>
  <c r="E58" s="1"/>
  <c r="H58" s="1"/>
  <c r="N58" i="33" s="1"/>
  <c r="D58" i="116"/>
  <c r="E58" s="1"/>
  <c r="H58" s="1"/>
  <c r="D58" i="114"/>
  <c r="E58" s="1"/>
  <c r="H58" s="1"/>
  <c r="D58" i="115"/>
  <c r="E58" s="1"/>
  <c r="H58" s="1"/>
  <c r="L58" i="33" s="1"/>
  <c r="D58" i="113"/>
  <c r="E58" s="1"/>
  <c r="H58" s="1"/>
  <c r="J58" i="33" s="1"/>
  <c r="D45" i="118"/>
  <c r="E45" s="1"/>
  <c r="H45" s="1"/>
  <c r="D45" i="120"/>
  <c r="E45" s="1"/>
  <c r="H45" s="1"/>
  <c r="I45" s="1"/>
  <c r="J45" s="1"/>
  <c r="L45" s="1"/>
  <c r="D45" i="119"/>
  <c r="E45" s="1"/>
  <c r="H45" s="1"/>
  <c r="D45" i="116"/>
  <c r="E45" s="1"/>
  <c r="H45" s="1"/>
  <c r="D45" i="114"/>
  <c r="E45" s="1"/>
  <c r="H45" s="1"/>
  <c r="D45" i="117"/>
  <c r="E45" s="1"/>
  <c r="H45" s="1"/>
  <c r="N45" i="33" s="1"/>
  <c r="D45" i="115"/>
  <c r="E45" s="1"/>
  <c r="H45" s="1"/>
  <c r="D45" i="113"/>
  <c r="E45" s="1"/>
  <c r="H45" s="1"/>
  <c r="J45" i="33" s="1"/>
  <c r="D74" i="120"/>
  <c r="E74" s="1"/>
  <c r="H74" s="1"/>
  <c r="I74" s="1"/>
  <c r="J74" s="1"/>
  <c r="L74" s="1"/>
  <c r="D74" i="119"/>
  <c r="E74" s="1"/>
  <c r="H74" s="1"/>
  <c r="I74" s="1"/>
  <c r="J74" s="1"/>
  <c r="L74" s="1"/>
  <c r="D74" i="118"/>
  <c r="E74" s="1"/>
  <c r="H74" s="1"/>
  <c r="D74" i="117"/>
  <c r="E74" s="1"/>
  <c r="H74" s="1"/>
  <c r="D74" i="116"/>
  <c r="E74" s="1"/>
  <c r="H74" s="1"/>
  <c r="D74" i="114"/>
  <c r="E74" s="1"/>
  <c r="H74" s="1"/>
  <c r="D74" i="115"/>
  <c r="E74" s="1"/>
  <c r="H74" s="1"/>
  <c r="D74" i="113"/>
  <c r="E74" s="1"/>
  <c r="H74" s="1"/>
  <c r="J74" i="33" s="1"/>
  <c r="D47" i="120"/>
  <c r="E47" s="1"/>
  <c r="H47" s="1"/>
  <c r="D47" i="119"/>
  <c r="E47" s="1"/>
  <c r="H47" s="1"/>
  <c r="D47" i="118"/>
  <c r="E47" s="1"/>
  <c r="H47" s="1"/>
  <c r="D47" i="116"/>
  <c r="E47" s="1"/>
  <c r="H47" s="1"/>
  <c r="D47" i="114"/>
  <c r="E47" s="1"/>
  <c r="H47" s="1"/>
  <c r="D47" i="117"/>
  <c r="E47" s="1"/>
  <c r="H47" s="1"/>
  <c r="N47" i="33" s="1"/>
  <c r="D47" i="115"/>
  <c r="E47" s="1"/>
  <c r="H47" s="1"/>
  <c r="D47" i="113"/>
  <c r="E47" s="1"/>
  <c r="H47" s="1"/>
  <c r="J47" i="33" s="1"/>
  <c r="D70" i="120"/>
  <c r="E70" s="1"/>
  <c r="H70" s="1"/>
  <c r="I70" s="1"/>
  <c r="J70" s="1"/>
  <c r="L70" s="1"/>
  <c r="D33"/>
  <c r="E33" s="1"/>
  <c r="H33" s="1"/>
  <c r="I33" s="1"/>
  <c r="J33" s="1"/>
  <c r="L33" s="1"/>
  <c r="D33" i="118"/>
  <c r="E33" s="1"/>
  <c r="H33" s="1"/>
  <c r="D33" i="119"/>
  <c r="E33" s="1"/>
  <c r="H33" s="1"/>
  <c r="I33" s="1"/>
  <c r="J33" s="1"/>
  <c r="L33" s="1"/>
  <c r="D33" i="117"/>
  <c r="E33" s="1"/>
  <c r="H33" s="1"/>
  <c r="N33" i="33" s="1"/>
  <c r="D33" i="116"/>
  <c r="E33" s="1"/>
  <c r="H33" s="1"/>
  <c r="D33" i="115"/>
  <c r="E33" s="1"/>
  <c r="H33" s="1"/>
  <c r="D33" i="114"/>
  <c r="E33" s="1"/>
  <c r="H33" s="1"/>
  <c r="D33" i="113"/>
  <c r="E33" s="1"/>
  <c r="H33" s="1"/>
  <c r="J33" i="33" s="1"/>
  <c r="D8" i="120"/>
  <c r="E8" s="1"/>
  <c r="H8" s="1"/>
  <c r="I8" s="1"/>
  <c r="J8" s="1"/>
  <c r="L8" s="1"/>
  <c r="D8" i="119"/>
  <c r="E8" s="1"/>
  <c r="H8" s="1"/>
  <c r="I8" s="1"/>
  <c r="J8" s="1"/>
  <c r="L8" s="1"/>
  <c r="D8" i="118"/>
  <c r="E8" s="1"/>
  <c r="H8" s="1"/>
  <c r="D8" i="116"/>
  <c r="E8" s="1"/>
  <c r="H8" s="1"/>
  <c r="D8" i="117"/>
  <c r="E8" s="1"/>
  <c r="H8" s="1"/>
  <c r="N8" i="33" s="1"/>
  <c r="D8" i="115"/>
  <c r="E8" s="1"/>
  <c r="H8" s="1"/>
  <c r="D8" i="114"/>
  <c r="E8" s="1"/>
  <c r="H8" s="1"/>
  <c r="D8" i="113"/>
  <c r="E8" s="1"/>
  <c r="H8" s="1"/>
  <c r="J8" i="33" s="1"/>
  <c r="D51" i="120"/>
  <c r="E51" s="1"/>
  <c r="H51" s="1"/>
  <c r="D51" i="119"/>
  <c r="E51" s="1"/>
  <c r="H51" s="1"/>
  <c r="I51" s="1"/>
  <c r="J51" s="1"/>
  <c r="L51" s="1"/>
  <c r="D51" i="118"/>
  <c r="E51" s="1"/>
  <c r="H51" s="1"/>
  <c r="O51" i="33" s="1"/>
  <c r="D51" i="116"/>
  <c r="E51" s="1"/>
  <c r="H51" s="1"/>
  <c r="D51" i="114"/>
  <c r="E51" s="1"/>
  <c r="H51" s="1"/>
  <c r="D51" i="117"/>
  <c r="E51" s="1"/>
  <c r="H51" s="1"/>
  <c r="N51" i="33" s="1"/>
  <c r="D51" i="115"/>
  <c r="E51" s="1"/>
  <c r="H51" s="1"/>
  <c r="L51" i="33" s="1"/>
  <c r="D51" i="113"/>
  <c r="E51" s="1"/>
  <c r="H51" s="1"/>
  <c r="J51" i="33" s="1"/>
  <c r="D18" i="120"/>
  <c r="E18" s="1"/>
  <c r="H18" s="1"/>
  <c r="D18" i="118"/>
  <c r="E18" s="1"/>
  <c r="H18" s="1"/>
  <c r="O18" i="33" s="1"/>
  <c r="D18" i="119"/>
  <c r="E18" s="1"/>
  <c r="H18" s="1"/>
  <c r="I18" s="1"/>
  <c r="J18" s="1"/>
  <c r="L18" s="1"/>
  <c r="D18" i="116"/>
  <c r="E18" s="1"/>
  <c r="H18" s="1"/>
  <c r="D18" i="117"/>
  <c r="E18" s="1"/>
  <c r="H18" s="1"/>
  <c r="N18" i="33" s="1"/>
  <c r="D18" i="115"/>
  <c r="E18" s="1"/>
  <c r="H18" s="1"/>
  <c r="D18" i="114"/>
  <c r="E18" s="1"/>
  <c r="H18" s="1"/>
  <c r="K18" i="33" s="1"/>
  <c r="D18" i="113"/>
  <c r="E18" s="1"/>
  <c r="H18" s="1"/>
  <c r="J18" i="33" s="1"/>
  <c r="D46" i="120"/>
  <c r="E46" s="1"/>
  <c r="H46" s="1"/>
  <c r="D46" i="119"/>
  <c r="E46" s="1"/>
  <c r="H46" s="1"/>
  <c r="D46" i="118"/>
  <c r="E46" s="1"/>
  <c r="H46" s="1"/>
  <c r="D46" i="116"/>
  <c r="E46" s="1"/>
  <c r="H46" s="1"/>
  <c r="D46" i="115"/>
  <c r="E46" s="1"/>
  <c r="H46" s="1"/>
  <c r="D46" i="117"/>
  <c r="E46" s="1"/>
  <c r="H46" s="1"/>
  <c r="N46" i="33" s="1"/>
  <c r="D46" i="114"/>
  <c r="E46" s="1"/>
  <c r="H46" s="1"/>
  <c r="D46" i="113"/>
  <c r="E46" s="1"/>
  <c r="H46" s="1"/>
  <c r="J46" i="33" s="1"/>
  <c r="D65" i="120"/>
  <c r="E65" s="1"/>
  <c r="H65" s="1"/>
  <c r="I65" s="1"/>
  <c r="J65" s="1"/>
  <c r="L65" s="1"/>
  <c r="D65" i="119"/>
  <c r="E65" s="1"/>
  <c r="H65" s="1"/>
  <c r="I65" s="1"/>
  <c r="J65" s="1"/>
  <c r="L65" s="1"/>
  <c r="D65" i="118"/>
  <c r="E65" s="1"/>
  <c r="H65" s="1"/>
  <c r="O65" i="33" s="1"/>
  <c r="D65" i="117"/>
  <c r="E65" s="1"/>
  <c r="H65" s="1"/>
  <c r="D65" i="116"/>
  <c r="E65" s="1"/>
  <c r="H65" s="1"/>
  <c r="D65" i="114"/>
  <c r="E65" s="1"/>
  <c r="H65" s="1"/>
  <c r="D65" i="115"/>
  <c r="E65" s="1"/>
  <c r="H65" s="1"/>
  <c r="D65" i="113"/>
  <c r="E65" s="1"/>
  <c r="H65" s="1"/>
  <c r="J65" i="33" s="1"/>
  <c r="D21" i="120"/>
  <c r="E21" s="1"/>
  <c r="H21" s="1"/>
  <c r="I21" s="1"/>
  <c r="J21" s="1"/>
  <c r="L21" s="1"/>
  <c r="D21" i="118"/>
  <c r="E21" s="1"/>
  <c r="H21" s="1"/>
  <c r="D21" i="119"/>
  <c r="E21" s="1"/>
  <c r="H21" s="1"/>
  <c r="I21" s="1"/>
  <c r="J21" s="1"/>
  <c r="L21" s="1"/>
  <c r="D21" i="116"/>
  <c r="E21" s="1"/>
  <c r="H21" s="1"/>
  <c r="D21" i="115"/>
  <c r="E21" s="1"/>
  <c r="H21" s="1"/>
  <c r="D21" i="117"/>
  <c r="E21" s="1"/>
  <c r="H21" s="1"/>
  <c r="N21" i="33" s="1"/>
  <c r="D21" i="114"/>
  <c r="E21" s="1"/>
  <c r="H21" s="1"/>
  <c r="K21" i="33" s="1"/>
  <c r="D21" i="113"/>
  <c r="E21" s="1"/>
  <c r="H21" s="1"/>
  <c r="J21" i="33" s="1"/>
  <c r="D24" i="120"/>
  <c r="E24" s="1"/>
  <c r="H24" s="1"/>
  <c r="I24" s="1"/>
  <c r="J24" s="1"/>
  <c r="L24" s="1"/>
  <c r="D24" i="118"/>
  <c r="E24" s="1"/>
  <c r="H24" s="1"/>
  <c r="O24" i="33" s="1"/>
  <c r="D24" i="119"/>
  <c r="E24" s="1"/>
  <c r="H24" s="1"/>
  <c r="I24" s="1"/>
  <c r="J24" s="1"/>
  <c r="L24" s="1"/>
  <c r="D24" i="115"/>
  <c r="E24" s="1"/>
  <c r="H24" s="1"/>
  <c r="D24" i="117"/>
  <c r="E24" s="1"/>
  <c r="H24" s="1"/>
  <c r="N24" i="33" s="1"/>
  <c r="D24" i="116"/>
  <c r="E24" s="1"/>
  <c r="H24" s="1"/>
  <c r="D24" i="114"/>
  <c r="E24" s="1"/>
  <c r="H24" s="1"/>
  <c r="K24" i="33" s="1"/>
  <c r="D24" i="113"/>
  <c r="E24" s="1"/>
  <c r="H24" s="1"/>
  <c r="J24" i="33" s="1"/>
  <c r="D63" i="120"/>
  <c r="E63" s="1"/>
  <c r="H63" s="1"/>
  <c r="I63" s="1"/>
  <c r="J63" s="1"/>
  <c r="L63" s="1"/>
  <c r="D63" i="119"/>
  <c r="E63" s="1"/>
  <c r="H63" s="1"/>
  <c r="I63" s="1"/>
  <c r="J63" s="1"/>
  <c r="L63" s="1"/>
  <c r="D63" i="118"/>
  <c r="E63" s="1"/>
  <c r="H63" s="1"/>
  <c r="O63" i="33" s="1"/>
  <c r="D63" i="117"/>
  <c r="E63" s="1"/>
  <c r="H63" s="1"/>
  <c r="D63" i="116"/>
  <c r="E63" s="1"/>
  <c r="H63" s="1"/>
  <c r="D63" i="115"/>
  <c r="E63" s="1"/>
  <c r="H63" s="1"/>
  <c r="D63" i="114"/>
  <c r="E63" s="1"/>
  <c r="H63" s="1"/>
  <c r="D63" i="113"/>
  <c r="E63" s="1"/>
  <c r="H63" s="1"/>
  <c r="J63" i="33" s="1"/>
  <c r="D72" i="120"/>
  <c r="E72" s="1"/>
  <c r="H72" s="1"/>
  <c r="I72" s="1"/>
  <c r="J72" s="1"/>
  <c r="L72" s="1"/>
  <c r="D72" i="119"/>
  <c r="E72" s="1"/>
  <c r="H72" s="1"/>
  <c r="D72" i="118"/>
  <c r="E72" s="1"/>
  <c r="H72" s="1"/>
  <c r="D72" i="117"/>
  <c r="E72" s="1"/>
  <c r="H72" s="1"/>
  <c r="D72" i="116"/>
  <c r="E72" s="1"/>
  <c r="H72" s="1"/>
  <c r="D72" i="115"/>
  <c r="E72" s="1"/>
  <c r="H72" s="1"/>
  <c r="D72" i="114"/>
  <c r="E72" s="1"/>
  <c r="H72" s="1"/>
  <c r="D72" i="113"/>
  <c r="E72" s="1"/>
  <c r="H72" s="1"/>
  <c r="J72" i="33" s="1"/>
  <c r="D38" i="120"/>
  <c r="E38" s="1"/>
  <c r="H38" s="1"/>
  <c r="I38" s="1"/>
  <c r="J38" s="1"/>
  <c r="L38" s="1"/>
  <c r="D38" i="119"/>
  <c r="E38" s="1"/>
  <c r="H38" s="1"/>
  <c r="D38" i="118"/>
  <c r="E38" s="1"/>
  <c r="H38" s="1"/>
  <c r="O38" i="33" s="1"/>
  <c r="D38" i="116"/>
  <c r="E38" s="1"/>
  <c r="H38" s="1"/>
  <c r="D38" i="115"/>
  <c r="E38" s="1"/>
  <c r="H38" s="1"/>
  <c r="D38" i="117"/>
  <c r="E38" s="1"/>
  <c r="H38" s="1"/>
  <c r="N38" i="33" s="1"/>
  <c r="D38" i="114"/>
  <c r="E38" s="1"/>
  <c r="H38" s="1"/>
  <c r="K38" i="33" s="1"/>
  <c r="D38" i="113"/>
  <c r="E38" s="1"/>
  <c r="H38" s="1"/>
  <c r="J38" i="33" s="1"/>
  <c r="D41" i="120"/>
  <c r="E41" s="1"/>
  <c r="H41" s="1"/>
  <c r="I41" s="1"/>
  <c r="J41" s="1"/>
  <c r="L41" s="1"/>
  <c r="D41" i="118"/>
  <c r="E41" s="1"/>
  <c r="H41" s="1"/>
  <c r="D41" i="119"/>
  <c r="E41" s="1"/>
  <c r="H41" s="1"/>
  <c r="I41" s="1"/>
  <c r="J41" s="1"/>
  <c r="L41" s="1"/>
  <c r="D41" i="117"/>
  <c r="E41" s="1"/>
  <c r="H41" s="1"/>
  <c r="N41" i="33" s="1"/>
  <c r="D41" i="116"/>
  <c r="E41" s="1"/>
  <c r="H41" s="1"/>
  <c r="D41" i="115"/>
  <c r="E41" s="1"/>
  <c r="H41" s="1"/>
  <c r="D41" i="114"/>
  <c r="E41" s="1"/>
  <c r="H41" s="1"/>
  <c r="D41" i="113"/>
  <c r="E41" s="1"/>
  <c r="H41" s="1"/>
  <c r="J41" i="33" s="1"/>
  <c r="D49" i="120"/>
  <c r="E49" s="1"/>
  <c r="H49" s="1"/>
  <c r="D49" i="119"/>
  <c r="E49" s="1"/>
  <c r="H49" s="1"/>
  <c r="I49" s="1"/>
  <c r="J49" s="1"/>
  <c r="L49" s="1"/>
  <c r="D49" i="118"/>
  <c r="E49" s="1"/>
  <c r="H49" s="1"/>
  <c r="O49" i="33" s="1"/>
  <c r="D49" i="116"/>
  <c r="E49" s="1"/>
  <c r="H49" s="1"/>
  <c r="D49" i="114"/>
  <c r="E49" s="1"/>
  <c r="H49" s="1"/>
  <c r="D49" i="117"/>
  <c r="E49" s="1"/>
  <c r="H49" s="1"/>
  <c r="N49" i="33" s="1"/>
  <c r="D49" i="115"/>
  <c r="E49" s="1"/>
  <c r="H49" s="1"/>
  <c r="D49" i="113"/>
  <c r="E49" s="1"/>
  <c r="H49" s="1"/>
  <c r="J49" i="33" s="1"/>
  <c r="I17" i="114"/>
  <c r="J17" s="1"/>
  <c r="L17" s="1"/>
  <c r="M17" i="119"/>
  <c r="I40" i="117"/>
  <c r="J40" s="1"/>
  <c r="L40" s="1"/>
  <c r="M40" i="120"/>
  <c r="I40" i="119"/>
  <c r="J40" s="1"/>
  <c r="L40" s="1"/>
  <c r="I50" i="118"/>
  <c r="J50" s="1"/>
  <c r="L50" s="1"/>
  <c r="I50" i="120"/>
  <c r="J50" s="1"/>
  <c r="L50" s="1"/>
  <c r="I39" i="114"/>
  <c r="J39" s="1"/>
  <c r="L39" s="1"/>
  <c r="I39" i="119"/>
  <c r="J39" s="1"/>
  <c r="L39" s="1"/>
  <c r="M39" i="120"/>
  <c r="D59"/>
  <c r="E59" s="1"/>
  <c r="H59" s="1"/>
  <c r="I59" s="1"/>
  <c r="J59" s="1"/>
  <c r="L59" s="1"/>
  <c r="D59" i="119"/>
  <c r="E59" s="1"/>
  <c r="H59" s="1"/>
  <c r="I59" s="1"/>
  <c r="J59" s="1"/>
  <c r="L59" s="1"/>
  <c r="D59" i="118"/>
  <c r="E59" s="1"/>
  <c r="H59" s="1"/>
  <c r="O59" i="33" s="1"/>
  <c r="D59" i="117"/>
  <c r="E59" s="1"/>
  <c r="H59" s="1"/>
  <c r="D59" i="116"/>
  <c r="E59" s="1"/>
  <c r="H59" s="1"/>
  <c r="D59" i="115"/>
  <c r="E59" s="1"/>
  <c r="H59" s="1"/>
  <c r="D59" i="114"/>
  <c r="E59" s="1"/>
  <c r="H59" s="1"/>
  <c r="D59" i="113"/>
  <c r="E59" s="1"/>
  <c r="H59" s="1"/>
  <c r="J59" i="33" s="1"/>
  <c r="D54" i="120"/>
  <c r="E54" s="1"/>
  <c r="H54" s="1"/>
  <c r="D54" i="119"/>
  <c r="E54" s="1"/>
  <c r="H54" s="1"/>
  <c r="I54" s="1"/>
  <c r="J54" s="1"/>
  <c r="L54" s="1"/>
  <c r="D54" i="118"/>
  <c r="E54" s="1"/>
  <c r="H54" s="1"/>
  <c r="O54" i="33" s="1"/>
  <c r="D54" i="117"/>
  <c r="E54" s="1"/>
  <c r="H54" s="1"/>
  <c r="N54" i="33" s="1"/>
  <c r="D54" i="116"/>
  <c r="E54" s="1"/>
  <c r="H54" s="1"/>
  <c r="D54" i="115"/>
  <c r="E54" s="1"/>
  <c r="H54" s="1"/>
  <c r="L54" i="33" s="1"/>
  <c r="D54" i="114"/>
  <c r="E54" s="1"/>
  <c r="H54" s="1"/>
  <c r="D54" i="113"/>
  <c r="E54" s="1"/>
  <c r="H54" s="1"/>
  <c r="J54" i="33" s="1"/>
  <c r="D25" i="120"/>
  <c r="E25" s="1"/>
  <c r="H25" s="1"/>
  <c r="I25" s="1"/>
  <c r="J25" s="1"/>
  <c r="L25" s="1"/>
  <c r="D25" i="118"/>
  <c r="E25" s="1"/>
  <c r="H25" s="1"/>
  <c r="D25" i="119"/>
  <c r="E25" s="1"/>
  <c r="H25" s="1"/>
  <c r="I25" s="1"/>
  <c r="J25" s="1"/>
  <c r="L25" s="1"/>
  <c r="D25" i="117"/>
  <c r="E25" s="1"/>
  <c r="H25" s="1"/>
  <c r="N25" i="33" s="1"/>
  <c r="D25" i="116"/>
  <c r="E25" s="1"/>
  <c r="H25" s="1"/>
  <c r="D25" i="115"/>
  <c r="E25" s="1"/>
  <c r="H25" s="1"/>
  <c r="D25" i="114"/>
  <c r="E25" s="1"/>
  <c r="H25" s="1"/>
  <c r="D25" i="113"/>
  <c r="E25" s="1"/>
  <c r="H25" s="1"/>
  <c r="J25" i="33" s="1"/>
  <c r="D66" i="120"/>
  <c r="E66" s="1"/>
  <c r="H66" s="1"/>
  <c r="I66" s="1"/>
  <c r="J66" s="1"/>
  <c r="L66" s="1"/>
  <c r="D66" i="119"/>
  <c r="E66" s="1"/>
  <c r="H66" s="1"/>
  <c r="D66" i="118"/>
  <c r="E66" s="1"/>
  <c r="H66" s="1"/>
  <c r="O66" i="33" s="1"/>
  <c r="D66" i="117"/>
  <c r="E66" s="1"/>
  <c r="H66" s="1"/>
  <c r="D66" i="116"/>
  <c r="E66" s="1"/>
  <c r="H66" s="1"/>
  <c r="D66" i="114"/>
  <c r="E66" s="1"/>
  <c r="H66" s="1"/>
  <c r="D66" i="115"/>
  <c r="E66" s="1"/>
  <c r="H66" s="1"/>
  <c r="D66" i="113"/>
  <c r="E66" s="1"/>
  <c r="H66" s="1"/>
  <c r="J66" i="33" s="1"/>
  <c r="D52" i="120"/>
  <c r="E52" s="1"/>
  <c r="H52" s="1"/>
  <c r="D52" i="119"/>
  <c r="E52" s="1"/>
  <c r="H52" s="1"/>
  <c r="I52" s="1"/>
  <c r="J52" s="1"/>
  <c r="L52" s="1"/>
  <c r="D52" i="118"/>
  <c r="E52" s="1"/>
  <c r="H52" s="1"/>
  <c r="O52" i="33" s="1"/>
  <c r="D52" i="117"/>
  <c r="E52" s="1"/>
  <c r="H52" s="1"/>
  <c r="N52" i="33" s="1"/>
  <c r="D52" i="116"/>
  <c r="E52" s="1"/>
  <c r="H52" s="1"/>
  <c r="D52" i="115"/>
  <c r="E52" s="1"/>
  <c r="H52" s="1"/>
  <c r="D52" i="114"/>
  <c r="E52" s="1"/>
  <c r="H52" s="1"/>
  <c r="D52" i="113"/>
  <c r="E52" s="1"/>
  <c r="H52" s="1"/>
  <c r="J52" i="33" s="1"/>
  <c r="D11" i="118"/>
  <c r="E11" s="1"/>
  <c r="H11" s="1"/>
  <c r="D11" i="120"/>
  <c r="E11" s="1"/>
  <c r="H11" s="1"/>
  <c r="I11" s="1"/>
  <c r="J11" s="1"/>
  <c r="L11" s="1"/>
  <c r="D11" i="119"/>
  <c r="E11" s="1"/>
  <c r="H11" s="1"/>
  <c r="I11" s="1"/>
  <c r="J11" s="1"/>
  <c r="L11" s="1"/>
  <c r="D11" i="116"/>
  <c r="E11" s="1"/>
  <c r="H11" s="1"/>
  <c r="D11" i="115"/>
  <c r="E11" s="1"/>
  <c r="H11" s="1"/>
  <c r="D11" i="117"/>
  <c r="E11" s="1"/>
  <c r="H11" s="1"/>
  <c r="N11" i="33" s="1"/>
  <c r="D11" i="114"/>
  <c r="E11" s="1"/>
  <c r="H11" s="1"/>
  <c r="D11" i="113"/>
  <c r="E11" s="1"/>
  <c r="H11" s="1"/>
  <c r="J11" i="33" s="1"/>
  <c r="D62" i="120"/>
  <c r="E62" s="1"/>
  <c r="H62" s="1"/>
  <c r="I62" s="1"/>
  <c r="J62" s="1"/>
  <c r="L62" s="1"/>
  <c r="D62" i="119"/>
  <c r="E62" s="1"/>
  <c r="H62" s="1"/>
  <c r="I62" s="1"/>
  <c r="J62" s="1"/>
  <c r="L62" s="1"/>
  <c r="D62" i="118"/>
  <c r="E62" s="1"/>
  <c r="H62" s="1"/>
  <c r="O62" i="33" s="1"/>
  <c r="D62" i="117"/>
  <c r="E62" s="1"/>
  <c r="H62" s="1"/>
  <c r="D62" i="116"/>
  <c r="E62" s="1"/>
  <c r="H62" s="1"/>
  <c r="D62" i="115"/>
  <c r="E62" s="1"/>
  <c r="H62" s="1"/>
  <c r="D76" i="114"/>
  <c r="E76" s="1"/>
  <c r="H76" s="1"/>
  <c r="D62"/>
  <c r="E62" s="1"/>
  <c r="H62" s="1"/>
  <c r="D62" i="113"/>
  <c r="E62" s="1"/>
  <c r="H62" s="1"/>
  <c r="J62" i="33" s="1"/>
  <c r="D13" i="118"/>
  <c r="E13" s="1"/>
  <c r="H13" s="1"/>
  <c r="D13" i="120"/>
  <c r="E13" s="1"/>
  <c r="H13" s="1"/>
  <c r="I13" s="1"/>
  <c r="J13" s="1"/>
  <c r="L13" s="1"/>
  <c r="D13" i="119"/>
  <c r="E13" s="1"/>
  <c r="H13" s="1"/>
  <c r="I13" s="1"/>
  <c r="J13" s="1"/>
  <c r="L13" s="1"/>
  <c r="D13" i="116"/>
  <c r="E13" s="1"/>
  <c r="H13" s="1"/>
  <c r="D13" i="115"/>
  <c r="E13" s="1"/>
  <c r="H13" s="1"/>
  <c r="D13" i="117"/>
  <c r="E13" s="1"/>
  <c r="H13" s="1"/>
  <c r="N13" i="33" s="1"/>
  <c r="D13" i="114"/>
  <c r="E13" s="1"/>
  <c r="H13" s="1"/>
  <c r="K13" i="33" s="1"/>
  <c r="D13" i="113"/>
  <c r="E13" s="1"/>
  <c r="H13" s="1"/>
  <c r="J13" i="33" s="1"/>
  <c r="D36" i="120"/>
  <c r="E36" s="1"/>
  <c r="H36" s="1"/>
  <c r="I36" s="1"/>
  <c r="J36" s="1"/>
  <c r="L36" s="1"/>
  <c r="D36" i="119"/>
  <c r="E36" s="1"/>
  <c r="H36" s="1"/>
  <c r="D36" i="118"/>
  <c r="E36" s="1"/>
  <c r="H36" s="1"/>
  <c r="O36" i="33" s="1"/>
  <c r="D36" i="115"/>
  <c r="E36" s="1"/>
  <c r="H36" s="1"/>
  <c r="D36" i="117"/>
  <c r="E36" s="1"/>
  <c r="H36" s="1"/>
  <c r="N36" i="33" s="1"/>
  <c r="D36" i="116"/>
  <c r="E36" s="1"/>
  <c r="H36" s="1"/>
  <c r="D36" i="114"/>
  <c r="E36" s="1"/>
  <c r="H36" s="1"/>
  <c r="K36" i="33" s="1"/>
  <c r="D36" i="113"/>
  <c r="E36" s="1"/>
  <c r="H36" s="1"/>
  <c r="J36" i="33" s="1"/>
  <c r="D68" i="120"/>
  <c r="E68" s="1"/>
  <c r="H68" s="1"/>
  <c r="I68" s="1"/>
  <c r="J68" s="1"/>
  <c r="L68" s="1"/>
  <c r="D68" i="119"/>
  <c r="E68" s="1"/>
  <c r="H68" s="1"/>
  <c r="D68" i="118"/>
  <c r="E68" s="1"/>
  <c r="H68" s="1"/>
  <c r="D68" i="117"/>
  <c r="E68" s="1"/>
  <c r="H68" s="1"/>
  <c r="D68" i="116"/>
  <c r="E68" s="1"/>
  <c r="H68" s="1"/>
  <c r="D68" i="115"/>
  <c r="E68" s="1"/>
  <c r="H68" s="1"/>
  <c r="D68" i="114"/>
  <c r="E68" s="1"/>
  <c r="H68" s="1"/>
  <c r="D68" i="113"/>
  <c r="E68" s="1"/>
  <c r="H68" s="1"/>
  <c r="J68" i="33" s="1"/>
  <c r="D75" i="120"/>
  <c r="E75" s="1"/>
  <c r="H75" s="1"/>
  <c r="I75" s="1"/>
  <c r="J75" s="1"/>
  <c r="L75" s="1"/>
  <c r="D75" i="119"/>
  <c r="E75" s="1"/>
  <c r="H75" s="1"/>
  <c r="D75" i="118"/>
  <c r="E75" s="1"/>
  <c r="H75" s="1"/>
  <c r="D75" i="117"/>
  <c r="E75" s="1"/>
  <c r="H75" s="1"/>
  <c r="D75" i="116"/>
  <c r="E75" s="1"/>
  <c r="H75" s="1"/>
  <c r="D75" i="115"/>
  <c r="E75" s="1"/>
  <c r="H75" s="1"/>
  <c r="D75" i="114"/>
  <c r="E75" s="1"/>
  <c r="H75" s="1"/>
  <c r="D75" i="113"/>
  <c r="E75" s="1"/>
  <c r="H75" s="1"/>
  <c r="J75" i="33" s="1"/>
  <c r="D73" i="120"/>
  <c r="E73" s="1"/>
  <c r="H73" s="1"/>
  <c r="I73" s="1"/>
  <c r="J73" s="1"/>
  <c r="L73" s="1"/>
  <c r="D73" i="119"/>
  <c r="E73" s="1"/>
  <c r="H73" s="1"/>
  <c r="D73" i="118"/>
  <c r="E73" s="1"/>
  <c r="H73" s="1"/>
  <c r="D73" i="117"/>
  <c r="E73" s="1"/>
  <c r="H73" s="1"/>
  <c r="D73" i="116"/>
  <c r="E73" s="1"/>
  <c r="H73" s="1"/>
  <c r="D73" i="115"/>
  <c r="E73" s="1"/>
  <c r="H73" s="1"/>
  <c r="D73" i="114"/>
  <c r="E73" s="1"/>
  <c r="H73" s="1"/>
  <c r="D73" i="113"/>
  <c r="E73" s="1"/>
  <c r="H73" s="1"/>
  <c r="J73" i="33" s="1"/>
  <c r="D35" i="120"/>
  <c r="E35" s="1"/>
  <c r="H35" s="1"/>
  <c r="I35" s="1"/>
  <c r="J35" s="1"/>
  <c r="L35" s="1"/>
  <c r="D35" i="118"/>
  <c r="E35" s="1"/>
  <c r="H35" s="1"/>
  <c r="D35" i="119"/>
  <c r="E35" s="1"/>
  <c r="H35" s="1"/>
  <c r="D35" i="117"/>
  <c r="E35" s="1"/>
  <c r="H35" s="1"/>
  <c r="N35" i="33" s="1"/>
  <c r="D35" i="116"/>
  <c r="E35" s="1"/>
  <c r="H35" s="1"/>
  <c r="D35" i="115"/>
  <c r="E35" s="1"/>
  <c r="H35" s="1"/>
  <c r="D35" i="114"/>
  <c r="E35" s="1"/>
  <c r="H35" s="1"/>
  <c r="K35" i="33" s="1"/>
  <c r="D35" i="113"/>
  <c r="E35" s="1"/>
  <c r="H35" s="1"/>
  <c r="J35" i="33" s="1"/>
  <c r="D26" i="89"/>
  <c r="E26" s="1"/>
  <c r="G26" s="1"/>
  <c r="D26" i="120"/>
  <c r="E26" s="1"/>
  <c r="H26" s="1"/>
  <c r="I26" s="1"/>
  <c r="J26" s="1"/>
  <c r="L26" s="1"/>
  <c r="D26" i="118"/>
  <c r="E26" s="1"/>
  <c r="H26" s="1"/>
  <c r="O26" i="33" s="1"/>
  <c r="D26" i="119"/>
  <c r="E26" s="1"/>
  <c r="H26" s="1"/>
  <c r="I26" s="1"/>
  <c r="J26" s="1"/>
  <c r="L26" s="1"/>
  <c r="D26" i="115"/>
  <c r="E26" s="1"/>
  <c r="H26" s="1"/>
  <c r="D26" i="117"/>
  <c r="E26" s="1"/>
  <c r="H26" s="1"/>
  <c r="N26" i="33" s="1"/>
  <c r="D26" i="116"/>
  <c r="E26" s="1"/>
  <c r="H26" s="1"/>
  <c r="D26" i="114"/>
  <c r="E26" s="1"/>
  <c r="H26" s="1"/>
  <c r="K26" i="33" s="1"/>
  <c r="D26" i="113"/>
  <c r="E26" s="1"/>
  <c r="H26" s="1"/>
  <c r="J26" i="33" s="1"/>
  <c r="D14" i="118"/>
  <c r="E14" s="1"/>
  <c r="H14" s="1"/>
  <c r="O14" i="33" s="1"/>
  <c r="D14" i="120"/>
  <c r="E14" s="1"/>
  <c r="H14" s="1"/>
  <c r="D14" i="119"/>
  <c r="E14" s="1"/>
  <c r="H14" s="1"/>
  <c r="I14" s="1"/>
  <c r="J14" s="1"/>
  <c r="L14" s="1"/>
  <c r="D14" i="116"/>
  <c r="E14" s="1"/>
  <c r="H14" s="1"/>
  <c r="D14" i="117"/>
  <c r="E14" s="1"/>
  <c r="H14" s="1"/>
  <c r="N14" i="33" s="1"/>
  <c r="D14" i="115"/>
  <c r="E14" s="1"/>
  <c r="H14" s="1"/>
  <c r="D14" i="114"/>
  <c r="E14" s="1"/>
  <c r="H14" s="1"/>
  <c r="K14" i="33" s="1"/>
  <c r="D14" i="113"/>
  <c r="E14" s="1"/>
  <c r="H14" s="1"/>
  <c r="J14" i="33" s="1"/>
  <c r="D37" i="120"/>
  <c r="E37" s="1"/>
  <c r="H37" s="1"/>
  <c r="I37" s="1"/>
  <c r="J37" s="1"/>
  <c r="L37" s="1"/>
  <c r="D37" i="118"/>
  <c r="E37" s="1"/>
  <c r="H37" s="1"/>
  <c r="D37" i="119"/>
  <c r="E37" s="1"/>
  <c r="H37" s="1"/>
  <c r="D37" i="117"/>
  <c r="E37" s="1"/>
  <c r="H37" s="1"/>
  <c r="N37" i="33" s="1"/>
  <c r="D37" i="116"/>
  <c r="E37" s="1"/>
  <c r="H37" s="1"/>
  <c r="D37" i="115"/>
  <c r="E37" s="1"/>
  <c r="H37" s="1"/>
  <c r="D37" i="114"/>
  <c r="E37" s="1"/>
  <c r="H37" s="1"/>
  <c r="K37" i="33" s="1"/>
  <c r="D37" i="113"/>
  <c r="E37" s="1"/>
  <c r="H37" s="1"/>
  <c r="J37" i="33" s="1"/>
  <c r="I17" i="113"/>
  <c r="J17" s="1"/>
  <c r="L17" s="1"/>
  <c r="I17" i="117"/>
  <c r="J17" s="1"/>
  <c r="L17" s="1"/>
  <c r="M17" i="120"/>
  <c r="I40" i="113"/>
  <c r="J40" s="1"/>
  <c r="L40" s="1"/>
  <c r="I40" i="116"/>
  <c r="J40" s="1"/>
  <c r="L40" s="1"/>
  <c r="I50" i="113"/>
  <c r="J50" s="1"/>
  <c r="L50" s="1"/>
  <c r="I50" i="115"/>
  <c r="J50" s="1"/>
  <c r="L50" s="1"/>
  <c r="I50" i="117"/>
  <c r="J50" s="1"/>
  <c r="L50" s="1"/>
  <c r="M50" i="119"/>
  <c r="I39" i="113"/>
  <c r="J39" s="1"/>
  <c r="L39" s="1"/>
  <c r="I39" i="117"/>
  <c r="J39" s="1"/>
  <c r="L39" s="1"/>
  <c r="C40" i="33"/>
  <c r="AW41" i="1"/>
  <c r="AQ41" s="1"/>
  <c r="AB34" i="100"/>
  <c r="AO50" i="1"/>
  <c r="AP50" s="1"/>
  <c r="AH50"/>
  <c r="R45" i="67"/>
  <c r="AB44" i="100"/>
  <c r="R16" i="67"/>
  <c r="AB15" i="100"/>
  <c r="R69" i="67"/>
  <c r="AB68" i="100"/>
  <c r="R37" i="67"/>
  <c r="AB36" i="100"/>
  <c r="R29" i="67"/>
  <c r="AB28" i="100"/>
  <c r="R61" i="67"/>
  <c r="AB60" i="100"/>
  <c r="R55" i="67"/>
  <c r="AB54" i="100"/>
  <c r="AO42" i="1"/>
  <c r="AW42" s="1"/>
  <c r="R12" i="67"/>
  <c r="AB11" i="100"/>
  <c r="R24" i="67"/>
  <c r="AB23" i="100"/>
  <c r="AK31" i="1"/>
  <c r="AL31" s="1"/>
  <c r="R72" i="67"/>
  <c r="AB71" i="100"/>
  <c r="R43" i="67"/>
  <c r="AB42" i="100"/>
  <c r="R63" i="67"/>
  <c r="AB62" i="100"/>
  <c r="R53" i="67"/>
  <c r="AB52" i="100"/>
  <c r="AH42" i="1"/>
  <c r="R44" i="67"/>
  <c r="AB43" i="100"/>
  <c r="R75" i="67"/>
  <c r="AB74" i="100"/>
  <c r="R22" i="67"/>
  <c r="AB21" i="100"/>
  <c r="R73" i="67"/>
  <c r="AB72" i="100"/>
  <c r="R19" i="67"/>
  <c r="AB18" i="100"/>
  <c r="R28" i="67"/>
  <c r="AB27" i="100"/>
  <c r="R31" i="67"/>
  <c r="AB30" i="100"/>
  <c r="R56" i="67"/>
  <c r="AB55" i="100"/>
  <c r="R64" i="67"/>
  <c r="AB63" i="100"/>
  <c r="R71" i="67"/>
  <c r="AB70" i="100"/>
  <c r="R67" i="67"/>
  <c r="AB66" i="100"/>
  <c r="R10" i="67"/>
  <c r="AB9" i="100"/>
  <c r="R20" i="67"/>
  <c r="AB19" i="100"/>
  <c r="R47" i="67"/>
  <c r="AB46" i="100"/>
  <c r="R14" i="67"/>
  <c r="AB13" i="100"/>
  <c r="R32" i="67"/>
  <c r="AB31" i="100"/>
  <c r="R57" i="67"/>
  <c r="AB56" i="100"/>
  <c r="R27" i="67"/>
  <c r="AB26" i="100"/>
  <c r="R48" i="67"/>
  <c r="AB47" i="100"/>
  <c r="R65" i="67"/>
  <c r="AB64" i="100"/>
  <c r="D38" i="85"/>
  <c r="E38" s="1"/>
  <c r="G38" s="1"/>
  <c r="AK35" i="1"/>
  <c r="AL35" s="1"/>
  <c r="D35" i="80"/>
  <c r="E35" s="1"/>
  <c r="H35" s="1"/>
  <c r="D38" i="89"/>
  <c r="E38" s="1"/>
  <c r="G38" s="1"/>
  <c r="D38" i="91"/>
  <c r="E38" s="1"/>
  <c r="G38" s="1"/>
  <c r="F38" i="90"/>
  <c r="G38" s="1"/>
  <c r="I38" s="1"/>
  <c r="D38" i="92"/>
  <c r="E38" s="1"/>
  <c r="G38" s="1"/>
  <c r="D38" i="99"/>
  <c r="E38" s="1"/>
  <c r="H38" s="1"/>
  <c r="D35" i="76"/>
  <c r="E35" s="1"/>
  <c r="H35" s="1"/>
  <c r="D38" i="86"/>
  <c r="E38" s="1"/>
  <c r="G38" s="1"/>
  <c r="D38" i="88"/>
  <c r="E38" s="1"/>
  <c r="G38" s="1"/>
  <c r="D38" i="98"/>
  <c r="E38" s="1"/>
  <c r="H38" s="1"/>
  <c r="AA38" i="33" s="1"/>
  <c r="R39" i="67"/>
  <c r="R23"/>
  <c r="AO35" i="1"/>
  <c r="AW35" s="1"/>
  <c r="AX35" s="1"/>
  <c r="AO43"/>
  <c r="AP43" s="1"/>
  <c r="AH42" i="33" s="1"/>
  <c r="AK10" i="1"/>
  <c r="AL10" s="1"/>
  <c r="AH10"/>
  <c r="AO10"/>
  <c r="AK43"/>
  <c r="AL43" s="1"/>
  <c r="J39" i="90"/>
  <c r="K39" s="1"/>
  <c r="J17"/>
  <c r="K17" s="1"/>
  <c r="AO31" i="1"/>
  <c r="AP31" s="1"/>
  <c r="J50" i="90"/>
  <c r="K50" s="1"/>
  <c r="J40"/>
  <c r="K40" s="1"/>
  <c r="AK24" i="1"/>
  <c r="AL24" s="1"/>
  <c r="AP18"/>
  <c r="AH17" i="33" s="1"/>
  <c r="AH24" i="1"/>
  <c r="AO38"/>
  <c r="AW38" s="1"/>
  <c r="AX38" s="1"/>
  <c r="AH38"/>
  <c r="AP51"/>
  <c r="AH50" i="33" s="1"/>
  <c r="AW51" i="1"/>
  <c r="AV51" s="1"/>
  <c r="C17" i="33"/>
  <c r="C50"/>
  <c r="AW18" i="1"/>
  <c r="AX18" s="1"/>
  <c r="AO44"/>
  <c r="C43" i="33" s="1"/>
  <c r="D45" i="98"/>
  <c r="D45" i="99"/>
  <c r="D49" i="98"/>
  <c r="D49" i="99"/>
  <c r="D11"/>
  <c r="D11" i="98"/>
  <c r="D75"/>
  <c r="D75" i="99"/>
  <c r="D35" i="98"/>
  <c r="D35" i="99"/>
  <c r="D26" i="85"/>
  <c r="E26" s="1"/>
  <c r="G26" s="1"/>
  <c r="D26" i="99"/>
  <c r="E26" s="1"/>
  <c r="H26" s="1"/>
  <c r="D26" i="98"/>
  <c r="E26" s="1"/>
  <c r="H26" s="1"/>
  <c r="AA26" i="33" s="1"/>
  <c r="D55" i="98"/>
  <c r="D55" i="99"/>
  <c r="D54" i="98"/>
  <c r="D54" i="99"/>
  <c r="D74" i="98"/>
  <c r="D74" i="99"/>
  <c r="D47" i="98"/>
  <c r="D47" i="99"/>
  <c r="D33" i="98"/>
  <c r="D33" i="99"/>
  <c r="D65" i="98"/>
  <c r="D65" i="99"/>
  <c r="D21" i="98"/>
  <c r="D21" i="99"/>
  <c r="D63"/>
  <c r="D63" i="98"/>
  <c r="D72"/>
  <c r="D72" i="99"/>
  <c r="D59" i="98"/>
  <c r="D59" i="99"/>
  <c r="D66" i="98"/>
  <c r="D66" i="99"/>
  <c r="D52" i="98"/>
  <c r="D52" i="99"/>
  <c r="D62" i="98"/>
  <c r="D62" i="99"/>
  <c r="D13" i="98"/>
  <c r="D13" i="99"/>
  <c r="D36" i="98"/>
  <c r="D36" i="99"/>
  <c r="D68" i="98"/>
  <c r="D68" i="99"/>
  <c r="D73" i="98"/>
  <c r="D73" i="99"/>
  <c r="D24" i="98"/>
  <c r="D24" i="99"/>
  <c r="D14" i="98"/>
  <c r="D14" i="99"/>
  <c r="D37" i="98"/>
  <c r="D37" i="99"/>
  <c r="D58"/>
  <c r="D58" i="98"/>
  <c r="D25"/>
  <c r="D25" i="99"/>
  <c r="D41" i="98"/>
  <c r="D41" i="99"/>
  <c r="D8" i="88"/>
  <c r="E8" s="1"/>
  <c r="G8" s="1"/>
  <c r="D8" i="98"/>
  <c r="D8" i="99"/>
  <c r="D51" i="98"/>
  <c r="D51" i="99"/>
  <c r="D18" i="98"/>
  <c r="D18" i="99"/>
  <c r="D46" i="98"/>
  <c r="D46" i="99"/>
  <c r="AO73" i="1"/>
  <c r="C72" i="33" s="1"/>
  <c r="D26" i="91"/>
  <c r="E26" s="1"/>
  <c r="G26" s="1"/>
  <c r="AO65" i="1"/>
  <c r="AW65" s="1"/>
  <c r="AH73"/>
  <c r="AK65"/>
  <c r="AL65" s="1"/>
  <c r="AO15"/>
  <c r="AW15" s="1"/>
  <c r="AV15" s="1"/>
  <c r="G24" i="100"/>
  <c r="Z77" i="1"/>
  <c r="AH15"/>
  <c r="AC77"/>
  <c r="E36" i="81" s="1"/>
  <c r="F26" i="90"/>
  <c r="G26" s="1"/>
  <c r="I26" s="1"/>
  <c r="Y26" i="33" s="1"/>
  <c r="D23" i="76"/>
  <c r="E23" s="1"/>
  <c r="H23" s="1"/>
  <c r="D26" i="86"/>
  <c r="E26" s="1"/>
  <c r="G26" s="1"/>
  <c r="D26" i="88"/>
  <c r="E26" s="1"/>
  <c r="G26" s="1"/>
  <c r="D26" i="87"/>
  <c r="E26" s="1"/>
  <c r="G26" s="1"/>
  <c r="D26" i="92"/>
  <c r="E26" s="1"/>
  <c r="G26" s="1"/>
  <c r="D23" i="80"/>
  <c r="E23" s="1"/>
  <c r="H23" s="1"/>
  <c r="AK23" i="1"/>
  <c r="AL23" s="1"/>
  <c r="AH21"/>
  <c r="AK29"/>
  <c r="AL29" s="1"/>
  <c r="L8" i="98"/>
  <c r="AC7" i="72" s="1"/>
  <c r="L54" i="98"/>
  <c r="AC53" i="72" s="1"/>
  <c r="AK28" i="1"/>
  <c r="AL28" s="1"/>
  <c r="AH28"/>
  <c r="G50" i="100"/>
  <c r="AO64" i="1"/>
  <c r="AP64" s="1"/>
  <c r="AD8"/>
  <c r="AD77" s="1"/>
  <c r="D5" i="76"/>
  <c r="E5" s="1"/>
  <c r="H5" s="1"/>
  <c r="D8" i="89"/>
  <c r="E8" s="1"/>
  <c r="G8" s="1"/>
  <c r="G20" i="100"/>
  <c r="G17"/>
  <c r="AK44" i="1"/>
  <c r="AL44" s="1"/>
  <c r="AO29"/>
  <c r="AP29" s="1"/>
  <c r="AK21"/>
  <c r="AL21" s="1"/>
  <c r="AK54"/>
  <c r="AL54" s="1"/>
  <c r="AH54"/>
  <c r="D8" i="85"/>
  <c r="E8" s="1"/>
  <c r="G8" s="1"/>
  <c r="D8" i="86"/>
  <c r="E8" s="1"/>
  <c r="G8" s="1"/>
  <c r="F8" i="90"/>
  <c r="G8" s="1"/>
  <c r="I8" s="1"/>
  <c r="Y8" i="33" s="1"/>
  <c r="AK32" i="1"/>
  <c r="AL32" s="1"/>
  <c r="D8" i="91"/>
  <c r="E8" s="1"/>
  <c r="G8" s="1"/>
  <c r="D8" i="87"/>
  <c r="E8" s="1"/>
  <c r="G8" s="1"/>
  <c r="L17" i="98"/>
  <c r="AC16" i="72" s="1"/>
  <c r="AH32" i="1"/>
  <c r="AH64"/>
  <c r="D5" i="80"/>
  <c r="E5" s="1"/>
  <c r="H5" s="1"/>
  <c r="D8" i="92"/>
  <c r="E8" s="1"/>
  <c r="G8" s="1"/>
  <c r="AV28" i="1"/>
  <c r="AX28"/>
  <c r="AQ74"/>
  <c r="AX74"/>
  <c r="AV74"/>
  <c r="L62" i="99"/>
  <c r="AB61" i="72" s="1"/>
  <c r="F61" i="100"/>
  <c r="G38"/>
  <c r="L39" i="98"/>
  <c r="AC38" i="72" s="1"/>
  <c r="L13" i="98"/>
  <c r="AC12" i="72" s="1"/>
  <c r="G12" i="100"/>
  <c r="J55" i="98"/>
  <c r="K55" s="1"/>
  <c r="J55" i="99"/>
  <c r="K55" s="1"/>
  <c r="D47" i="86"/>
  <c r="E47" s="1"/>
  <c r="G47" s="1"/>
  <c r="D47" i="88"/>
  <c r="E47" s="1"/>
  <c r="G47" s="1"/>
  <c r="D47" i="87"/>
  <c r="E47" s="1"/>
  <c r="G47" s="1"/>
  <c r="D47" i="85"/>
  <c r="E47" s="1"/>
  <c r="G47" s="1"/>
  <c r="D47" i="92"/>
  <c r="E47" s="1"/>
  <c r="G47" s="1"/>
  <c r="D47" i="89"/>
  <c r="E47" s="1"/>
  <c r="G47" s="1"/>
  <c r="F47" i="90"/>
  <c r="G47" s="1"/>
  <c r="I47" s="1"/>
  <c r="Y47" i="33" s="1"/>
  <c r="D44" i="76"/>
  <c r="E44" s="1"/>
  <c r="H44" s="1"/>
  <c r="D44" i="80"/>
  <c r="E44" s="1"/>
  <c r="H44" s="1"/>
  <c r="D47" i="91"/>
  <c r="E47" s="1"/>
  <c r="G47" s="1"/>
  <c r="D62" i="88"/>
  <c r="E62" s="1"/>
  <c r="G62" s="1"/>
  <c r="D62" i="92"/>
  <c r="E62" s="1"/>
  <c r="G62" s="1"/>
  <c r="D62" i="89"/>
  <c r="E62" s="1"/>
  <c r="G62" s="1"/>
  <c r="D62" i="85"/>
  <c r="E62" s="1"/>
  <c r="G62" s="1"/>
  <c r="R62" i="33" s="1"/>
  <c r="D62" i="86"/>
  <c r="E62" s="1"/>
  <c r="G62" s="1"/>
  <c r="F62" i="90"/>
  <c r="G62" s="1"/>
  <c r="I62" s="1"/>
  <c r="Y62" i="33" s="1"/>
  <c r="D59" i="76"/>
  <c r="E59" s="1"/>
  <c r="H59" s="1"/>
  <c r="D62" i="87"/>
  <c r="E62" s="1"/>
  <c r="G62" s="1"/>
  <c r="D59" i="80"/>
  <c r="E59" s="1"/>
  <c r="H59" s="1"/>
  <c r="D62" i="91"/>
  <c r="E62" s="1"/>
  <c r="G62" s="1"/>
  <c r="G35" i="100"/>
  <c r="L36" i="98"/>
  <c r="AC35" i="72" s="1"/>
  <c r="D26" i="67"/>
  <c r="E26" s="1"/>
  <c r="F26" s="1"/>
  <c r="G26" s="1"/>
  <c r="J26" s="1"/>
  <c r="K26" s="1"/>
  <c r="C35" i="33"/>
  <c r="BA36" i="1"/>
  <c r="AW36"/>
  <c r="AP36"/>
  <c r="J36" i="76"/>
  <c r="K36" s="1"/>
  <c r="M36" s="1"/>
  <c r="L62" i="98"/>
  <c r="AC61" i="72" s="1"/>
  <c r="G61" i="100"/>
  <c r="C55" i="33"/>
  <c r="BA56" i="1"/>
  <c r="AP56"/>
  <c r="D59" i="86"/>
  <c r="E59" s="1"/>
  <c r="G59" s="1"/>
  <c r="D59" i="89"/>
  <c r="E59" s="1"/>
  <c r="G59" s="1"/>
  <c r="D59" i="87"/>
  <c r="E59" s="1"/>
  <c r="G59" s="1"/>
  <c r="D59" i="91"/>
  <c r="E59" s="1"/>
  <c r="G59" s="1"/>
  <c r="D56" i="80"/>
  <c r="E56" s="1"/>
  <c r="H56" s="1"/>
  <c r="D59" i="85"/>
  <c r="E59" s="1"/>
  <c r="G59" s="1"/>
  <c r="D59" i="88"/>
  <c r="E59" s="1"/>
  <c r="G59" s="1"/>
  <c r="D56" i="76"/>
  <c r="E56" s="1"/>
  <c r="H56" s="1"/>
  <c r="F59" i="90"/>
  <c r="G59" s="1"/>
  <c r="I59" s="1"/>
  <c r="Y59" i="33" s="1"/>
  <c r="D59" i="92"/>
  <c r="E59" s="1"/>
  <c r="G59" s="1"/>
  <c r="J56" i="99"/>
  <c r="K56" s="1"/>
  <c r="J56" i="98"/>
  <c r="K56" s="1"/>
  <c r="G65" i="100"/>
  <c r="L66" i="98"/>
  <c r="AC65" i="72" s="1"/>
  <c r="F45" i="90"/>
  <c r="G45" s="1"/>
  <c r="I45" s="1"/>
  <c r="Y45" i="33" s="1"/>
  <c r="D45" i="85"/>
  <c r="E45" s="1"/>
  <c r="G45" s="1"/>
  <c r="R45" i="33" s="1"/>
  <c r="D45" i="87"/>
  <c r="E45" s="1"/>
  <c r="G45" s="1"/>
  <c r="D45" i="89"/>
  <c r="E45" s="1"/>
  <c r="G45" s="1"/>
  <c r="D45" i="86"/>
  <c r="E45" s="1"/>
  <c r="G45" s="1"/>
  <c r="D45" i="91"/>
  <c r="E45" s="1"/>
  <c r="G45" s="1"/>
  <c r="D45" i="92"/>
  <c r="E45" s="1"/>
  <c r="G45" s="1"/>
  <c r="D42" i="80"/>
  <c r="E42" s="1"/>
  <c r="H42" s="1"/>
  <c r="D21" i="46"/>
  <c r="E21" s="1"/>
  <c r="D42" i="76"/>
  <c r="E42" s="1"/>
  <c r="H42" s="1"/>
  <c r="D45" i="88"/>
  <c r="E45" s="1"/>
  <c r="G45" s="1"/>
  <c r="D23" i="46"/>
  <c r="E23" s="1"/>
  <c r="H23" s="1"/>
  <c r="D14" i="88"/>
  <c r="E14" s="1"/>
  <c r="G14" s="1"/>
  <c r="D14" i="92"/>
  <c r="E14" s="1"/>
  <c r="G14" s="1"/>
  <c r="D14" i="89"/>
  <c r="E14" s="1"/>
  <c r="G14" s="1"/>
  <c r="D14" i="85"/>
  <c r="E14" s="1"/>
  <c r="G14" s="1"/>
  <c r="R14" i="33" s="1"/>
  <c r="D14" i="86"/>
  <c r="E14" s="1"/>
  <c r="G14" s="1"/>
  <c r="F14" i="90"/>
  <c r="G14" s="1"/>
  <c r="I14" s="1"/>
  <c r="Y14" i="33" s="1"/>
  <c r="D11" i="76"/>
  <c r="E11" s="1"/>
  <c r="H11" s="1"/>
  <c r="D11" i="80"/>
  <c r="E11" s="1"/>
  <c r="H11" s="1"/>
  <c r="D14" i="87"/>
  <c r="E14" s="1"/>
  <c r="G14" s="1"/>
  <c r="D14" i="91"/>
  <c r="E14" s="1"/>
  <c r="G14" s="1"/>
  <c r="AX39" i="1"/>
  <c r="AV39"/>
  <c r="AQ39"/>
  <c r="J29" i="98"/>
  <c r="K29" s="1"/>
  <c r="J29" i="99"/>
  <c r="K29" s="1"/>
  <c r="AP55" i="1"/>
  <c r="BA55"/>
  <c r="AW55"/>
  <c r="C54" i="33"/>
  <c r="D25" i="89"/>
  <c r="E25" s="1"/>
  <c r="G25" s="1"/>
  <c r="D25" i="85"/>
  <c r="E25" s="1"/>
  <c r="G25" s="1"/>
  <c r="D25" i="86"/>
  <c r="E25" s="1"/>
  <c r="G25" s="1"/>
  <c r="D25" i="87"/>
  <c r="E25" s="1"/>
  <c r="G25" s="1"/>
  <c r="F25" i="90"/>
  <c r="G25" s="1"/>
  <c r="I25" s="1"/>
  <c r="Y25" i="33" s="1"/>
  <c r="D25" i="91"/>
  <c r="E25" s="1"/>
  <c r="G25" s="1"/>
  <c r="D22" i="76"/>
  <c r="E22" s="1"/>
  <c r="H22" s="1"/>
  <c r="D25" i="88"/>
  <c r="E25" s="1"/>
  <c r="G25" s="1"/>
  <c r="D22" i="80"/>
  <c r="E22" s="1"/>
  <c r="H22" s="1"/>
  <c r="D25" i="92"/>
  <c r="E25" s="1"/>
  <c r="G25" s="1"/>
  <c r="E17" i="99"/>
  <c r="H17" s="1"/>
  <c r="E17" i="98"/>
  <c r="H17" s="1"/>
  <c r="AA17" i="33" s="1"/>
  <c r="L26" i="99"/>
  <c r="AB25" i="72" s="1"/>
  <c r="F25" i="100"/>
  <c r="J37" i="76"/>
  <c r="K37" s="1"/>
  <c r="M37" s="1"/>
  <c r="D74" i="88"/>
  <c r="E74" s="1"/>
  <c r="G74" s="1"/>
  <c r="D74" i="92"/>
  <c r="E74" s="1"/>
  <c r="G74" s="1"/>
  <c r="D74" i="89"/>
  <c r="E74" s="1"/>
  <c r="G74" s="1"/>
  <c r="D74" i="85"/>
  <c r="E74" s="1"/>
  <c r="G74" s="1"/>
  <c r="R74" i="33" s="1"/>
  <c r="D74" i="86"/>
  <c r="E74" s="1"/>
  <c r="G74" s="1"/>
  <c r="F74" i="90"/>
  <c r="G74" s="1"/>
  <c r="I74" s="1"/>
  <c r="Y74" i="33" s="1"/>
  <c r="D71" i="76"/>
  <c r="E71" s="1"/>
  <c r="H71" s="1"/>
  <c r="D74" i="87"/>
  <c r="E74" s="1"/>
  <c r="G74" s="1"/>
  <c r="D71" i="80"/>
  <c r="E71" s="1"/>
  <c r="H71" s="1"/>
  <c r="D74" i="91"/>
  <c r="E74" s="1"/>
  <c r="G74" s="1"/>
  <c r="L13" i="99"/>
  <c r="AB12" i="72" s="1"/>
  <c r="F12" i="100"/>
  <c r="L25" i="99"/>
  <c r="AB24" i="72" s="1"/>
  <c r="F24" i="100"/>
  <c r="J47" i="99"/>
  <c r="K47" s="1"/>
  <c r="J47" i="98"/>
  <c r="K47" s="1"/>
  <c r="AP48" i="1"/>
  <c r="C47" i="33"/>
  <c r="BA48" i="1"/>
  <c r="L59" i="99"/>
  <c r="AB58" i="72" s="1"/>
  <c r="F58" i="100"/>
  <c r="L30" i="99"/>
  <c r="AB29" i="72" s="1"/>
  <c r="F29" i="100"/>
  <c r="AX54" i="1"/>
  <c r="AV54"/>
  <c r="L49" i="98"/>
  <c r="AC48" i="72" s="1"/>
  <c r="G48" i="100"/>
  <c r="J44" i="98"/>
  <c r="K44" s="1"/>
  <c r="J44" i="99"/>
  <c r="K44" s="1"/>
  <c r="D11" i="86"/>
  <c r="E11" s="1"/>
  <c r="G11" s="1"/>
  <c r="D11" i="92"/>
  <c r="E11" s="1"/>
  <c r="G11" s="1"/>
  <c r="D11" i="87"/>
  <c r="E11" s="1"/>
  <c r="G11" s="1"/>
  <c r="D11" i="85"/>
  <c r="E11" s="1"/>
  <c r="G11" s="1"/>
  <c r="D11" i="91"/>
  <c r="E11" s="1"/>
  <c r="G11" s="1"/>
  <c r="D8" i="80"/>
  <c r="E8" s="1"/>
  <c r="H8" s="1"/>
  <c r="D11" i="89"/>
  <c r="E11" s="1"/>
  <c r="G11" s="1"/>
  <c r="D11" i="88"/>
  <c r="E11" s="1"/>
  <c r="G11" s="1"/>
  <c r="F11" i="90"/>
  <c r="G11" s="1"/>
  <c r="I11" s="1"/>
  <c r="Y11" i="33" s="1"/>
  <c r="D8" i="76"/>
  <c r="E8" s="1"/>
  <c r="H8" s="1"/>
  <c r="F7" i="84"/>
  <c r="F7" i="83"/>
  <c r="J14" i="76"/>
  <c r="K14" s="1"/>
  <c r="M14" s="1"/>
  <c r="L41" i="99"/>
  <c r="AB40" i="72" s="1"/>
  <c r="F40" i="100"/>
  <c r="D51" i="88"/>
  <c r="E51" s="1"/>
  <c r="G51" s="1"/>
  <c r="D51" i="91"/>
  <c r="E51" s="1"/>
  <c r="G51" s="1"/>
  <c r="F51" i="90"/>
  <c r="G51" s="1"/>
  <c r="I51" s="1"/>
  <c r="Y51" i="33" s="1"/>
  <c r="D51" i="92"/>
  <c r="E51" s="1"/>
  <c r="G51" s="1"/>
  <c r="D51" i="86"/>
  <c r="E51" s="1"/>
  <c r="G51" s="1"/>
  <c r="D51" i="85"/>
  <c r="E51" s="1"/>
  <c r="G51" s="1"/>
  <c r="D51" i="87"/>
  <c r="E51" s="1"/>
  <c r="G51" s="1"/>
  <c r="D48" i="76"/>
  <c r="E48" s="1"/>
  <c r="H48" s="1"/>
  <c r="D48" i="80"/>
  <c r="E48" s="1"/>
  <c r="H48" s="1"/>
  <c r="D51" i="89"/>
  <c r="E51" s="1"/>
  <c r="G51" s="1"/>
  <c r="AW63" i="1"/>
  <c r="BA63"/>
  <c r="AP63"/>
  <c r="C62" i="33"/>
  <c r="AH62" i="1"/>
  <c r="AO62"/>
  <c r="AK62"/>
  <c r="AL62" s="1"/>
  <c r="L33" i="99"/>
  <c r="AB32" i="72" s="1"/>
  <c r="F32" i="100"/>
  <c r="L60" i="99"/>
  <c r="AB59" i="72" s="1"/>
  <c r="F59" i="100"/>
  <c r="J16" i="98"/>
  <c r="K16" s="1"/>
  <c r="J16" i="99"/>
  <c r="K16" s="1"/>
  <c r="L36"/>
  <c r="AB35" i="72" s="1"/>
  <c r="F35" i="100"/>
  <c r="D72" i="88"/>
  <c r="E72" s="1"/>
  <c r="G72" s="1"/>
  <c r="D72" i="92"/>
  <c r="E72" s="1"/>
  <c r="G72" s="1"/>
  <c r="D72" i="89"/>
  <c r="E72" s="1"/>
  <c r="G72" s="1"/>
  <c r="D72" i="85"/>
  <c r="E72" s="1"/>
  <c r="G72" s="1"/>
  <c r="R72" i="33" s="1"/>
  <c r="D72" i="86"/>
  <c r="E72" s="1"/>
  <c r="G72" s="1"/>
  <c r="F72" i="90"/>
  <c r="G72" s="1"/>
  <c r="I72" s="1"/>
  <c r="Y72" i="33" s="1"/>
  <c r="D72" i="87"/>
  <c r="E72" s="1"/>
  <c r="G72" s="1"/>
  <c r="D69" i="80"/>
  <c r="E69" s="1"/>
  <c r="H69" s="1"/>
  <c r="D69" i="76"/>
  <c r="E69" s="1"/>
  <c r="H69" s="1"/>
  <c r="D72" i="91"/>
  <c r="E72" s="1"/>
  <c r="G72" s="1"/>
  <c r="AP32" i="1"/>
  <c r="BA32"/>
  <c r="C31" i="33"/>
  <c r="D18" i="86"/>
  <c r="E18" s="1"/>
  <c r="G18" s="1"/>
  <c r="F18" i="90"/>
  <c r="G18" s="1"/>
  <c r="I18" s="1"/>
  <c r="Y18" i="33" s="1"/>
  <c r="D18" i="87"/>
  <c r="E18" s="1"/>
  <c r="G18" s="1"/>
  <c r="D18" i="91"/>
  <c r="E18" s="1"/>
  <c r="G18" s="1"/>
  <c r="D18" i="85"/>
  <c r="E18" s="1"/>
  <c r="G18" s="1"/>
  <c r="D15" i="80"/>
  <c r="E15" s="1"/>
  <c r="H15" s="1"/>
  <c r="D18" i="92"/>
  <c r="E18" s="1"/>
  <c r="G18" s="1"/>
  <c r="D18" i="88"/>
  <c r="E18" s="1"/>
  <c r="G18" s="1"/>
  <c r="D18" i="89"/>
  <c r="E18" s="1"/>
  <c r="G18" s="1"/>
  <c r="D15" i="76"/>
  <c r="E15" s="1"/>
  <c r="H15" s="1"/>
  <c r="AP76" i="1"/>
  <c r="BA76"/>
  <c r="C75" i="33"/>
  <c r="L52" i="98"/>
  <c r="AC51" i="72" s="1"/>
  <c r="G51" i="100"/>
  <c r="D60" i="67"/>
  <c r="E60" s="1"/>
  <c r="F60" s="1"/>
  <c r="G60" s="1"/>
  <c r="J60" s="1"/>
  <c r="K60" s="1"/>
  <c r="L40" i="98"/>
  <c r="AC39" i="72" s="1"/>
  <c r="G39" i="100"/>
  <c r="J72" i="98"/>
  <c r="K72" s="1"/>
  <c r="J72" i="99"/>
  <c r="K72" s="1"/>
  <c r="AO33" i="1"/>
  <c r="AH33"/>
  <c r="AK33"/>
  <c r="AL33" s="1"/>
  <c r="G57" i="100"/>
  <c r="L58" i="98"/>
  <c r="AC57" i="72" s="1"/>
  <c r="L46" i="99"/>
  <c r="AB45" i="72" s="1"/>
  <c r="F45" i="100"/>
  <c r="L34" i="98"/>
  <c r="AC33" i="72" s="1"/>
  <c r="G33" i="100"/>
  <c r="J22" i="98"/>
  <c r="K22" s="1"/>
  <c r="J22" i="99"/>
  <c r="K22" s="1"/>
  <c r="BA66" i="1"/>
  <c r="AP66"/>
  <c r="C65" i="33"/>
  <c r="AW66" i="1"/>
  <c r="BA22"/>
  <c r="AP22"/>
  <c r="C21" i="33"/>
  <c r="AW22" i="1"/>
  <c r="AW23"/>
  <c r="AQ23" s="1"/>
  <c r="BA23"/>
  <c r="AP23"/>
  <c r="C22" i="33"/>
  <c r="L50" i="99"/>
  <c r="AB49" i="72" s="1"/>
  <c r="F49" i="100"/>
  <c r="AO30" i="1"/>
  <c r="AK30"/>
  <c r="AL30" s="1"/>
  <c r="AH30"/>
  <c r="AW59"/>
  <c r="C58" i="33"/>
  <c r="AP59" i="1"/>
  <c r="BA59"/>
  <c r="AP26"/>
  <c r="C25" i="33"/>
  <c r="AW26" i="1"/>
  <c r="BA26"/>
  <c r="G25" i="100"/>
  <c r="L26" i="98"/>
  <c r="AC25" i="72" s="1"/>
  <c r="J20" i="99"/>
  <c r="K20" s="1"/>
  <c r="J20" i="98"/>
  <c r="K20" s="1"/>
  <c r="J61" i="99"/>
  <c r="K61" s="1"/>
  <c r="J61" i="98"/>
  <c r="K61" s="1"/>
  <c r="D63" i="76"/>
  <c r="E63" s="1"/>
  <c r="H63" s="1"/>
  <c r="D66" i="88"/>
  <c r="E66" s="1"/>
  <c r="G66" s="1"/>
  <c r="D66" i="92"/>
  <c r="E66" s="1"/>
  <c r="G66" s="1"/>
  <c r="D66" i="89"/>
  <c r="E66" s="1"/>
  <c r="G66" s="1"/>
  <c r="D66" i="85"/>
  <c r="E66" s="1"/>
  <c r="G66" s="1"/>
  <c r="D66" i="86"/>
  <c r="E66" s="1"/>
  <c r="G66" s="1"/>
  <c r="F66" i="90"/>
  <c r="G66" s="1"/>
  <c r="I66" s="1"/>
  <c r="Y66" i="33" s="1"/>
  <c r="D63" i="80"/>
  <c r="E63" s="1"/>
  <c r="H63" s="1"/>
  <c r="D66" i="87"/>
  <c r="E66" s="1"/>
  <c r="G66" s="1"/>
  <c r="D66" i="91"/>
  <c r="E66" s="1"/>
  <c r="G66" s="1"/>
  <c r="AH58" i="1"/>
  <c r="AO58"/>
  <c r="AK58"/>
  <c r="AL58" s="1"/>
  <c r="BA34"/>
  <c r="C33" i="33"/>
  <c r="AP34" i="1"/>
  <c r="AW34"/>
  <c r="E39" i="99"/>
  <c r="H39" s="1"/>
  <c r="E39" i="98"/>
  <c r="H39" s="1"/>
  <c r="AA39" i="33" s="1"/>
  <c r="D39" i="67"/>
  <c r="E39" s="1"/>
  <c r="F39" s="1"/>
  <c r="G39" s="1"/>
  <c r="J39" s="1"/>
  <c r="K39" s="1"/>
  <c r="D13" i="87"/>
  <c r="E13" s="1"/>
  <c r="G13" s="1"/>
  <c r="D13" i="85"/>
  <c r="E13" s="1"/>
  <c r="G13" s="1"/>
  <c r="R13" i="33" s="1"/>
  <c r="F13" i="90"/>
  <c r="G13" s="1"/>
  <c r="I13" s="1"/>
  <c r="Y13" i="33" s="1"/>
  <c r="D13" i="89"/>
  <c r="E13" s="1"/>
  <c r="G13" s="1"/>
  <c r="D13" i="86"/>
  <c r="E13" s="1"/>
  <c r="G13" s="1"/>
  <c r="D13" i="91"/>
  <c r="E13" s="1"/>
  <c r="G13" s="1"/>
  <c r="D10" i="80"/>
  <c r="E10" s="1"/>
  <c r="H10" s="1"/>
  <c r="D10" i="76"/>
  <c r="E10" s="1"/>
  <c r="H10" s="1"/>
  <c r="D13" i="88"/>
  <c r="E13" s="1"/>
  <c r="G13" s="1"/>
  <c r="D13" i="92"/>
  <c r="E13" s="1"/>
  <c r="G13" s="1"/>
  <c r="AK13" i="1"/>
  <c r="AL13" s="1"/>
  <c r="AO13"/>
  <c r="AH13"/>
  <c r="L11" i="99"/>
  <c r="AB10" i="72" s="1"/>
  <c r="F10" i="100"/>
  <c r="AP19" i="1"/>
  <c r="C18" i="33"/>
  <c r="AW19" i="1"/>
  <c r="BA19"/>
  <c r="L40" i="99"/>
  <c r="AB39" i="72" s="1"/>
  <c r="F39" i="100"/>
  <c r="L35" i="99"/>
  <c r="AB34" i="72" s="1"/>
  <c r="F34" i="100"/>
  <c r="J75" i="99"/>
  <c r="K75" s="1"/>
  <c r="J75" i="98"/>
  <c r="K75" s="1"/>
  <c r="D21" i="88"/>
  <c r="E21" s="1"/>
  <c r="G21" s="1"/>
  <c r="D21" i="85"/>
  <c r="E21" s="1"/>
  <c r="G21" s="1"/>
  <c r="F21" i="90"/>
  <c r="G21" s="1"/>
  <c r="I21" s="1"/>
  <c r="Y21" i="33" s="1"/>
  <c r="D21" i="86"/>
  <c r="E21" s="1"/>
  <c r="G21" s="1"/>
  <c r="D21" i="87"/>
  <c r="E21" s="1"/>
  <c r="G21" s="1"/>
  <c r="D18" i="80"/>
  <c r="E18" s="1"/>
  <c r="H18" s="1"/>
  <c r="D21" i="91"/>
  <c r="E21" s="1"/>
  <c r="G21" s="1"/>
  <c r="D18" i="76"/>
  <c r="E18" s="1"/>
  <c r="H18" s="1"/>
  <c r="D21" i="92"/>
  <c r="E21" s="1"/>
  <c r="G21" s="1"/>
  <c r="D21" i="89"/>
  <c r="E21" s="1"/>
  <c r="G21" s="1"/>
  <c r="G49" i="100"/>
  <c r="L65" i="99"/>
  <c r="AB64" i="72" s="1"/>
  <c r="F64" i="100"/>
  <c r="L17" i="99"/>
  <c r="AB16" i="72" s="1"/>
  <c r="F16" i="100"/>
  <c r="J69" i="99"/>
  <c r="K69" s="1"/>
  <c r="J69" i="98"/>
  <c r="K69" s="1"/>
  <c r="J71"/>
  <c r="K71" s="1"/>
  <c r="J71" i="99"/>
  <c r="K71" s="1"/>
  <c r="J67" i="98"/>
  <c r="K67" s="1"/>
  <c r="J67" i="99"/>
  <c r="K67" s="1"/>
  <c r="D38" i="67"/>
  <c r="E38" s="1"/>
  <c r="F38" s="1"/>
  <c r="G38" s="1"/>
  <c r="J38" s="1"/>
  <c r="K38" s="1"/>
  <c r="J10" i="98"/>
  <c r="K10" s="1"/>
  <c r="J10" i="99"/>
  <c r="K10" s="1"/>
  <c r="J19"/>
  <c r="K19" s="1"/>
  <c r="J19" i="98"/>
  <c r="K19" s="1"/>
  <c r="BA75" i="1"/>
  <c r="C74" i="33"/>
  <c r="AP75" i="1"/>
  <c r="AW75"/>
  <c r="AW56"/>
  <c r="AQ56" s="1"/>
  <c r="AK45"/>
  <c r="AL45" s="1"/>
  <c r="AH45"/>
  <c r="AO45"/>
  <c r="F70" i="90"/>
  <c r="G70" s="1"/>
  <c r="I70" s="1"/>
  <c r="Y70" i="33" s="1"/>
  <c r="G58" i="100"/>
  <c r="L59" i="98"/>
  <c r="AC58" i="72" s="1"/>
  <c r="L30" i="98"/>
  <c r="AC29" i="72" s="1"/>
  <c r="G29" i="100"/>
  <c r="J53" i="98"/>
  <c r="K53" s="1"/>
  <c r="J53" i="99"/>
  <c r="K53" s="1"/>
  <c r="D52" i="86"/>
  <c r="E52" s="1"/>
  <c r="G52" s="1"/>
  <c r="F52" i="90"/>
  <c r="G52" s="1"/>
  <c r="I52" s="1"/>
  <c r="Y52" i="33" s="1"/>
  <c r="D52" i="87"/>
  <c r="E52" s="1"/>
  <c r="G52" s="1"/>
  <c r="D52" i="91"/>
  <c r="E52" s="1"/>
  <c r="G52" s="1"/>
  <c r="D52" i="85"/>
  <c r="E52" s="1"/>
  <c r="G52" s="1"/>
  <c r="D35" i="46"/>
  <c r="E35" s="1"/>
  <c r="H35" s="1"/>
  <c r="D49" i="76"/>
  <c r="E49" s="1"/>
  <c r="H49" s="1"/>
  <c r="D33" i="46"/>
  <c r="E33" s="1"/>
  <c r="D52" i="88"/>
  <c r="E52" s="1"/>
  <c r="G52" s="1"/>
  <c r="D49" i="80"/>
  <c r="E49" s="1"/>
  <c r="H49" s="1"/>
  <c r="D52" i="89"/>
  <c r="E52" s="1"/>
  <c r="G52" s="1"/>
  <c r="D52" i="92"/>
  <c r="E52" s="1"/>
  <c r="G52" s="1"/>
  <c r="L49" i="99"/>
  <c r="AB48" i="72" s="1"/>
  <c r="F48" i="100"/>
  <c r="D33" i="91"/>
  <c r="E33" s="1"/>
  <c r="G33" s="1"/>
  <c r="F33" i="90"/>
  <c r="G33" s="1"/>
  <c r="I33" s="1"/>
  <c r="Y33" i="33" s="1"/>
  <c r="D33" i="92"/>
  <c r="E33" s="1"/>
  <c r="G33" s="1"/>
  <c r="D33" i="86"/>
  <c r="E33" s="1"/>
  <c r="G33" s="1"/>
  <c r="D33" i="87"/>
  <c r="E33" s="1"/>
  <c r="G33" s="1"/>
  <c r="D33" i="85"/>
  <c r="E33" s="1"/>
  <c r="G33" s="1"/>
  <c r="R33" i="33" s="1"/>
  <c r="D30" i="76"/>
  <c r="E30" s="1"/>
  <c r="H30" s="1"/>
  <c r="D33" i="89"/>
  <c r="E33" s="1"/>
  <c r="G33" s="1"/>
  <c r="D30" i="80"/>
  <c r="E30" s="1"/>
  <c r="H30" s="1"/>
  <c r="D33" i="88"/>
  <c r="E33" s="1"/>
  <c r="G33" s="1"/>
  <c r="J24" i="98"/>
  <c r="K24" s="1"/>
  <c r="J24" i="99"/>
  <c r="K24" s="1"/>
  <c r="U77" i="1"/>
  <c r="BB8"/>
  <c r="V8"/>
  <c r="M11" i="101" s="1"/>
  <c r="L54" i="99"/>
  <c r="AB53" i="72" s="1"/>
  <c r="F53" i="100"/>
  <c r="BA52" i="1"/>
  <c r="AW52"/>
  <c r="C51" i="33"/>
  <c r="AP52" i="1"/>
  <c r="AP14"/>
  <c r="C13" i="33"/>
  <c r="BA14" i="1"/>
  <c r="AW14"/>
  <c r="L33" i="98"/>
  <c r="AC32" i="72" s="1"/>
  <c r="G32" i="100"/>
  <c r="J45" i="98"/>
  <c r="K45" s="1"/>
  <c r="J45" i="99"/>
  <c r="K45" s="1"/>
  <c r="L60" i="98"/>
  <c r="AC59" i="72" s="1"/>
  <c r="G59" i="100"/>
  <c r="L38" i="98"/>
  <c r="AC37" i="72" s="1"/>
  <c r="G37" i="100"/>
  <c r="J32" i="98"/>
  <c r="K32" s="1"/>
  <c r="J32" i="99"/>
  <c r="K32" s="1"/>
  <c r="L51"/>
  <c r="AB50" i="72" s="1"/>
  <c r="F50" i="100"/>
  <c r="AV27" i="1"/>
  <c r="AQ27"/>
  <c r="AX27"/>
  <c r="E40" i="99"/>
  <c r="H40" s="1"/>
  <c r="E40" i="98"/>
  <c r="H40" s="1"/>
  <c r="D40" i="67"/>
  <c r="E40" s="1"/>
  <c r="F40" s="1"/>
  <c r="G40" s="1"/>
  <c r="J40" s="1"/>
  <c r="K40" s="1"/>
  <c r="D63" i="88"/>
  <c r="E63" s="1"/>
  <c r="G63" s="1"/>
  <c r="D63" i="85"/>
  <c r="E63" s="1"/>
  <c r="G63" s="1"/>
  <c r="R63" i="33" s="1"/>
  <c r="D63" i="89"/>
  <c r="E63" s="1"/>
  <c r="G63" s="1"/>
  <c r="D63" i="91"/>
  <c r="E63" s="1"/>
  <c r="G63" s="1"/>
  <c r="D60" i="80"/>
  <c r="E60" s="1"/>
  <c r="H60" s="1"/>
  <c r="D63" i="86"/>
  <c r="E63" s="1"/>
  <c r="G63" s="1"/>
  <c r="F63" i="90"/>
  <c r="G63" s="1"/>
  <c r="I63" s="1"/>
  <c r="Y63" i="33" s="1"/>
  <c r="D63" i="87"/>
  <c r="E63" s="1"/>
  <c r="G63" s="1"/>
  <c r="D63" i="92"/>
  <c r="E63" s="1"/>
  <c r="G63" s="1"/>
  <c r="D60" i="76"/>
  <c r="E60" s="1"/>
  <c r="H60" s="1"/>
  <c r="J27" i="98"/>
  <c r="K27" s="1"/>
  <c r="J27" i="99"/>
  <c r="K27" s="1"/>
  <c r="AP54" i="1"/>
  <c r="BA54"/>
  <c r="C53" i="33"/>
  <c r="AQ54" i="1"/>
  <c r="D73" i="91"/>
  <c r="E73" s="1"/>
  <c r="G73" s="1"/>
  <c r="F73" i="90"/>
  <c r="G73" s="1"/>
  <c r="I73" s="1"/>
  <c r="Y73" i="33" s="1"/>
  <c r="D73" i="92"/>
  <c r="E73" s="1"/>
  <c r="G73" s="1"/>
  <c r="D73" i="88"/>
  <c r="E73" s="1"/>
  <c r="G73" s="1"/>
  <c r="D73" i="89"/>
  <c r="E73" s="1"/>
  <c r="G73" s="1"/>
  <c r="D73" i="85"/>
  <c r="E73" s="1"/>
  <c r="G73" s="1"/>
  <c r="D73" i="87"/>
  <c r="E73" s="1"/>
  <c r="G73" s="1"/>
  <c r="D70" i="76"/>
  <c r="E70" s="1"/>
  <c r="H70" s="1"/>
  <c r="D73" i="86"/>
  <c r="E73" s="1"/>
  <c r="G73" s="1"/>
  <c r="D70" i="80"/>
  <c r="E70" s="1"/>
  <c r="H70" s="1"/>
  <c r="D46" i="88"/>
  <c r="E46" s="1"/>
  <c r="G46" s="1"/>
  <c r="D46" i="92"/>
  <c r="E46" s="1"/>
  <c r="G46" s="1"/>
  <c r="D46" i="89"/>
  <c r="E46" s="1"/>
  <c r="G46" s="1"/>
  <c r="D46" i="85"/>
  <c r="E46" s="1"/>
  <c r="G46" s="1"/>
  <c r="D46" i="86"/>
  <c r="E46" s="1"/>
  <c r="G46" s="1"/>
  <c r="F46" i="90"/>
  <c r="G46" s="1"/>
  <c r="I46" s="1"/>
  <c r="Y46" i="33" s="1"/>
  <c r="D46" i="87"/>
  <c r="E46" s="1"/>
  <c r="G46" s="1"/>
  <c r="D43" i="80"/>
  <c r="E43" s="1"/>
  <c r="H43" s="1"/>
  <c r="D46" i="91"/>
  <c r="E46" s="1"/>
  <c r="G46" s="1"/>
  <c r="D43" i="76"/>
  <c r="E43" s="1"/>
  <c r="H43" s="1"/>
  <c r="AK70" i="1"/>
  <c r="AL70" s="1"/>
  <c r="AH70"/>
  <c r="AO70"/>
  <c r="L46" i="98"/>
  <c r="AC45" i="72" s="1"/>
  <c r="G45" i="100"/>
  <c r="L34" i="99"/>
  <c r="AB33" i="72" s="1"/>
  <c r="F33" i="100"/>
  <c r="D35" i="88"/>
  <c r="E35" s="1"/>
  <c r="G35" s="1"/>
  <c r="D35" i="89"/>
  <c r="E35" s="1"/>
  <c r="G35" s="1"/>
  <c r="F35" i="90"/>
  <c r="G35" s="1"/>
  <c r="I35" s="1"/>
  <c r="Y35" i="33" s="1"/>
  <c r="D35" i="92"/>
  <c r="E35" s="1"/>
  <c r="G35" s="1"/>
  <c r="D35" i="86"/>
  <c r="E35" s="1"/>
  <c r="G35" s="1"/>
  <c r="D35" i="85"/>
  <c r="E35" s="1"/>
  <c r="G35" s="1"/>
  <c r="R35" i="33" s="1"/>
  <c r="D35" i="91"/>
  <c r="E35" s="1"/>
  <c r="G35" s="1"/>
  <c r="D32" i="76"/>
  <c r="E32" s="1"/>
  <c r="H32" s="1"/>
  <c r="D32" i="80"/>
  <c r="E32" s="1"/>
  <c r="H32" s="1"/>
  <c r="D35" i="87"/>
  <c r="E35" s="1"/>
  <c r="G35" s="1"/>
  <c r="L68" i="98"/>
  <c r="AC67" i="72" s="1"/>
  <c r="G67" i="100"/>
  <c r="G73"/>
  <c r="L74" i="98"/>
  <c r="AC73" i="72" s="1"/>
  <c r="J73" i="99"/>
  <c r="K73" s="1"/>
  <c r="J73" i="98"/>
  <c r="K73" s="1"/>
  <c r="J48"/>
  <c r="K48" s="1"/>
  <c r="J48" i="99"/>
  <c r="K48" s="1"/>
  <c r="D24" i="88"/>
  <c r="E24" s="1"/>
  <c r="G24" s="1"/>
  <c r="D24" i="92"/>
  <c r="E24" s="1"/>
  <c r="G24" s="1"/>
  <c r="D24" i="89"/>
  <c r="E24" s="1"/>
  <c r="G24" s="1"/>
  <c r="D24" i="85"/>
  <c r="E24" s="1"/>
  <c r="G24" s="1"/>
  <c r="R24" i="33" s="1"/>
  <c r="D24" i="86"/>
  <c r="E24" s="1"/>
  <c r="G24" s="1"/>
  <c r="F24" i="90"/>
  <c r="G24" s="1"/>
  <c r="I24" s="1"/>
  <c r="Y24" i="33" s="1"/>
  <c r="D24" i="91"/>
  <c r="E24" s="1"/>
  <c r="G24" s="1"/>
  <c r="D21" i="80"/>
  <c r="E21" s="1"/>
  <c r="H21" s="1"/>
  <c r="D21" i="76"/>
  <c r="E21" s="1"/>
  <c r="H21" s="1"/>
  <c r="D24" i="87"/>
  <c r="E24" s="1"/>
  <c r="G24" s="1"/>
  <c r="AH49" i="1"/>
  <c r="AK49"/>
  <c r="AL49" s="1"/>
  <c r="AO49"/>
  <c r="L18" i="99"/>
  <c r="AB17" i="72" s="1"/>
  <c r="F17" i="100"/>
  <c r="D55" i="88"/>
  <c r="E55" s="1"/>
  <c r="G55" s="1"/>
  <c r="D55" i="92"/>
  <c r="E55" s="1"/>
  <c r="G55" s="1"/>
  <c r="D55" i="89"/>
  <c r="E55" s="1"/>
  <c r="G55" s="1"/>
  <c r="D55" i="85"/>
  <c r="E55" s="1"/>
  <c r="G55" s="1"/>
  <c r="R55" i="33" s="1"/>
  <c r="D55" i="86"/>
  <c r="E55" s="1"/>
  <c r="G55" s="1"/>
  <c r="F55" i="90"/>
  <c r="G55" s="1"/>
  <c r="I55" s="1"/>
  <c r="Y55" i="33" s="1"/>
  <c r="D55" i="91"/>
  <c r="E55" s="1"/>
  <c r="G55" s="1"/>
  <c r="D52" i="76"/>
  <c r="E52" s="1"/>
  <c r="H52" s="1"/>
  <c r="D52" i="80"/>
  <c r="E52" s="1"/>
  <c r="H52" s="1"/>
  <c r="D55" i="87"/>
  <c r="E55" s="1"/>
  <c r="G55" s="1"/>
  <c r="AH72" i="1"/>
  <c r="AO72"/>
  <c r="AK72"/>
  <c r="AL72" s="1"/>
  <c r="L66" i="99"/>
  <c r="AB65" i="72" s="1"/>
  <c r="F65" i="100"/>
  <c r="L70" i="98"/>
  <c r="AC69" i="72" s="1"/>
  <c r="G69" i="100"/>
  <c r="D49" i="91"/>
  <c r="E49" s="1"/>
  <c r="G49" s="1"/>
  <c r="F49" i="90"/>
  <c r="G49" s="1"/>
  <c r="I49" s="1"/>
  <c r="Y49" i="33" s="1"/>
  <c r="D49" i="92"/>
  <c r="E49" s="1"/>
  <c r="G49" s="1"/>
  <c r="D49" i="86"/>
  <c r="E49" s="1"/>
  <c r="G49" s="1"/>
  <c r="D49" i="87"/>
  <c r="E49" s="1"/>
  <c r="G49" s="1"/>
  <c r="D49" i="85"/>
  <c r="E49" s="1"/>
  <c r="G49" s="1"/>
  <c r="R49" i="33" s="1"/>
  <c r="D49" i="88"/>
  <c r="E49" s="1"/>
  <c r="G49" s="1"/>
  <c r="D46" i="80"/>
  <c r="E46" s="1"/>
  <c r="H46" s="1"/>
  <c r="D46" i="76"/>
  <c r="E46" s="1"/>
  <c r="H46" s="1"/>
  <c r="D49" i="89"/>
  <c r="E49" s="1"/>
  <c r="G49" s="1"/>
  <c r="AQ48" i="1"/>
  <c r="AX48"/>
  <c r="AV48"/>
  <c r="C52" i="33"/>
  <c r="AP53" i="1"/>
  <c r="BA53"/>
  <c r="AW53"/>
  <c r="AQ25"/>
  <c r="AX25"/>
  <c r="AV25"/>
  <c r="BA9"/>
  <c r="AW9"/>
  <c r="AP9"/>
  <c r="C8" i="33"/>
  <c r="L41" i="98"/>
  <c r="AC40" i="72" s="1"/>
  <c r="G40" i="100"/>
  <c r="BA21" i="1"/>
  <c r="AP21"/>
  <c r="C20" i="33"/>
  <c r="E50" i="99"/>
  <c r="H50" s="1"/>
  <c r="E50" i="98"/>
  <c r="H50" s="1"/>
  <c r="AA50" i="33" s="1"/>
  <c r="BA37" i="1"/>
  <c r="C36" i="33"/>
  <c r="AP37" i="1"/>
  <c r="AW37"/>
  <c r="AQ37" s="1"/>
  <c r="D68" i="88"/>
  <c r="E68" s="1"/>
  <c r="G68" s="1"/>
  <c r="D68" i="92"/>
  <c r="E68" s="1"/>
  <c r="G68" s="1"/>
  <c r="D65" i="80"/>
  <c r="E65" s="1"/>
  <c r="H65" s="1"/>
  <c r="D68" i="89"/>
  <c r="E68" s="1"/>
  <c r="G68" s="1"/>
  <c r="D68" i="85"/>
  <c r="E68" s="1"/>
  <c r="G68" s="1"/>
  <c r="D68" i="91"/>
  <c r="E68" s="1"/>
  <c r="G68" s="1"/>
  <c r="D68" i="86"/>
  <c r="E68" s="1"/>
  <c r="G68" s="1"/>
  <c r="D68" i="87"/>
  <c r="E68" s="1"/>
  <c r="G68" s="1"/>
  <c r="F68" i="90"/>
  <c r="G68" s="1"/>
  <c r="I68" s="1"/>
  <c r="Y68" i="33" s="1"/>
  <c r="D65" i="76"/>
  <c r="E65" s="1"/>
  <c r="H65" s="1"/>
  <c r="L52" i="99"/>
  <c r="AB51" i="72" s="1"/>
  <c r="F51" i="100"/>
  <c r="J31" i="98"/>
  <c r="K31" s="1"/>
  <c r="J31" i="99"/>
  <c r="K31" s="1"/>
  <c r="J63"/>
  <c r="K63" s="1"/>
  <c r="J63" i="98"/>
  <c r="K63" s="1"/>
  <c r="AO17" i="1"/>
  <c r="AK17"/>
  <c r="AL17" s="1"/>
  <c r="AH17"/>
  <c r="L58" i="99"/>
  <c r="AB57" i="72" s="1"/>
  <c r="F57" i="100"/>
  <c r="D65" i="88"/>
  <c r="E65" s="1"/>
  <c r="G65" s="1"/>
  <c r="F65" i="90"/>
  <c r="G65" s="1"/>
  <c r="I65" s="1"/>
  <c r="Y65" i="33" s="1"/>
  <c r="D65" i="91"/>
  <c r="E65" s="1"/>
  <c r="G65" s="1"/>
  <c r="D65" i="86"/>
  <c r="E65" s="1"/>
  <c r="G65" s="1"/>
  <c r="D65" i="87"/>
  <c r="E65" s="1"/>
  <c r="G65" s="1"/>
  <c r="D65" i="92"/>
  <c r="E65" s="1"/>
  <c r="G65" s="1"/>
  <c r="D65" i="89"/>
  <c r="E65" s="1"/>
  <c r="G65" s="1"/>
  <c r="D62" i="80"/>
  <c r="E62" s="1"/>
  <c r="H62" s="1"/>
  <c r="D65" i="85"/>
  <c r="E65" s="1"/>
  <c r="G65" s="1"/>
  <c r="R65" i="33" s="1"/>
  <c r="D62" i="76"/>
  <c r="E62" s="1"/>
  <c r="H62" s="1"/>
  <c r="C27" i="33"/>
  <c r="AP28" i="1"/>
  <c r="BA28"/>
  <c r="AQ28"/>
  <c r="AK57"/>
  <c r="AL57" s="1"/>
  <c r="AH57"/>
  <c r="AO57"/>
  <c r="AW60"/>
  <c r="AQ60" s="1"/>
  <c r="BA60"/>
  <c r="AP60"/>
  <c r="C59" i="33"/>
  <c r="D58" i="86"/>
  <c r="E58" s="1"/>
  <c r="G58" s="1"/>
  <c r="F58" i="90"/>
  <c r="G58" s="1"/>
  <c r="I58" s="1"/>
  <c r="Y58" i="33" s="1"/>
  <c r="D58" i="87"/>
  <c r="E58" s="1"/>
  <c r="G58" s="1"/>
  <c r="D58" i="91"/>
  <c r="E58" s="1"/>
  <c r="G58" s="1"/>
  <c r="D55" i="80"/>
  <c r="E55" s="1"/>
  <c r="H55" s="1"/>
  <c r="D58" i="89"/>
  <c r="E58" s="1"/>
  <c r="G58" s="1"/>
  <c r="D55" i="76"/>
  <c r="E55" s="1"/>
  <c r="H55" s="1"/>
  <c r="D58" i="92"/>
  <c r="E58" s="1"/>
  <c r="G58" s="1"/>
  <c r="D58" i="85"/>
  <c r="E58" s="1"/>
  <c r="G58" s="1"/>
  <c r="D58" i="88"/>
  <c r="E58" s="1"/>
  <c r="G58" s="1"/>
  <c r="J64" i="98"/>
  <c r="K64" s="1"/>
  <c r="J64" i="99"/>
  <c r="K64" s="1"/>
  <c r="AW46" i="1"/>
  <c r="AP46"/>
  <c r="BA46"/>
  <c r="C45" i="33"/>
  <c r="J37" i="98"/>
  <c r="K37" s="1"/>
  <c r="J37" i="99"/>
  <c r="K37" s="1"/>
  <c r="L70"/>
  <c r="AB69" i="72" s="1"/>
  <c r="F69" i="100"/>
  <c r="L39" i="99"/>
  <c r="AB38" i="72" s="1"/>
  <c r="F38" i="100"/>
  <c r="D54" i="89"/>
  <c r="E54" s="1"/>
  <c r="G54" s="1"/>
  <c r="D51" i="80"/>
  <c r="E51" s="1"/>
  <c r="H51" s="1"/>
  <c r="D54" i="86"/>
  <c r="E54" s="1"/>
  <c r="G54" s="1"/>
  <c r="D54" i="91"/>
  <c r="E54" s="1"/>
  <c r="G54" s="1"/>
  <c r="D54" i="87"/>
  <c r="E54" s="1"/>
  <c r="G54" s="1"/>
  <c r="D54" i="85"/>
  <c r="E54" s="1"/>
  <c r="G54" s="1"/>
  <c r="D51" i="76"/>
  <c r="E51" s="1"/>
  <c r="H51" s="1"/>
  <c r="D54" i="92"/>
  <c r="E54" s="1"/>
  <c r="G54" s="1"/>
  <c r="D54" i="88"/>
  <c r="E54" s="1"/>
  <c r="G54" s="1"/>
  <c r="F54" i="90"/>
  <c r="G54" s="1"/>
  <c r="I54" s="1"/>
  <c r="Y54" i="33" s="1"/>
  <c r="D37" i="92"/>
  <c r="E37" s="1"/>
  <c r="G37" s="1"/>
  <c r="D37" i="86"/>
  <c r="E37" s="1"/>
  <c r="G37" s="1"/>
  <c r="D37" i="89"/>
  <c r="E37" s="1"/>
  <c r="G37" s="1"/>
  <c r="F37" i="90"/>
  <c r="G37" s="1"/>
  <c r="I37" s="1"/>
  <c r="Y37" i="33" s="1"/>
  <c r="D34" i="76"/>
  <c r="E34" s="1"/>
  <c r="H34" s="1"/>
  <c r="D37" i="91"/>
  <c r="E37" s="1"/>
  <c r="G37" s="1"/>
  <c r="D34" i="80"/>
  <c r="E34" s="1"/>
  <c r="H34" s="1"/>
  <c r="D37" i="87"/>
  <c r="E37" s="1"/>
  <c r="G37" s="1"/>
  <c r="D37" i="85"/>
  <c r="E37" s="1"/>
  <c r="G37" s="1"/>
  <c r="R37" i="33" s="1"/>
  <c r="D37" i="88"/>
  <c r="E37" s="1"/>
  <c r="G37" s="1"/>
  <c r="AW21" i="1"/>
  <c r="L21" i="99"/>
  <c r="AB20" i="72" s="1"/>
  <c r="F20" i="100"/>
  <c r="BA67" i="1"/>
  <c r="AW67"/>
  <c r="C66" i="33"/>
  <c r="AP67" i="1"/>
  <c r="C70" i="33"/>
  <c r="AW71" i="1"/>
  <c r="AP71"/>
  <c r="BA71"/>
  <c r="J14" i="98"/>
  <c r="K14" s="1"/>
  <c r="J14" i="99"/>
  <c r="K14" s="1"/>
  <c r="J28"/>
  <c r="K28" s="1"/>
  <c r="J28" i="98"/>
  <c r="K28" s="1"/>
  <c r="D41" i="91"/>
  <c r="E41" s="1"/>
  <c r="G41" s="1"/>
  <c r="D41" i="88"/>
  <c r="E41" s="1"/>
  <c r="G41" s="1"/>
  <c r="D41" i="92"/>
  <c r="E41" s="1"/>
  <c r="G41" s="1"/>
  <c r="F41" i="90"/>
  <c r="G41" s="1"/>
  <c r="I41" s="1"/>
  <c r="Y41" i="33" s="1"/>
  <c r="D41" i="89"/>
  <c r="E41" s="1"/>
  <c r="G41" s="1"/>
  <c r="D41" i="85"/>
  <c r="E41" s="1"/>
  <c r="G41" s="1"/>
  <c r="R41" i="33" s="1"/>
  <c r="D41" i="87"/>
  <c r="E41" s="1"/>
  <c r="G41" s="1"/>
  <c r="D38" i="76"/>
  <c r="E38" s="1"/>
  <c r="H38" s="1"/>
  <c r="D41" i="86"/>
  <c r="E41" s="1"/>
  <c r="G41" s="1"/>
  <c r="D38" i="80"/>
  <c r="E38" s="1"/>
  <c r="H38" s="1"/>
  <c r="J12" i="98"/>
  <c r="K12" s="1"/>
  <c r="J12" i="99"/>
  <c r="K12" s="1"/>
  <c r="C11" i="33"/>
  <c r="AW12" i="1"/>
  <c r="BA12"/>
  <c r="AP12"/>
  <c r="AV40"/>
  <c r="AX40"/>
  <c r="AQ40"/>
  <c r="D36" i="86"/>
  <c r="E36" s="1"/>
  <c r="G36" s="1"/>
  <c r="F36" i="90"/>
  <c r="G36" s="1"/>
  <c r="I36" s="1"/>
  <c r="Y36" i="33" s="1"/>
  <c r="D36" i="87"/>
  <c r="E36" s="1"/>
  <c r="G36" s="1"/>
  <c r="D36" i="91"/>
  <c r="E36" s="1"/>
  <c r="G36" s="1"/>
  <c r="D33" i="80"/>
  <c r="E33" s="1"/>
  <c r="H33" s="1"/>
  <c r="D36" i="85"/>
  <c r="E36" s="1"/>
  <c r="G36" s="1"/>
  <c r="D33" i="76"/>
  <c r="E33" s="1"/>
  <c r="H33" s="1"/>
  <c r="D36" i="92"/>
  <c r="E36" s="1"/>
  <c r="G36" s="1"/>
  <c r="D36" i="88"/>
  <c r="E36" s="1"/>
  <c r="G36" s="1"/>
  <c r="D36" i="89"/>
  <c r="E36" s="1"/>
  <c r="G36" s="1"/>
  <c r="L38" i="99"/>
  <c r="AB37" i="72" s="1"/>
  <c r="F37" i="100"/>
  <c r="C68" i="33"/>
  <c r="BA69" i="1"/>
  <c r="AW69"/>
  <c r="AP69"/>
  <c r="J57" i="99"/>
  <c r="K57" s="1"/>
  <c r="J57" i="98"/>
  <c r="K57" s="1"/>
  <c r="G10" i="100"/>
  <c r="L11" i="98"/>
  <c r="AC10" i="72" s="1"/>
  <c r="D72" i="80"/>
  <c r="E72" s="1"/>
  <c r="H72" s="1"/>
  <c r="F75" i="90"/>
  <c r="G75" s="1"/>
  <c r="I75" s="1"/>
  <c r="Y75" i="33" s="1"/>
  <c r="D75" i="85"/>
  <c r="E75" s="1"/>
  <c r="G75" s="1"/>
  <c r="D75" i="86"/>
  <c r="E75" s="1"/>
  <c r="G75" s="1"/>
  <c r="D75" i="91"/>
  <c r="E75" s="1"/>
  <c r="G75" s="1"/>
  <c r="D75" i="89"/>
  <c r="E75" s="1"/>
  <c r="G75" s="1"/>
  <c r="D75" i="87"/>
  <c r="E75" s="1"/>
  <c r="G75" s="1"/>
  <c r="D75" i="92"/>
  <c r="E75" s="1"/>
  <c r="G75" s="1"/>
  <c r="D72" i="76"/>
  <c r="E72" s="1"/>
  <c r="H72" s="1"/>
  <c r="D75" i="88"/>
  <c r="E75" s="1"/>
  <c r="G75" s="1"/>
  <c r="AO20" i="1"/>
  <c r="AK20"/>
  <c r="AL20" s="1"/>
  <c r="AH20"/>
  <c r="AW32"/>
  <c r="C73" i="33"/>
  <c r="BA74" i="1"/>
  <c r="AP74"/>
  <c r="AW47"/>
  <c r="AQ47" s="1"/>
  <c r="AP47"/>
  <c r="BA47"/>
  <c r="C46" i="33"/>
  <c r="L35" i="98"/>
  <c r="AC34" i="72" s="1"/>
  <c r="G34" i="100"/>
  <c r="AW76" i="1"/>
  <c r="AO11"/>
  <c r="AK11"/>
  <c r="AL11" s="1"/>
  <c r="AH11"/>
  <c r="L68" i="99"/>
  <c r="AB67" i="72" s="1"/>
  <c r="F67" i="100"/>
  <c r="L74" i="99"/>
  <c r="AB73" i="72" s="1"/>
  <c r="F73" i="100"/>
  <c r="J43" i="98"/>
  <c r="K43" s="1"/>
  <c r="J43" i="99"/>
  <c r="K43" s="1"/>
  <c r="J47" i="76"/>
  <c r="K47" s="1"/>
  <c r="M47" s="1"/>
  <c r="AH68" i="1"/>
  <c r="AO68"/>
  <c r="AK68"/>
  <c r="AL68" s="1"/>
  <c r="BA25"/>
  <c r="C24" i="33"/>
  <c r="AP25" i="1"/>
  <c r="L8" i="99"/>
  <c r="AB7" i="72" s="1"/>
  <c r="F7" i="100"/>
  <c r="L23" i="99"/>
  <c r="AB22" i="72" s="1"/>
  <c r="F22" i="100"/>
  <c r="L42" i="98"/>
  <c r="AC41" i="72" s="1"/>
  <c r="G41" i="100"/>
  <c r="K23" i="98"/>
  <c r="G93" i="81"/>
  <c r="F76" i="84"/>
  <c r="F77" i="83"/>
  <c r="L15" i="67"/>
  <c r="O15" s="1"/>
  <c r="P15" s="1"/>
  <c r="AT16" i="1"/>
  <c r="F19" i="101" s="1"/>
  <c r="G19" s="1"/>
  <c r="AC14" i="100" s="1"/>
  <c r="BE16" i="1"/>
  <c r="BG16" s="1"/>
  <c r="AG16"/>
  <c r="AT8"/>
  <c r="L7" i="67"/>
  <c r="AS77" i="1"/>
  <c r="AT77" s="1"/>
  <c r="F80" i="101" s="1"/>
  <c r="BA24" i="1"/>
  <c r="C23" i="33"/>
  <c r="AP24" i="1"/>
  <c r="AW24"/>
  <c r="D49" i="101" l="1"/>
  <c r="I49" s="1"/>
  <c r="K49" s="1"/>
  <c r="L49" s="1"/>
  <c r="AH45" i="33"/>
  <c r="D62" i="101"/>
  <c r="AH58" i="33"/>
  <c r="D66" i="101"/>
  <c r="I66" s="1"/>
  <c r="K66" s="1"/>
  <c r="L66" s="1"/>
  <c r="AH62" i="33"/>
  <c r="D51" i="101"/>
  <c r="AH47" i="33"/>
  <c r="D67" i="101"/>
  <c r="I67" s="1"/>
  <c r="K67" s="1"/>
  <c r="L67" s="1"/>
  <c r="AH63" i="33"/>
  <c r="D53" i="101"/>
  <c r="AH49" i="33"/>
  <c r="D27" i="101"/>
  <c r="I27" s="1"/>
  <c r="K27" s="1"/>
  <c r="L27" s="1"/>
  <c r="AH23" i="33"/>
  <c r="D77" i="101"/>
  <c r="AH73" i="33"/>
  <c r="D15" i="101"/>
  <c r="I15" s="1"/>
  <c r="K15" s="1"/>
  <c r="L15" s="1"/>
  <c r="AH11" i="33"/>
  <c r="D70" i="101"/>
  <c r="AH66" i="33"/>
  <c r="D40" i="101"/>
  <c r="I40" s="1"/>
  <c r="K40" s="1"/>
  <c r="L40" s="1"/>
  <c r="AH36" i="33"/>
  <c r="D17" i="101"/>
  <c r="AH13" i="33"/>
  <c r="D70" i="92"/>
  <c r="E70" s="1"/>
  <c r="G70" s="1"/>
  <c r="H70" s="1"/>
  <c r="I70" s="1"/>
  <c r="K70" s="1"/>
  <c r="L70" s="1"/>
  <c r="D22" i="101"/>
  <c r="AH18" i="33"/>
  <c r="D37" i="101"/>
  <c r="AH33" i="33"/>
  <c r="D26" i="101"/>
  <c r="AH22" i="33"/>
  <c r="D35" i="101"/>
  <c r="AH31" i="33"/>
  <c r="D59" i="101"/>
  <c r="AH55" i="33"/>
  <c r="D32" i="101"/>
  <c r="AH28" i="33"/>
  <c r="E44" i="101"/>
  <c r="E64"/>
  <c r="D12"/>
  <c r="AH8" i="33"/>
  <c r="D56" i="101"/>
  <c r="AH52" i="33"/>
  <c r="D28" i="101"/>
  <c r="AH24" i="33"/>
  <c r="D72" i="101"/>
  <c r="AH68" i="33"/>
  <c r="D74" i="101"/>
  <c r="AH70" i="33"/>
  <c r="D55" i="101"/>
  <c r="AH51" i="33"/>
  <c r="D29" i="101"/>
  <c r="AH25" i="33"/>
  <c r="D25" i="101"/>
  <c r="AH21" i="33"/>
  <c r="D69" i="101"/>
  <c r="AH65" i="33"/>
  <c r="D43" i="101"/>
  <c r="AH39" i="33"/>
  <c r="D79" i="101"/>
  <c r="AH75" i="33"/>
  <c r="D50" i="101"/>
  <c r="AH46" i="33"/>
  <c r="D63" i="101"/>
  <c r="AH59" i="33"/>
  <c r="D31" i="101"/>
  <c r="AH27" i="33"/>
  <c r="D24" i="101"/>
  <c r="AH20" i="33"/>
  <c r="D57" i="101"/>
  <c r="AH53" i="33"/>
  <c r="D67" i="76"/>
  <c r="E67" s="1"/>
  <c r="H67" s="1"/>
  <c r="D78" i="101"/>
  <c r="I78" s="1"/>
  <c r="K78" s="1"/>
  <c r="L78" s="1"/>
  <c r="AH74" i="33"/>
  <c r="D58" i="101"/>
  <c r="AH54" i="33"/>
  <c r="D39" i="101"/>
  <c r="I39" s="1"/>
  <c r="K39" s="1"/>
  <c r="L39" s="1"/>
  <c r="AH35" i="33"/>
  <c r="D34" i="101"/>
  <c r="AH30" i="33"/>
  <c r="D70" i="116"/>
  <c r="E70" s="1"/>
  <c r="H70" s="1"/>
  <c r="I70" s="1"/>
  <c r="J70" s="1"/>
  <c r="L70" s="1"/>
  <c r="M70" s="1"/>
  <c r="D70" i="86"/>
  <c r="E70" s="1"/>
  <c r="G70" s="1"/>
  <c r="D70" i="88"/>
  <c r="E70" s="1"/>
  <c r="G70" s="1"/>
  <c r="U70" i="33" s="1"/>
  <c r="D70" i="113"/>
  <c r="E70" s="1"/>
  <c r="H70" s="1"/>
  <c r="J70" i="33" s="1"/>
  <c r="D70" i="117"/>
  <c r="E70" s="1"/>
  <c r="H70" s="1"/>
  <c r="I70" s="1"/>
  <c r="J70" s="1"/>
  <c r="L70" s="1"/>
  <c r="M70" s="1"/>
  <c r="D70" i="91"/>
  <c r="E70" s="1"/>
  <c r="G70" s="1"/>
  <c r="D70" i="89"/>
  <c r="E70" s="1"/>
  <c r="G70" s="1"/>
  <c r="D70" i="115"/>
  <c r="E70" s="1"/>
  <c r="H70" s="1"/>
  <c r="I70" s="1"/>
  <c r="J70" s="1"/>
  <c r="L70" s="1"/>
  <c r="M70" s="1"/>
  <c r="D70" i="119"/>
  <c r="E70" s="1"/>
  <c r="H70" s="1"/>
  <c r="I70" s="1"/>
  <c r="J70" s="1"/>
  <c r="L70" s="1"/>
  <c r="D70" i="87"/>
  <c r="E70" s="1"/>
  <c r="G70" s="1"/>
  <c r="D70" i="99"/>
  <c r="E70" s="1"/>
  <c r="H70" s="1"/>
  <c r="D67" i="80"/>
  <c r="E67" s="1"/>
  <c r="H67" s="1"/>
  <c r="D70" i="85"/>
  <c r="E70" s="1"/>
  <c r="G70" s="1"/>
  <c r="H70" s="1"/>
  <c r="I70" s="1"/>
  <c r="K70" s="1"/>
  <c r="D70" i="98"/>
  <c r="D70" i="114"/>
  <c r="E70" s="1"/>
  <c r="H70" s="1"/>
  <c r="I70" s="1"/>
  <c r="J70" s="1"/>
  <c r="L70" s="1"/>
  <c r="M70" s="1"/>
  <c r="T38" i="33"/>
  <c r="I56" i="80"/>
  <c r="Q59" i="33" s="1"/>
  <c r="I38" i="76"/>
  <c r="P41" i="33" s="1"/>
  <c r="I44" i="76"/>
  <c r="P47" i="33" s="1"/>
  <c r="I69" i="80"/>
  <c r="Q72" i="33" s="1"/>
  <c r="I60" i="76"/>
  <c r="P63" i="33" s="1"/>
  <c r="I43" i="80"/>
  <c r="Q46" i="33" s="1"/>
  <c r="I52" i="80"/>
  <c r="Q55" i="33" s="1"/>
  <c r="I30" i="80"/>
  <c r="Q33" i="33" s="1"/>
  <c r="I65" i="76"/>
  <c r="P68" i="33" s="1"/>
  <c r="I22" i="76"/>
  <c r="P25" i="33" s="1"/>
  <c r="I49" i="80"/>
  <c r="Q52" i="33" s="1"/>
  <c r="I10" i="76"/>
  <c r="P13" i="33" s="1"/>
  <c r="I23" i="76"/>
  <c r="P26" i="33" s="1"/>
  <c r="I62" i="76"/>
  <c r="P65" i="33" s="1"/>
  <c r="I21" i="76"/>
  <c r="P24" i="33" s="1"/>
  <c r="I8" i="80"/>
  <c r="Q11" i="33" s="1"/>
  <c r="I67" i="76"/>
  <c r="P70" i="33" s="1"/>
  <c r="I35" i="76"/>
  <c r="P38" i="33" s="1"/>
  <c r="I5" i="76"/>
  <c r="P8" i="33" s="1"/>
  <c r="I38" i="80"/>
  <c r="Q41" i="33" s="1"/>
  <c r="I23" i="80"/>
  <c r="Q26" i="33" s="1"/>
  <c r="I48" i="76"/>
  <c r="P51" i="33" s="1"/>
  <c r="I63" i="76"/>
  <c r="P66" i="33" s="1"/>
  <c r="I32" i="80"/>
  <c r="Q35" i="33" s="1"/>
  <c r="I62" i="80"/>
  <c r="Q65" i="33" s="1"/>
  <c r="I65" i="80"/>
  <c r="Q68" i="33" s="1"/>
  <c r="I10" i="80"/>
  <c r="Q13" i="33" s="1"/>
  <c r="I44" i="80"/>
  <c r="Q47" i="33" s="1"/>
  <c r="I51" i="80"/>
  <c r="Q54" i="33" s="1"/>
  <c r="I60" i="80"/>
  <c r="Q63" i="33" s="1"/>
  <c r="I22" i="80"/>
  <c r="Q25" i="33" s="1"/>
  <c r="I32" i="76"/>
  <c r="P35" i="33" s="1"/>
  <c r="I21" i="80"/>
  <c r="Q24" i="33" s="1"/>
  <c r="I8" i="76"/>
  <c r="P11" i="33" s="1"/>
  <c r="I35" i="80"/>
  <c r="Q38" i="33" s="1"/>
  <c r="I5" i="80"/>
  <c r="Q8" i="33" s="1"/>
  <c r="I46" i="76"/>
  <c r="P49" i="33" s="1"/>
  <c r="I34" i="76"/>
  <c r="P37" i="33" s="1"/>
  <c r="I70" i="76"/>
  <c r="P73" i="33" s="1"/>
  <c r="I48" i="80"/>
  <c r="Q51" i="33" s="1"/>
  <c r="I63" i="80"/>
  <c r="Q66" i="33" s="1"/>
  <c r="I55" i="76"/>
  <c r="P58" i="33" s="1"/>
  <c r="I18" i="76"/>
  <c r="P21" i="33" s="1"/>
  <c r="I15" i="76"/>
  <c r="P18" i="33" s="1"/>
  <c r="I33" i="76"/>
  <c r="P36" i="33" s="1"/>
  <c r="I59" i="76"/>
  <c r="P62" i="33" s="1"/>
  <c r="I71" i="76"/>
  <c r="P74" i="33" s="1"/>
  <c r="I11" i="76"/>
  <c r="P14" i="33" s="1"/>
  <c r="I72" i="76"/>
  <c r="P75" i="33" s="1"/>
  <c r="I42" i="76"/>
  <c r="P45" i="33" s="1"/>
  <c r="I51" i="76"/>
  <c r="P54" i="33" s="1"/>
  <c r="AW31" i="1"/>
  <c r="AQ31" s="1"/>
  <c r="AV61"/>
  <c r="I43" i="76"/>
  <c r="P46" i="33" s="1"/>
  <c r="I49" i="76"/>
  <c r="P52" i="33" s="1"/>
  <c r="I56" i="76"/>
  <c r="P59" i="33" s="1"/>
  <c r="I69" i="76"/>
  <c r="P72" i="33" s="1"/>
  <c r="I52" i="76"/>
  <c r="P55" i="33" s="1"/>
  <c r="I46" i="80"/>
  <c r="Q49" i="33" s="1"/>
  <c r="I34" i="80"/>
  <c r="Q37" i="33" s="1"/>
  <c r="I70" i="80"/>
  <c r="Q73" i="33" s="1"/>
  <c r="I30" i="76"/>
  <c r="P33" i="33" s="1"/>
  <c r="I55" i="80"/>
  <c r="Q58" i="33" s="1"/>
  <c r="I18" i="80"/>
  <c r="Q21" i="33" s="1"/>
  <c r="I15" i="80"/>
  <c r="Q18" i="33" s="1"/>
  <c r="I33" i="80"/>
  <c r="Q36" i="33" s="1"/>
  <c r="I59" i="80"/>
  <c r="Q62" i="33" s="1"/>
  <c r="I71" i="80"/>
  <c r="Q74" i="33" s="1"/>
  <c r="I11" i="80"/>
  <c r="Q14" i="33" s="1"/>
  <c r="I72" i="80"/>
  <c r="Q75" i="33" s="1"/>
  <c r="I42" i="80"/>
  <c r="Q45" i="33" s="1"/>
  <c r="D60" i="119"/>
  <c r="E60" s="1"/>
  <c r="H60" s="1"/>
  <c r="I60" s="1"/>
  <c r="J60" s="1"/>
  <c r="L60" s="1"/>
  <c r="M60" s="1"/>
  <c r="AV41" i="1"/>
  <c r="D60" i="87"/>
  <c r="E60" s="1"/>
  <c r="G60" s="1"/>
  <c r="H60" s="1"/>
  <c r="I60" s="1"/>
  <c r="K60" s="1"/>
  <c r="F60" i="90"/>
  <c r="G60" s="1"/>
  <c r="I60" s="1"/>
  <c r="Y60" i="33" s="1"/>
  <c r="D60" i="115"/>
  <c r="E60" s="1"/>
  <c r="H60" s="1"/>
  <c r="L60" i="33" s="1"/>
  <c r="G9" i="100"/>
  <c r="D15" i="46"/>
  <c r="E15" s="1"/>
  <c r="H15" s="1"/>
  <c r="L15" s="1"/>
  <c r="N15" s="1"/>
  <c r="S39" i="67"/>
  <c r="Y38" i="72" s="1"/>
  <c r="D34" i="98"/>
  <c r="E34" s="1"/>
  <c r="H34" s="1"/>
  <c r="AA34" i="33" s="1"/>
  <c r="S48" i="67"/>
  <c r="Y47" i="72" s="1"/>
  <c r="S27" i="67"/>
  <c r="Y26" i="72" s="1"/>
  <c r="S57" i="67"/>
  <c r="Y56" i="72" s="1"/>
  <c r="S32" i="67"/>
  <c r="Y31" i="72" s="1"/>
  <c r="S14" i="67"/>
  <c r="Y13" i="72" s="1"/>
  <c r="S47" i="67"/>
  <c r="Y46" i="72" s="1"/>
  <c r="S20" i="67"/>
  <c r="Y19" i="72" s="1"/>
  <c r="S53" i="67"/>
  <c r="Y52" i="72" s="1"/>
  <c r="S24" i="67"/>
  <c r="Y23" i="72" s="1"/>
  <c r="S12" i="67"/>
  <c r="Y11" i="72" s="1"/>
  <c r="S16" i="67"/>
  <c r="Y15" i="72" s="1"/>
  <c r="S45" i="67"/>
  <c r="Y44" i="72" s="1"/>
  <c r="D60" i="118"/>
  <c r="E60" s="1"/>
  <c r="H60" s="1"/>
  <c r="O60" i="33" s="1"/>
  <c r="J7" i="99"/>
  <c r="K7" s="1"/>
  <c r="F11" i="101"/>
  <c r="G11" s="1"/>
  <c r="S23" i="67"/>
  <c r="S65"/>
  <c r="Y64" i="72" s="1"/>
  <c r="S10" i="67"/>
  <c r="Y9" i="72" s="1"/>
  <c r="S67" i="67"/>
  <c r="Y66" i="72" s="1"/>
  <c r="S71" i="67"/>
  <c r="Y70" i="72" s="1"/>
  <c r="S64" i="67"/>
  <c r="Y63" i="72" s="1"/>
  <c r="S56" i="67"/>
  <c r="Y55" i="72" s="1"/>
  <c r="S31" i="67"/>
  <c r="Y30" i="72" s="1"/>
  <c r="S28" i="67"/>
  <c r="Y27" i="72" s="1"/>
  <c r="S19" i="67"/>
  <c r="Y18" i="72" s="1"/>
  <c r="S73" i="67"/>
  <c r="Y72" i="72" s="1"/>
  <c r="S22" i="67"/>
  <c r="Y21" i="72" s="1"/>
  <c r="S75" i="67"/>
  <c r="Y74" i="72" s="1"/>
  <c r="S44" i="67"/>
  <c r="Y43" i="72" s="1"/>
  <c r="S63" i="67"/>
  <c r="Y62" i="72" s="1"/>
  <c r="S43" i="67"/>
  <c r="Y42" i="72" s="1"/>
  <c r="S72" i="67"/>
  <c r="Y71" i="72" s="1"/>
  <c r="S55" i="67"/>
  <c r="Y54" i="72" s="1"/>
  <c r="S61" i="67"/>
  <c r="Y60" i="72" s="1"/>
  <c r="S29" i="67"/>
  <c r="Y28" i="72" s="1"/>
  <c r="S37" i="67"/>
  <c r="Y36" i="72" s="1"/>
  <c r="S69" i="67"/>
  <c r="Y68" i="72" s="1"/>
  <c r="I74" i="101"/>
  <c r="K74" s="1"/>
  <c r="L74" s="1"/>
  <c r="E74"/>
  <c r="I63"/>
  <c r="K63" s="1"/>
  <c r="L63" s="1"/>
  <c r="E63"/>
  <c r="I57"/>
  <c r="K57" s="1"/>
  <c r="L57" s="1"/>
  <c r="E57"/>
  <c r="E78"/>
  <c r="I62"/>
  <c r="K62" s="1"/>
  <c r="L62" s="1"/>
  <c r="E62"/>
  <c r="I69"/>
  <c r="K69" s="1"/>
  <c r="L69" s="1"/>
  <c r="E69"/>
  <c r="I58"/>
  <c r="K58" s="1"/>
  <c r="L58" s="1"/>
  <c r="E58"/>
  <c r="I59"/>
  <c r="K59" s="1"/>
  <c r="L59" s="1"/>
  <c r="E59"/>
  <c r="D50" i="67"/>
  <c r="E50" s="1"/>
  <c r="F50" s="1"/>
  <c r="G50" s="1"/>
  <c r="J50" s="1"/>
  <c r="K50" s="1"/>
  <c r="W50" s="1"/>
  <c r="D54" i="101"/>
  <c r="P64"/>
  <c r="O64"/>
  <c r="Q64" s="1"/>
  <c r="I50"/>
  <c r="K50" s="1"/>
  <c r="L50" s="1"/>
  <c r="E50"/>
  <c r="I77"/>
  <c r="K77" s="1"/>
  <c r="L77" s="1"/>
  <c r="E77"/>
  <c r="I72"/>
  <c r="K72" s="1"/>
  <c r="L72" s="1"/>
  <c r="E72"/>
  <c r="I70"/>
  <c r="K70" s="1"/>
  <c r="L70" s="1"/>
  <c r="E70"/>
  <c r="I56"/>
  <c r="K56" s="1"/>
  <c r="L56" s="1"/>
  <c r="E56"/>
  <c r="I55"/>
  <c r="K55" s="1"/>
  <c r="L55" s="1"/>
  <c r="E55"/>
  <c r="I79"/>
  <c r="K79" s="1"/>
  <c r="L79" s="1"/>
  <c r="E79"/>
  <c r="I51"/>
  <c r="K51" s="1"/>
  <c r="L51" s="1"/>
  <c r="E51"/>
  <c r="I53"/>
  <c r="K53" s="1"/>
  <c r="L53" s="1"/>
  <c r="E53"/>
  <c r="AB60" i="33"/>
  <c r="H64" i="101"/>
  <c r="I31"/>
  <c r="K31" s="1"/>
  <c r="L31" s="1"/>
  <c r="E31"/>
  <c r="I24"/>
  <c r="K24" s="1"/>
  <c r="L24" s="1"/>
  <c r="E24"/>
  <c r="I17"/>
  <c r="K17" s="1"/>
  <c r="L17" s="1"/>
  <c r="E17"/>
  <c r="I29"/>
  <c r="K29" s="1"/>
  <c r="L29" s="1"/>
  <c r="E29"/>
  <c r="I25"/>
  <c r="K25" s="1"/>
  <c r="L25" s="1"/>
  <c r="E25"/>
  <c r="I35"/>
  <c r="K35" s="1"/>
  <c r="L35" s="1"/>
  <c r="E35"/>
  <c r="I34"/>
  <c r="K34" s="1"/>
  <c r="L34" s="1"/>
  <c r="E34"/>
  <c r="O44"/>
  <c r="Q44" s="1"/>
  <c r="P44"/>
  <c r="O42"/>
  <c r="Q42" s="1"/>
  <c r="P42"/>
  <c r="O30"/>
  <c r="Q30" s="1"/>
  <c r="P30"/>
  <c r="I28"/>
  <c r="K28" s="1"/>
  <c r="L28" s="1"/>
  <c r="E28"/>
  <c r="I22"/>
  <c r="K22" s="1"/>
  <c r="L22" s="1"/>
  <c r="E22"/>
  <c r="I37"/>
  <c r="K37" s="1"/>
  <c r="L37" s="1"/>
  <c r="E37"/>
  <c r="I26"/>
  <c r="K26" s="1"/>
  <c r="L26" s="1"/>
  <c r="E26"/>
  <c r="I32"/>
  <c r="K32" s="1"/>
  <c r="L32" s="1"/>
  <c r="E32"/>
  <c r="D17" i="67"/>
  <c r="E17" s="1"/>
  <c r="F17" s="1"/>
  <c r="G17" s="1"/>
  <c r="J17" s="1"/>
  <c r="K17" s="1"/>
  <c r="W17" s="1"/>
  <c r="D21" i="101"/>
  <c r="AB40" i="33"/>
  <c r="H44" i="101"/>
  <c r="AB38" i="33"/>
  <c r="H42" i="101"/>
  <c r="AB26" i="33"/>
  <c r="H30" i="101"/>
  <c r="I12"/>
  <c r="K12" s="1"/>
  <c r="L12" s="1"/>
  <c r="E12"/>
  <c r="D42" i="67"/>
  <c r="E42" s="1"/>
  <c r="F42" s="1"/>
  <c r="G42" s="1"/>
  <c r="J42" s="1"/>
  <c r="D46" i="101"/>
  <c r="AX61" i="1"/>
  <c r="AW50"/>
  <c r="AQ50" s="1"/>
  <c r="BA50"/>
  <c r="C49" i="33"/>
  <c r="D34" i="87"/>
  <c r="E34" s="1"/>
  <c r="G34" s="1"/>
  <c r="H34" s="1"/>
  <c r="I34" s="1"/>
  <c r="K34" s="1"/>
  <c r="H75" i="88"/>
  <c r="I75" s="1"/>
  <c r="K75" s="1"/>
  <c r="L75" s="1"/>
  <c r="U75" i="33"/>
  <c r="H75" i="92"/>
  <c r="I75" s="1"/>
  <c r="K75" s="1"/>
  <c r="L75" s="1"/>
  <c r="X75" i="33"/>
  <c r="H75" i="89"/>
  <c r="I75" s="1"/>
  <c r="K75" s="1"/>
  <c r="L75" s="1"/>
  <c r="V75" i="33"/>
  <c r="H75" i="86"/>
  <c r="I75" s="1"/>
  <c r="K75" s="1"/>
  <c r="L75" s="1"/>
  <c r="S75" i="33"/>
  <c r="H36" i="89"/>
  <c r="I36" s="1"/>
  <c r="K36" s="1"/>
  <c r="L36" s="1"/>
  <c r="V36" i="33"/>
  <c r="H36" i="92"/>
  <c r="I36" s="1"/>
  <c r="K36" s="1"/>
  <c r="L36" s="1"/>
  <c r="X36" i="33"/>
  <c r="H36" i="85"/>
  <c r="I36" s="1"/>
  <c r="K36" s="1"/>
  <c r="R36" i="33"/>
  <c r="H36" i="91"/>
  <c r="I36" s="1"/>
  <c r="K36" s="1"/>
  <c r="L36" s="1"/>
  <c r="W36" i="33"/>
  <c r="H41" i="86"/>
  <c r="I41" s="1"/>
  <c r="K41" s="1"/>
  <c r="L41" s="1"/>
  <c r="S41" i="33"/>
  <c r="H41" i="87"/>
  <c r="I41" s="1"/>
  <c r="K41" s="1"/>
  <c r="L41" s="1"/>
  <c r="T41" i="33"/>
  <c r="H41" i="89"/>
  <c r="I41" s="1"/>
  <c r="K41" s="1"/>
  <c r="L41" s="1"/>
  <c r="V41" i="33"/>
  <c r="H41" i="92"/>
  <c r="I41" s="1"/>
  <c r="K41" s="1"/>
  <c r="L41" s="1"/>
  <c r="X41" i="33"/>
  <c r="H41" i="91"/>
  <c r="I41" s="1"/>
  <c r="K41" s="1"/>
  <c r="L41" s="1"/>
  <c r="W41" i="33"/>
  <c r="J34" i="80"/>
  <c r="K34" s="1"/>
  <c r="M34" s="1"/>
  <c r="N34" s="1"/>
  <c r="H37" i="89"/>
  <c r="I37" s="1"/>
  <c r="K37" s="1"/>
  <c r="L37" s="1"/>
  <c r="V37" i="33"/>
  <c r="H37" i="92"/>
  <c r="I37" s="1"/>
  <c r="K37" s="1"/>
  <c r="L37" s="1"/>
  <c r="X37" i="33"/>
  <c r="H54" i="88"/>
  <c r="I54" s="1"/>
  <c r="K54" s="1"/>
  <c r="L54" s="1"/>
  <c r="U54" i="33"/>
  <c r="H54" i="87"/>
  <c r="I54" s="1"/>
  <c r="K54" s="1"/>
  <c r="L54" s="1"/>
  <c r="T54" i="33"/>
  <c r="H54" i="86"/>
  <c r="I54" s="1"/>
  <c r="K54" s="1"/>
  <c r="L54" s="1"/>
  <c r="S54" i="33"/>
  <c r="H54" i="89"/>
  <c r="I54" s="1"/>
  <c r="K54" s="1"/>
  <c r="L54" s="1"/>
  <c r="V54" i="33"/>
  <c r="H58" i="88"/>
  <c r="I58" s="1"/>
  <c r="K58" s="1"/>
  <c r="L58" s="1"/>
  <c r="U58" i="33"/>
  <c r="H58" i="92"/>
  <c r="I58" s="1"/>
  <c r="K58" s="1"/>
  <c r="L58" s="1"/>
  <c r="X58" i="33"/>
  <c r="H58" i="89"/>
  <c r="I58" s="1"/>
  <c r="K58" s="1"/>
  <c r="L58" s="1"/>
  <c r="V58" i="33"/>
  <c r="H58" i="91"/>
  <c r="I58" s="1"/>
  <c r="K58" s="1"/>
  <c r="L58" s="1"/>
  <c r="W58" i="33"/>
  <c r="H65" i="89"/>
  <c r="I65" s="1"/>
  <c r="K65" s="1"/>
  <c r="L65" s="1"/>
  <c r="V65" i="33"/>
  <c r="H65" i="87"/>
  <c r="I65" s="1"/>
  <c r="K65" s="1"/>
  <c r="L65" s="1"/>
  <c r="T65" i="33"/>
  <c r="H65" i="91"/>
  <c r="I65" s="1"/>
  <c r="K65" s="1"/>
  <c r="L65" s="1"/>
  <c r="W65" i="33"/>
  <c r="H65" i="88"/>
  <c r="I65" s="1"/>
  <c r="K65" s="1"/>
  <c r="L65" s="1"/>
  <c r="U65" i="33"/>
  <c r="H68" i="87"/>
  <c r="I68" s="1"/>
  <c r="K68" s="1"/>
  <c r="L68" s="1"/>
  <c r="T68" i="33"/>
  <c r="H68" i="91"/>
  <c r="I68" s="1"/>
  <c r="K68" s="1"/>
  <c r="L68" s="1"/>
  <c r="W68" i="33"/>
  <c r="H68" i="89"/>
  <c r="I68" s="1"/>
  <c r="K68" s="1"/>
  <c r="L68" s="1"/>
  <c r="V68" i="33"/>
  <c r="H68" i="92"/>
  <c r="I68" s="1"/>
  <c r="K68" s="1"/>
  <c r="L68" s="1"/>
  <c r="X68" i="33"/>
  <c r="H49" i="88"/>
  <c r="I49" s="1"/>
  <c r="K49" s="1"/>
  <c r="L49" s="1"/>
  <c r="U49" i="33"/>
  <c r="H49" i="87"/>
  <c r="I49" s="1"/>
  <c r="K49" s="1"/>
  <c r="L49" s="1"/>
  <c r="T49" i="33"/>
  <c r="H49" i="92"/>
  <c r="I49" s="1"/>
  <c r="K49" s="1"/>
  <c r="L49" s="1"/>
  <c r="X49" i="33"/>
  <c r="H49" i="91"/>
  <c r="I49" s="1"/>
  <c r="K49" s="1"/>
  <c r="L49" s="1"/>
  <c r="W49" i="33"/>
  <c r="H55" i="87"/>
  <c r="I55" s="1"/>
  <c r="K55" s="1"/>
  <c r="L55" s="1"/>
  <c r="T55" i="33"/>
  <c r="H55" i="92"/>
  <c r="I55" s="1"/>
  <c r="K55" s="1"/>
  <c r="L55" s="1"/>
  <c r="X55" i="33"/>
  <c r="H24" i="91"/>
  <c r="I24" s="1"/>
  <c r="K24" s="1"/>
  <c r="L24" s="1"/>
  <c r="W24" i="33"/>
  <c r="H24" i="86"/>
  <c r="I24" s="1"/>
  <c r="K24" s="1"/>
  <c r="L24" s="1"/>
  <c r="S24" i="33"/>
  <c r="H24" i="89"/>
  <c r="I24" s="1"/>
  <c r="K24" s="1"/>
  <c r="L24" s="1"/>
  <c r="V24" i="33"/>
  <c r="H24" i="88"/>
  <c r="I24" s="1"/>
  <c r="K24" s="1"/>
  <c r="L24" s="1"/>
  <c r="U24" i="33"/>
  <c r="J32" i="80"/>
  <c r="K32" s="1"/>
  <c r="M32" s="1"/>
  <c r="N32" s="1"/>
  <c r="H35" i="91"/>
  <c r="I35" s="1"/>
  <c r="K35" s="1"/>
  <c r="L35" s="1"/>
  <c r="W35" i="33"/>
  <c r="H35" i="86"/>
  <c r="I35" s="1"/>
  <c r="K35" s="1"/>
  <c r="L35" s="1"/>
  <c r="S35" i="33"/>
  <c r="H35" i="88"/>
  <c r="I35" s="1"/>
  <c r="K35" s="1"/>
  <c r="L35" s="1"/>
  <c r="U35" i="33"/>
  <c r="J43" i="80"/>
  <c r="K43" s="1"/>
  <c r="M43" s="1"/>
  <c r="N43" s="1"/>
  <c r="H46" i="85"/>
  <c r="I46" s="1"/>
  <c r="K46" s="1"/>
  <c r="R46" i="33"/>
  <c r="H46" i="92"/>
  <c r="I46" s="1"/>
  <c r="K46" s="1"/>
  <c r="L46" s="1"/>
  <c r="X46" i="33"/>
  <c r="J70" i="80"/>
  <c r="K70" s="1"/>
  <c r="M70" s="1"/>
  <c r="N70" s="1"/>
  <c r="H73" i="85"/>
  <c r="I73" s="1"/>
  <c r="K73" s="1"/>
  <c r="R73" i="33"/>
  <c r="H73" i="88"/>
  <c r="I73" s="1"/>
  <c r="K73" s="1"/>
  <c r="L73" s="1"/>
  <c r="U73" i="33"/>
  <c r="H63" i="92"/>
  <c r="I63" s="1"/>
  <c r="K63" s="1"/>
  <c r="L63" s="1"/>
  <c r="X63" i="33"/>
  <c r="J60" i="80"/>
  <c r="K60" s="1"/>
  <c r="M60" s="1"/>
  <c r="N60" s="1"/>
  <c r="H63" i="89"/>
  <c r="I63" s="1"/>
  <c r="K63" s="1"/>
  <c r="L63" s="1"/>
  <c r="V63" i="33"/>
  <c r="H63" i="88"/>
  <c r="I63" s="1"/>
  <c r="K63" s="1"/>
  <c r="L63" s="1"/>
  <c r="U63" i="33"/>
  <c r="J30" i="80"/>
  <c r="K30" s="1"/>
  <c r="M30" s="1"/>
  <c r="N30" s="1"/>
  <c r="H33" i="87"/>
  <c r="I33" s="1"/>
  <c r="K33" s="1"/>
  <c r="L33" s="1"/>
  <c r="T33" i="33"/>
  <c r="H33" i="92"/>
  <c r="I33" s="1"/>
  <c r="K33" s="1"/>
  <c r="L33" s="1"/>
  <c r="X33" i="33"/>
  <c r="H33" i="91"/>
  <c r="I33" s="1"/>
  <c r="K33" s="1"/>
  <c r="L33" s="1"/>
  <c r="W33" i="33"/>
  <c r="H52" i="89"/>
  <c r="I52" s="1"/>
  <c r="K52" s="1"/>
  <c r="L52" s="1"/>
  <c r="V52" i="33"/>
  <c r="H52" i="88"/>
  <c r="I52" s="1"/>
  <c r="K52" s="1"/>
  <c r="L52" s="1"/>
  <c r="U52" i="33"/>
  <c r="H52" i="85"/>
  <c r="I52" s="1"/>
  <c r="K52" s="1"/>
  <c r="R52" i="33"/>
  <c r="H52" i="87"/>
  <c r="I52" s="1"/>
  <c r="K52" s="1"/>
  <c r="L52" s="1"/>
  <c r="T52" i="33"/>
  <c r="H52" i="86"/>
  <c r="I52" s="1"/>
  <c r="K52" s="1"/>
  <c r="L52" s="1"/>
  <c r="S52" i="33"/>
  <c r="J67" i="80"/>
  <c r="K67" s="1"/>
  <c r="M67" s="1"/>
  <c r="N67" s="1"/>
  <c r="R70" i="33"/>
  <c r="H21" i="92"/>
  <c r="I21" s="1"/>
  <c r="K21" s="1"/>
  <c r="L21" s="1"/>
  <c r="X21" i="33"/>
  <c r="H21" i="91"/>
  <c r="I21" s="1"/>
  <c r="K21" s="1"/>
  <c r="L21" s="1"/>
  <c r="W21" i="33"/>
  <c r="H21" i="87"/>
  <c r="I21" s="1"/>
  <c r="K21" s="1"/>
  <c r="L21" s="1"/>
  <c r="T21" i="33"/>
  <c r="H21" i="88"/>
  <c r="I21" s="1"/>
  <c r="K21" s="1"/>
  <c r="L21" s="1"/>
  <c r="U21" i="33"/>
  <c r="H13" i="92"/>
  <c r="I13" s="1"/>
  <c r="K13" s="1"/>
  <c r="L13" s="1"/>
  <c r="X13" i="33"/>
  <c r="H13" i="91"/>
  <c r="I13" s="1"/>
  <c r="K13" s="1"/>
  <c r="L13" s="1"/>
  <c r="W13" i="33"/>
  <c r="H13" i="89"/>
  <c r="I13" s="1"/>
  <c r="K13" s="1"/>
  <c r="L13" s="1"/>
  <c r="V13" i="33"/>
  <c r="H66" i="91"/>
  <c r="I66" s="1"/>
  <c r="K66" s="1"/>
  <c r="L66" s="1"/>
  <c r="W66" i="33"/>
  <c r="H66" i="86"/>
  <c r="I66" s="1"/>
  <c r="K66" s="1"/>
  <c r="L66" s="1"/>
  <c r="S66" i="33"/>
  <c r="H66" i="89"/>
  <c r="I66" s="1"/>
  <c r="K66" s="1"/>
  <c r="L66" s="1"/>
  <c r="V66" i="33"/>
  <c r="H66" i="88"/>
  <c r="I66" s="1"/>
  <c r="K66" s="1"/>
  <c r="L66" s="1"/>
  <c r="U66" i="33"/>
  <c r="H18" i="89"/>
  <c r="I18" s="1"/>
  <c r="K18" s="1"/>
  <c r="L18" s="1"/>
  <c r="V18" i="33"/>
  <c r="H18" i="92"/>
  <c r="I18" s="1"/>
  <c r="K18" s="1"/>
  <c r="L18" s="1"/>
  <c r="X18" i="33"/>
  <c r="H18" i="85"/>
  <c r="I18" s="1"/>
  <c r="K18" s="1"/>
  <c r="R18" i="33"/>
  <c r="H18" i="87"/>
  <c r="I18" s="1"/>
  <c r="K18" s="1"/>
  <c r="L18" s="1"/>
  <c r="T18" i="33"/>
  <c r="H18" i="86"/>
  <c r="I18" s="1"/>
  <c r="K18" s="1"/>
  <c r="L18" s="1"/>
  <c r="S18" i="33"/>
  <c r="H72" i="91"/>
  <c r="I72" s="1"/>
  <c r="K72" s="1"/>
  <c r="L72" s="1"/>
  <c r="W72" i="33"/>
  <c r="J69" i="80"/>
  <c r="K69" s="1"/>
  <c r="M69" s="1"/>
  <c r="N69" s="1"/>
  <c r="H72" i="92"/>
  <c r="I72" s="1"/>
  <c r="K72" s="1"/>
  <c r="L72" s="1"/>
  <c r="X72" i="33"/>
  <c r="J48" i="80"/>
  <c r="K48" s="1"/>
  <c r="M48" s="1"/>
  <c r="N48" s="1"/>
  <c r="H51" i="87"/>
  <c r="I51" s="1"/>
  <c r="K51" s="1"/>
  <c r="L51" s="1"/>
  <c r="T51" i="33"/>
  <c r="H51" i="86"/>
  <c r="I51" s="1"/>
  <c r="K51" s="1"/>
  <c r="L51" s="1"/>
  <c r="S51" i="33"/>
  <c r="H51" i="88"/>
  <c r="I51" s="1"/>
  <c r="K51" s="1"/>
  <c r="L51" s="1"/>
  <c r="U51" i="33"/>
  <c r="H11" i="88"/>
  <c r="I11" s="1"/>
  <c r="K11" s="1"/>
  <c r="L11" s="1"/>
  <c r="U11" i="33"/>
  <c r="J8" i="80"/>
  <c r="K8" s="1"/>
  <c r="M8" s="1"/>
  <c r="N8" s="1"/>
  <c r="H11" i="85"/>
  <c r="I11" s="1"/>
  <c r="K11" s="1"/>
  <c r="R11" i="33"/>
  <c r="H11" i="92"/>
  <c r="I11" s="1"/>
  <c r="K11" s="1"/>
  <c r="L11" s="1"/>
  <c r="X11" i="33"/>
  <c r="J71" i="80"/>
  <c r="K71" s="1"/>
  <c r="M71" s="1"/>
  <c r="N71" s="1"/>
  <c r="H74" i="86"/>
  <c r="I74" s="1"/>
  <c r="K74" s="1"/>
  <c r="L74" s="1"/>
  <c r="S74" i="33"/>
  <c r="H74" i="89"/>
  <c r="I74" s="1"/>
  <c r="K74" s="1"/>
  <c r="L74" s="1"/>
  <c r="V74" i="33"/>
  <c r="H74" i="88"/>
  <c r="I74" s="1"/>
  <c r="K74" s="1"/>
  <c r="L74" s="1"/>
  <c r="U74" i="33"/>
  <c r="H25" i="92"/>
  <c r="I25" s="1"/>
  <c r="K25" s="1"/>
  <c r="L25" s="1"/>
  <c r="X25" i="33"/>
  <c r="H25" i="88"/>
  <c r="I25" s="1"/>
  <c r="K25" s="1"/>
  <c r="L25" s="1"/>
  <c r="U25" i="33"/>
  <c r="H25" i="91"/>
  <c r="I25" s="1"/>
  <c r="K25" s="1"/>
  <c r="L25" s="1"/>
  <c r="W25" i="33"/>
  <c r="H25" i="87"/>
  <c r="I25" s="1"/>
  <c r="K25" s="1"/>
  <c r="L25" s="1"/>
  <c r="T25" i="33"/>
  <c r="H25" i="85"/>
  <c r="I25" s="1"/>
  <c r="K25" s="1"/>
  <c r="R25" i="33"/>
  <c r="H14" i="87"/>
  <c r="I14" s="1"/>
  <c r="K14" s="1"/>
  <c r="L14" s="1"/>
  <c r="T14" i="33"/>
  <c r="H14" i="86"/>
  <c r="I14" s="1"/>
  <c r="K14" s="1"/>
  <c r="L14" s="1"/>
  <c r="S14" i="33"/>
  <c r="H14" i="89"/>
  <c r="I14" s="1"/>
  <c r="K14" s="1"/>
  <c r="L14" s="1"/>
  <c r="V14" i="33"/>
  <c r="H14" i="88"/>
  <c r="I14" s="1"/>
  <c r="K14" s="1"/>
  <c r="L14" s="1"/>
  <c r="U14" i="33"/>
  <c r="H45" i="88"/>
  <c r="I45" s="1"/>
  <c r="K45" s="1"/>
  <c r="L45" s="1"/>
  <c r="U45" i="33"/>
  <c r="H45" i="92"/>
  <c r="I45" s="1"/>
  <c r="K45" s="1"/>
  <c r="L45" s="1"/>
  <c r="X45" i="33"/>
  <c r="H45" i="86"/>
  <c r="I45" s="1"/>
  <c r="K45" s="1"/>
  <c r="L45" s="1"/>
  <c r="S45" i="33"/>
  <c r="H45" i="87"/>
  <c r="I45" s="1"/>
  <c r="K45" s="1"/>
  <c r="L45" s="1"/>
  <c r="T45" i="33"/>
  <c r="H59" i="88"/>
  <c r="I59" s="1"/>
  <c r="K59" s="1"/>
  <c r="L59" s="1"/>
  <c r="U59" i="33"/>
  <c r="J56" i="80"/>
  <c r="K56" s="1"/>
  <c r="M56" s="1"/>
  <c r="N56" s="1"/>
  <c r="H59" i="87"/>
  <c r="I59" s="1"/>
  <c r="K59" s="1"/>
  <c r="L59" s="1"/>
  <c r="T59" i="33"/>
  <c r="H59" i="86"/>
  <c r="I59" s="1"/>
  <c r="K59" s="1"/>
  <c r="L59" s="1"/>
  <c r="S59" i="33"/>
  <c r="H62" i="91"/>
  <c r="I62" s="1"/>
  <c r="K62" s="1"/>
  <c r="L62" s="1"/>
  <c r="W62" i="33"/>
  <c r="H62" i="87"/>
  <c r="I62" s="1"/>
  <c r="K62" s="1"/>
  <c r="L62" s="1"/>
  <c r="T62" i="33"/>
  <c r="H62" i="92"/>
  <c r="I62" s="1"/>
  <c r="K62" s="1"/>
  <c r="L62" s="1"/>
  <c r="X62" i="33"/>
  <c r="H47" i="91"/>
  <c r="I47" s="1"/>
  <c r="K47" s="1"/>
  <c r="L47" s="1"/>
  <c r="W47" i="33"/>
  <c r="H47" i="89"/>
  <c r="I47" s="1"/>
  <c r="K47" s="1"/>
  <c r="L47" s="1"/>
  <c r="V47" i="33"/>
  <c r="H47" i="85"/>
  <c r="I47" s="1"/>
  <c r="K47" s="1"/>
  <c r="R47" i="33"/>
  <c r="H47" i="88"/>
  <c r="I47" s="1"/>
  <c r="K47" s="1"/>
  <c r="L47" s="1"/>
  <c r="U47" i="33"/>
  <c r="J5" i="80"/>
  <c r="K5" s="1"/>
  <c r="M5" s="1"/>
  <c r="N5" s="1"/>
  <c r="H8" i="87"/>
  <c r="I8" s="1"/>
  <c r="K8" s="1"/>
  <c r="T8" i="33"/>
  <c r="H8" i="85"/>
  <c r="I8" s="1"/>
  <c r="K8" s="1"/>
  <c r="L8" s="1"/>
  <c r="R8" i="33"/>
  <c r="H8" i="89"/>
  <c r="I8" s="1"/>
  <c r="K8" s="1"/>
  <c r="V8" i="33"/>
  <c r="H26" i="92"/>
  <c r="I26" s="1"/>
  <c r="K26" s="1"/>
  <c r="X26" i="33"/>
  <c r="H26" i="88"/>
  <c r="I26" s="1"/>
  <c r="K26" s="1"/>
  <c r="U26" i="33"/>
  <c r="H26" i="91"/>
  <c r="I26" s="1"/>
  <c r="K26" s="1"/>
  <c r="W26" i="33"/>
  <c r="T34"/>
  <c r="H26" i="85"/>
  <c r="I26" s="1"/>
  <c r="K26" s="1"/>
  <c r="R26" i="33"/>
  <c r="H38" i="86"/>
  <c r="I38" s="1"/>
  <c r="K38" s="1"/>
  <c r="L38" s="1"/>
  <c r="S38" i="33"/>
  <c r="J38" i="90"/>
  <c r="K38" s="1"/>
  <c r="Y38" i="33"/>
  <c r="H38" i="89"/>
  <c r="I38" s="1"/>
  <c r="K38" s="1"/>
  <c r="L38" s="1"/>
  <c r="V38" i="33"/>
  <c r="I37" i="116"/>
  <c r="J37" s="1"/>
  <c r="L37" s="1"/>
  <c r="M37" s="1"/>
  <c r="M37" i="33"/>
  <c r="I35" i="115"/>
  <c r="J35" s="1"/>
  <c r="L35" s="1"/>
  <c r="M35" s="1"/>
  <c r="L35" i="33"/>
  <c r="I35" i="118"/>
  <c r="J35" s="1"/>
  <c r="L35" s="1"/>
  <c r="M35" s="1"/>
  <c r="O35" i="33"/>
  <c r="I73" i="115"/>
  <c r="J73" s="1"/>
  <c r="L73" s="1"/>
  <c r="M73" s="1"/>
  <c r="L73" i="33"/>
  <c r="I73" i="117"/>
  <c r="J73" s="1"/>
  <c r="L73" s="1"/>
  <c r="M73" s="1"/>
  <c r="N73" i="33"/>
  <c r="I75" i="115"/>
  <c r="J75" s="1"/>
  <c r="L75" s="1"/>
  <c r="M75" s="1"/>
  <c r="L75" i="33"/>
  <c r="I75" i="117"/>
  <c r="J75" s="1"/>
  <c r="L75" s="1"/>
  <c r="M75" s="1"/>
  <c r="N75" i="33"/>
  <c r="I68" i="115"/>
  <c r="J68" s="1"/>
  <c r="L68" s="1"/>
  <c r="M68" s="1"/>
  <c r="L68" i="33"/>
  <c r="I68" i="117"/>
  <c r="J68" s="1"/>
  <c r="L68" s="1"/>
  <c r="M68" s="1"/>
  <c r="N68" i="33"/>
  <c r="I36" i="116"/>
  <c r="J36" s="1"/>
  <c r="L36" s="1"/>
  <c r="M36" s="1"/>
  <c r="M36" i="33"/>
  <c r="I36" i="115"/>
  <c r="J36" s="1"/>
  <c r="L36" s="1"/>
  <c r="M36" s="1"/>
  <c r="L36" i="33"/>
  <c r="I13" i="116"/>
  <c r="J13" s="1"/>
  <c r="L13" s="1"/>
  <c r="M13" s="1"/>
  <c r="M13" i="33"/>
  <c r="I62" i="116"/>
  <c r="J62" s="1"/>
  <c r="L62" s="1"/>
  <c r="M62" s="1"/>
  <c r="M62" i="33"/>
  <c r="I11" i="114"/>
  <c r="J11" s="1"/>
  <c r="L11" s="1"/>
  <c r="M11" s="1"/>
  <c r="K11" i="33"/>
  <c r="I11" i="115"/>
  <c r="J11" s="1"/>
  <c r="L11" s="1"/>
  <c r="M11" s="1"/>
  <c r="L11" i="33"/>
  <c r="I11" i="118"/>
  <c r="J11" s="1"/>
  <c r="L11" s="1"/>
  <c r="M11" s="1"/>
  <c r="O11" i="33"/>
  <c r="I52" i="114"/>
  <c r="J52" s="1"/>
  <c r="L52" s="1"/>
  <c r="M52" s="1"/>
  <c r="K52" i="33"/>
  <c r="I52" i="116"/>
  <c r="J52" s="1"/>
  <c r="L52" s="1"/>
  <c r="M52" s="1"/>
  <c r="M52" i="33"/>
  <c r="I66" i="115"/>
  <c r="J66" s="1"/>
  <c r="L66" s="1"/>
  <c r="M66" s="1"/>
  <c r="L66" i="33"/>
  <c r="I66" i="116"/>
  <c r="J66" s="1"/>
  <c r="L66" s="1"/>
  <c r="M66" s="1"/>
  <c r="M66" i="33"/>
  <c r="I25" i="114"/>
  <c r="J25" s="1"/>
  <c r="L25" s="1"/>
  <c r="M25" s="1"/>
  <c r="K25" i="33"/>
  <c r="I25" i="116"/>
  <c r="J25" s="1"/>
  <c r="L25" s="1"/>
  <c r="M25" s="1"/>
  <c r="M25" i="33"/>
  <c r="I54" i="114"/>
  <c r="J54" s="1"/>
  <c r="L54" s="1"/>
  <c r="K54" i="33"/>
  <c r="I54" i="116"/>
  <c r="J54" s="1"/>
  <c r="L54" s="1"/>
  <c r="M54" s="1"/>
  <c r="M54" i="33"/>
  <c r="I59" i="114"/>
  <c r="J59" s="1"/>
  <c r="L59" s="1"/>
  <c r="M59" s="1"/>
  <c r="K59" i="33"/>
  <c r="I59" i="116"/>
  <c r="J59" s="1"/>
  <c r="L59" s="1"/>
  <c r="M59" s="1"/>
  <c r="M59" i="33"/>
  <c r="I49" i="115"/>
  <c r="J49" s="1"/>
  <c r="L49" s="1"/>
  <c r="M49" s="1"/>
  <c r="L49" i="33"/>
  <c r="I49" i="114"/>
  <c r="J49" s="1"/>
  <c r="L49" s="1"/>
  <c r="M49" s="1"/>
  <c r="K49" i="33"/>
  <c r="I41" i="114"/>
  <c r="J41" s="1"/>
  <c r="L41" s="1"/>
  <c r="M41" s="1"/>
  <c r="K41" i="33"/>
  <c r="I41" i="116"/>
  <c r="J41" s="1"/>
  <c r="L41" s="1"/>
  <c r="M41" s="1"/>
  <c r="M41" i="33"/>
  <c r="I38" i="115"/>
  <c r="J38" s="1"/>
  <c r="L38" s="1"/>
  <c r="M38" s="1"/>
  <c r="L38" i="33"/>
  <c r="I72" i="114"/>
  <c r="J72" s="1"/>
  <c r="L72" s="1"/>
  <c r="M72" s="1"/>
  <c r="K72" i="33"/>
  <c r="I72" i="116"/>
  <c r="J72" s="1"/>
  <c r="L72" s="1"/>
  <c r="M72" s="1"/>
  <c r="M72" i="33"/>
  <c r="I72" i="118"/>
  <c r="J72" s="1"/>
  <c r="L72" s="1"/>
  <c r="M72" s="1"/>
  <c r="O72" i="33"/>
  <c r="I63" i="114"/>
  <c r="J63" s="1"/>
  <c r="L63" s="1"/>
  <c r="K63" i="33"/>
  <c r="I63" i="116"/>
  <c r="J63" s="1"/>
  <c r="L63" s="1"/>
  <c r="M63" s="1"/>
  <c r="M63" i="33"/>
  <c r="I21" i="115"/>
  <c r="J21" s="1"/>
  <c r="L21" s="1"/>
  <c r="M21" s="1"/>
  <c r="L21" i="33"/>
  <c r="I65" i="115"/>
  <c r="J65" s="1"/>
  <c r="L65" s="1"/>
  <c r="M65" s="1"/>
  <c r="L65" i="33"/>
  <c r="I65" i="116"/>
  <c r="J65" s="1"/>
  <c r="L65" s="1"/>
  <c r="M65" s="1"/>
  <c r="M65" i="33"/>
  <c r="I46" i="114"/>
  <c r="J46" s="1"/>
  <c r="L46" s="1"/>
  <c r="M46" s="1"/>
  <c r="K46" i="33"/>
  <c r="I46" i="115"/>
  <c r="J46" s="1"/>
  <c r="L46" s="1"/>
  <c r="M46" s="1"/>
  <c r="L46" i="33"/>
  <c r="I46" i="118"/>
  <c r="J46" s="1"/>
  <c r="L46" s="1"/>
  <c r="M46" s="1"/>
  <c r="O46" i="33"/>
  <c r="I51" i="114"/>
  <c r="J51" s="1"/>
  <c r="L51" s="1"/>
  <c r="K51" i="33"/>
  <c r="I8" i="114"/>
  <c r="J8" s="1"/>
  <c r="L8" s="1"/>
  <c r="M8" s="1"/>
  <c r="K8" i="33"/>
  <c r="I8" i="118"/>
  <c r="J8" s="1"/>
  <c r="L8" s="1"/>
  <c r="M8" s="1"/>
  <c r="O8" i="33"/>
  <c r="I33" i="114"/>
  <c r="J33" s="1"/>
  <c r="L33" s="1"/>
  <c r="M33" s="1"/>
  <c r="K33" i="33"/>
  <c r="I33" i="116"/>
  <c r="J33" s="1"/>
  <c r="L33" s="1"/>
  <c r="M33" s="1"/>
  <c r="M33" i="33"/>
  <c r="K70"/>
  <c r="I70" i="118"/>
  <c r="J70" s="1"/>
  <c r="L70" s="1"/>
  <c r="M70" s="1"/>
  <c r="O70" i="33"/>
  <c r="I47" i="115"/>
  <c r="J47" s="1"/>
  <c r="L47" s="1"/>
  <c r="M47" s="1"/>
  <c r="L47" i="33"/>
  <c r="I47" i="114"/>
  <c r="J47" s="1"/>
  <c r="L47" s="1"/>
  <c r="M47" s="1"/>
  <c r="K47" i="33"/>
  <c r="I47" i="118"/>
  <c r="J47" s="1"/>
  <c r="L47" s="1"/>
  <c r="M47" s="1"/>
  <c r="O47" i="33"/>
  <c r="I74" i="115"/>
  <c r="J74" s="1"/>
  <c r="L74" s="1"/>
  <c r="M74" s="1"/>
  <c r="L74" i="33"/>
  <c r="I74" i="116"/>
  <c r="J74" s="1"/>
  <c r="L74" s="1"/>
  <c r="M74" s="1"/>
  <c r="M74" i="33"/>
  <c r="I74" i="118"/>
  <c r="J74" s="1"/>
  <c r="L74" s="1"/>
  <c r="M74" s="1"/>
  <c r="O74" i="33"/>
  <c r="I45" i="115"/>
  <c r="J45" s="1"/>
  <c r="L45" s="1"/>
  <c r="M45" s="1"/>
  <c r="L45" i="33"/>
  <c r="I45" i="114"/>
  <c r="J45" s="1"/>
  <c r="L45" s="1"/>
  <c r="M45" s="1"/>
  <c r="K45" i="33"/>
  <c r="I45" i="118"/>
  <c r="J45" s="1"/>
  <c r="L45" s="1"/>
  <c r="M45" s="1"/>
  <c r="O45" i="33"/>
  <c r="I58" i="116"/>
  <c r="J58" s="1"/>
  <c r="L58" s="1"/>
  <c r="M58" s="1"/>
  <c r="M58" i="33"/>
  <c r="I55" i="115"/>
  <c r="J55" s="1"/>
  <c r="L55" s="1"/>
  <c r="M55" s="1"/>
  <c r="L55" i="33"/>
  <c r="I55" i="114"/>
  <c r="J55" s="1"/>
  <c r="L55" s="1"/>
  <c r="M55" s="1"/>
  <c r="K55" i="33"/>
  <c r="H75" i="87"/>
  <c r="I75" s="1"/>
  <c r="K75" s="1"/>
  <c r="L75" s="1"/>
  <c r="T75" i="33"/>
  <c r="H75" i="91"/>
  <c r="I75" s="1"/>
  <c r="K75" s="1"/>
  <c r="L75" s="1"/>
  <c r="W75" i="33"/>
  <c r="H75" i="85"/>
  <c r="I75" s="1"/>
  <c r="K75" s="1"/>
  <c r="R75" i="33"/>
  <c r="J72" i="80"/>
  <c r="K72" s="1"/>
  <c r="M72" s="1"/>
  <c r="N72" s="1"/>
  <c r="H36" i="88"/>
  <c r="I36" s="1"/>
  <c r="K36" s="1"/>
  <c r="L36" s="1"/>
  <c r="U36" i="33"/>
  <c r="J33" i="80"/>
  <c r="K33" s="1"/>
  <c r="M33" s="1"/>
  <c r="N33" s="1"/>
  <c r="H36" i="87"/>
  <c r="I36" s="1"/>
  <c r="K36" s="1"/>
  <c r="L36" s="1"/>
  <c r="T36" i="33"/>
  <c r="H36" i="86"/>
  <c r="I36" s="1"/>
  <c r="K36" s="1"/>
  <c r="L36" s="1"/>
  <c r="S36" i="33"/>
  <c r="J38" i="80"/>
  <c r="K38" s="1"/>
  <c r="M38" s="1"/>
  <c r="N38" s="1"/>
  <c r="H41" i="88"/>
  <c r="I41" s="1"/>
  <c r="K41" s="1"/>
  <c r="L41" s="1"/>
  <c r="U41" i="33"/>
  <c r="H37" i="88"/>
  <c r="I37" s="1"/>
  <c r="K37" s="1"/>
  <c r="L37" s="1"/>
  <c r="U37" i="33"/>
  <c r="H37" i="87"/>
  <c r="I37" s="1"/>
  <c r="K37" s="1"/>
  <c r="L37" s="1"/>
  <c r="T37" i="33"/>
  <c r="H37" i="91"/>
  <c r="I37" s="1"/>
  <c r="K37" s="1"/>
  <c r="L37" s="1"/>
  <c r="W37" i="33"/>
  <c r="H37" i="86"/>
  <c r="I37" s="1"/>
  <c r="K37" s="1"/>
  <c r="L37" s="1"/>
  <c r="S37" i="33"/>
  <c r="H54" i="92"/>
  <c r="I54" s="1"/>
  <c r="K54" s="1"/>
  <c r="L54" s="1"/>
  <c r="X54" i="33"/>
  <c r="H54" i="85"/>
  <c r="I54" s="1"/>
  <c r="K54" s="1"/>
  <c r="L54" s="1"/>
  <c r="R54" i="33"/>
  <c r="H54" i="91"/>
  <c r="I54" s="1"/>
  <c r="K54" s="1"/>
  <c r="L54" s="1"/>
  <c r="W54" i="33"/>
  <c r="J51" i="80"/>
  <c r="K51" s="1"/>
  <c r="M51" s="1"/>
  <c r="N51" s="1"/>
  <c r="H58" i="85"/>
  <c r="I58" s="1"/>
  <c r="K58" s="1"/>
  <c r="R58" i="33"/>
  <c r="J55" i="80"/>
  <c r="K55" s="1"/>
  <c r="M55" s="1"/>
  <c r="N55" s="1"/>
  <c r="H58" i="87"/>
  <c r="I58" s="1"/>
  <c r="K58" s="1"/>
  <c r="L58" s="1"/>
  <c r="T58" i="33"/>
  <c r="H58" i="86"/>
  <c r="I58" s="1"/>
  <c r="K58" s="1"/>
  <c r="L58" s="1"/>
  <c r="S58" i="33"/>
  <c r="J62" i="80"/>
  <c r="K62" s="1"/>
  <c r="M62" s="1"/>
  <c r="N62" s="1"/>
  <c r="H65" i="92"/>
  <c r="I65" s="1"/>
  <c r="K65" s="1"/>
  <c r="L65" s="1"/>
  <c r="X65" i="33"/>
  <c r="H65" i="86"/>
  <c r="I65" s="1"/>
  <c r="K65" s="1"/>
  <c r="L65" s="1"/>
  <c r="S65" i="33"/>
  <c r="H68" i="86"/>
  <c r="I68" s="1"/>
  <c r="K68" s="1"/>
  <c r="L68" s="1"/>
  <c r="S68" i="33"/>
  <c r="H68" i="85"/>
  <c r="I68" s="1"/>
  <c r="K68" s="1"/>
  <c r="R68" i="33"/>
  <c r="J65" i="80"/>
  <c r="K65" s="1"/>
  <c r="M65" s="1"/>
  <c r="N65" s="1"/>
  <c r="H68" i="88"/>
  <c r="I68" s="1"/>
  <c r="K68" s="1"/>
  <c r="L68" s="1"/>
  <c r="U68" i="33"/>
  <c r="H49" i="89"/>
  <c r="I49" s="1"/>
  <c r="K49" s="1"/>
  <c r="L49" s="1"/>
  <c r="V49" i="33"/>
  <c r="J46" i="80"/>
  <c r="K46" s="1"/>
  <c r="M46" s="1"/>
  <c r="N46" s="1"/>
  <c r="H49" i="86"/>
  <c r="I49" s="1"/>
  <c r="K49" s="1"/>
  <c r="L49" s="1"/>
  <c r="S49" i="33"/>
  <c r="J52" i="80"/>
  <c r="K52" s="1"/>
  <c r="M52" s="1"/>
  <c r="N52" s="1"/>
  <c r="H55" i="91"/>
  <c r="I55" s="1"/>
  <c r="K55" s="1"/>
  <c r="L55" s="1"/>
  <c r="W55" i="33"/>
  <c r="H55" i="86"/>
  <c r="I55" s="1"/>
  <c r="K55" s="1"/>
  <c r="L55" s="1"/>
  <c r="S55" i="33"/>
  <c r="H55" i="89"/>
  <c r="I55" s="1"/>
  <c r="K55" s="1"/>
  <c r="L55" s="1"/>
  <c r="V55" i="33"/>
  <c r="H55" i="88"/>
  <c r="I55" s="1"/>
  <c r="K55" s="1"/>
  <c r="L55" s="1"/>
  <c r="U55" i="33"/>
  <c r="H24" i="87"/>
  <c r="I24" s="1"/>
  <c r="K24" s="1"/>
  <c r="L24" s="1"/>
  <c r="T24" i="33"/>
  <c r="J21" i="80"/>
  <c r="K21" s="1"/>
  <c r="M21" s="1"/>
  <c r="N21" s="1"/>
  <c r="H24" i="92"/>
  <c r="I24" s="1"/>
  <c r="K24" s="1"/>
  <c r="L24" s="1"/>
  <c r="X24" i="33"/>
  <c r="H35" i="87"/>
  <c r="I35" s="1"/>
  <c r="K35" s="1"/>
  <c r="L35" s="1"/>
  <c r="T35" i="33"/>
  <c r="H35" i="92"/>
  <c r="I35" s="1"/>
  <c r="K35" s="1"/>
  <c r="L35" s="1"/>
  <c r="X35" i="33"/>
  <c r="H35" i="89"/>
  <c r="I35" s="1"/>
  <c r="K35" s="1"/>
  <c r="L35" s="1"/>
  <c r="V35" i="33"/>
  <c r="H46" i="91"/>
  <c r="I46" s="1"/>
  <c r="K46" s="1"/>
  <c r="L46" s="1"/>
  <c r="W46" i="33"/>
  <c r="H46" i="87"/>
  <c r="I46" s="1"/>
  <c r="K46" s="1"/>
  <c r="L46" s="1"/>
  <c r="T46" i="33"/>
  <c r="H46" i="86"/>
  <c r="I46" s="1"/>
  <c r="K46" s="1"/>
  <c r="L46" s="1"/>
  <c r="S46" i="33"/>
  <c r="H46" i="89"/>
  <c r="I46" s="1"/>
  <c r="K46" s="1"/>
  <c r="L46" s="1"/>
  <c r="V46" i="33"/>
  <c r="H46" i="88"/>
  <c r="I46" s="1"/>
  <c r="K46" s="1"/>
  <c r="L46" s="1"/>
  <c r="U46" i="33"/>
  <c r="H73" i="86"/>
  <c r="I73" s="1"/>
  <c r="K73" s="1"/>
  <c r="L73" s="1"/>
  <c r="S73" i="33"/>
  <c r="H73" i="87"/>
  <c r="I73" s="1"/>
  <c r="K73" s="1"/>
  <c r="L73" s="1"/>
  <c r="T73" i="33"/>
  <c r="H73" i="89"/>
  <c r="I73" s="1"/>
  <c r="K73" s="1"/>
  <c r="L73" s="1"/>
  <c r="V73" i="33"/>
  <c r="H73" i="92"/>
  <c r="I73" s="1"/>
  <c r="K73" s="1"/>
  <c r="X73" i="33"/>
  <c r="H73" i="91"/>
  <c r="I73" s="1"/>
  <c r="K73" s="1"/>
  <c r="L73" s="1"/>
  <c r="W73" i="33"/>
  <c r="H63" i="87"/>
  <c r="I63" s="1"/>
  <c r="K63" s="1"/>
  <c r="L63" s="1"/>
  <c r="T63" i="33"/>
  <c r="H63" i="86"/>
  <c r="I63" s="1"/>
  <c r="K63" s="1"/>
  <c r="L63" s="1"/>
  <c r="S63" i="33"/>
  <c r="H63" i="91"/>
  <c r="I63" s="1"/>
  <c r="K63" s="1"/>
  <c r="L63" s="1"/>
  <c r="W63" i="33"/>
  <c r="H33" i="88"/>
  <c r="I33" s="1"/>
  <c r="K33" s="1"/>
  <c r="L33" s="1"/>
  <c r="U33" i="33"/>
  <c r="H33" i="89"/>
  <c r="I33" s="1"/>
  <c r="K33" s="1"/>
  <c r="L33" s="1"/>
  <c r="V33" i="33"/>
  <c r="H33" i="86"/>
  <c r="I33" s="1"/>
  <c r="K33" s="1"/>
  <c r="L33" s="1"/>
  <c r="S33" i="33"/>
  <c r="H52" i="92"/>
  <c r="I52" s="1"/>
  <c r="K52" s="1"/>
  <c r="L52" s="1"/>
  <c r="X52" i="33"/>
  <c r="J49" i="80"/>
  <c r="K49" s="1"/>
  <c r="M49" s="1"/>
  <c r="N49" s="1"/>
  <c r="H52" i="91"/>
  <c r="I52" s="1"/>
  <c r="K52" s="1"/>
  <c r="L52" s="1"/>
  <c r="W52" i="33"/>
  <c r="H70" i="87"/>
  <c r="I70" s="1"/>
  <c r="K70" s="1"/>
  <c r="L70" s="1"/>
  <c r="T70" i="33"/>
  <c r="H70" i="91"/>
  <c r="I70" s="1"/>
  <c r="K70" s="1"/>
  <c r="L70" s="1"/>
  <c r="W70" i="33"/>
  <c r="H70" i="86"/>
  <c r="I70" s="1"/>
  <c r="K70" s="1"/>
  <c r="L70" s="1"/>
  <c r="S70" i="33"/>
  <c r="H70" i="89"/>
  <c r="I70" s="1"/>
  <c r="K70" s="1"/>
  <c r="L70" s="1"/>
  <c r="V70" i="33"/>
  <c r="H21" i="89"/>
  <c r="I21" s="1"/>
  <c r="K21" s="1"/>
  <c r="L21" s="1"/>
  <c r="V21" i="33"/>
  <c r="J18" i="80"/>
  <c r="K18" s="1"/>
  <c r="M18" s="1"/>
  <c r="N18" s="1"/>
  <c r="H21" i="86"/>
  <c r="I21" s="1"/>
  <c r="K21" s="1"/>
  <c r="L21" s="1"/>
  <c r="S21" i="33"/>
  <c r="H21" i="85"/>
  <c r="I21" s="1"/>
  <c r="K21" s="1"/>
  <c r="R21" i="33"/>
  <c r="H13" i="88"/>
  <c r="I13" s="1"/>
  <c r="K13" s="1"/>
  <c r="L13" s="1"/>
  <c r="U13" i="33"/>
  <c r="J10" i="80"/>
  <c r="K10" s="1"/>
  <c r="M10" s="1"/>
  <c r="N10" s="1"/>
  <c r="H13" i="86"/>
  <c r="I13" s="1"/>
  <c r="K13" s="1"/>
  <c r="L13" s="1"/>
  <c r="S13" i="33"/>
  <c r="H13" i="87"/>
  <c r="I13" s="1"/>
  <c r="K13" s="1"/>
  <c r="L13" s="1"/>
  <c r="T13" i="33"/>
  <c r="H66" i="87"/>
  <c r="I66" s="1"/>
  <c r="K66" s="1"/>
  <c r="L66" s="1"/>
  <c r="T66" i="33"/>
  <c r="H66" i="85"/>
  <c r="I66" s="1"/>
  <c r="K66" s="1"/>
  <c r="R66" i="33"/>
  <c r="H66" i="92"/>
  <c r="I66" s="1"/>
  <c r="K66" s="1"/>
  <c r="L66" s="1"/>
  <c r="X66" i="33"/>
  <c r="J63" i="76"/>
  <c r="K63" s="1"/>
  <c r="M63" s="1"/>
  <c r="N63" s="1"/>
  <c r="H18" i="88"/>
  <c r="I18" s="1"/>
  <c r="K18" s="1"/>
  <c r="L18" s="1"/>
  <c r="U18" i="33"/>
  <c r="J15" i="80"/>
  <c r="K15" s="1"/>
  <c r="M15" s="1"/>
  <c r="N15" s="1"/>
  <c r="H18" i="91"/>
  <c r="I18" s="1"/>
  <c r="K18" s="1"/>
  <c r="L18" s="1"/>
  <c r="W18" i="33"/>
  <c r="H72" i="87"/>
  <c r="I72" s="1"/>
  <c r="K72" s="1"/>
  <c r="L72" s="1"/>
  <c r="T72" i="33"/>
  <c r="H72" i="86"/>
  <c r="I72" s="1"/>
  <c r="K72" s="1"/>
  <c r="L72" s="1"/>
  <c r="S72" i="33"/>
  <c r="H72" i="89"/>
  <c r="I72" s="1"/>
  <c r="K72" s="1"/>
  <c r="L72" s="1"/>
  <c r="V72" i="33"/>
  <c r="H72" i="88"/>
  <c r="I72" s="1"/>
  <c r="K72" s="1"/>
  <c r="L72" s="1"/>
  <c r="U72" i="33"/>
  <c r="H51" i="89"/>
  <c r="I51" s="1"/>
  <c r="K51" s="1"/>
  <c r="L51" s="1"/>
  <c r="V51" i="33"/>
  <c r="H51" i="85"/>
  <c r="I51" s="1"/>
  <c r="K51" s="1"/>
  <c r="R51" i="33"/>
  <c r="H51" i="92"/>
  <c r="I51" s="1"/>
  <c r="K51" s="1"/>
  <c r="L51" s="1"/>
  <c r="X51" i="33"/>
  <c r="H51" i="91"/>
  <c r="I51" s="1"/>
  <c r="K51" s="1"/>
  <c r="L51" s="1"/>
  <c r="W51" i="33"/>
  <c r="H11" i="89"/>
  <c r="I11" s="1"/>
  <c r="K11" s="1"/>
  <c r="L11" s="1"/>
  <c r="V11" i="33"/>
  <c r="H11" i="91"/>
  <c r="I11" s="1"/>
  <c r="K11" s="1"/>
  <c r="L11" s="1"/>
  <c r="W11" i="33"/>
  <c r="H11" i="87"/>
  <c r="I11" s="1"/>
  <c r="K11" s="1"/>
  <c r="L11" s="1"/>
  <c r="T11" i="33"/>
  <c r="H11" i="86"/>
  <c r="I11" s="1"/>
  <c r="K11" s="1"/>
  <c r="L11" s="1"/>
  <c r="S11" i="33"/>
  <c r="H74" i="91"/>
  <c r="I74" s="1"/>
  <c r="K74" s="1"/>
  <c r="L74" s="1"/>
  <c r="W74" i="33"/>
  <c r="H74" i="87"/>
  <c r="I74" s="1"/>
  <c r="K74" s="1"/>
  <c r="L74" s="1"/>
  <c r="T74" i="33"/>
  <c r="H74" i="92"/>
  <c r="I74" s="1"/>
  <c r="K74" s="1"/>
  <c r="L74" s="1"/>
  <c r="X74" i="33"/>
  <c r="J22" i="80"/>
  <c r="K22" s="1"/>
  <c r="M22" s="1"/>
  <c r="N22" s="1"/>
  <c r="H25" i="86"/>
  <c r="I25" s="1"/>
  <c r="K25" s="1"/>
  <c r="L25" s="1"/>
  <c r="S25" i="33"/>
  <c r="H25" i="89"/>
  <c r="I25" s="1"/>
  <c r="K25" s="1"/>
  <c r="L25" s="1"/>
  <c r="V25" i="33"/>
  <c r="H14" i="91"/>
  <c r="I14" s="1"/>
  <c r="K14" s="1"/>
  <c r="L14" s="1"/>
  <c r="W14" i="33"/>
  <c r="J11" i="80"/>
  <c r="K11" s="1"/>
  <c r="M11" s="1"/>
  <c r="N11" s="1"/>
  <c r="H14" i="92"/>
  <c r="I14" s="1"/>
  <c r="K14" s="1"/>
  <c r="L14" s="1"/>
  <c r="X14" i="33"/>
  <c r="J42" i="80"/>
  <c r="K42" s="1"/>
  <c r="M42" s="1"/>
  <c r="N42" s="1"/>
  <c r="H45" i="91"/>
  <c r="I45" s="1"/>
  <c r="K45" s="1"/>
  <c r="L45" s="1"/>
  <c r="W45" i="33"/>
  <c r="H45" i="89"/>
  <c r="I45" s="1"/>
  <c r="K45" s="1"/>
  <c r="L45" s="1"/>
  <c r="V45" i="33"/>
  <c r="H59" i="92"/>
  <c r="I59" s="1"/>
  <c r="K59" s="1"/>
  <c r="L59" s="1"/>
  <c r="X59" i="33"/>
  <c r="H59" i="85"/>
  <c r="I59" s="1"/>
  <c r="K59" s="1"/>
  <c r="R59" i="33"/>
  <c r="H59" i="91"/>
  <c r="I59" s="1"/>
  <c r="K59" s="1"/>
  <c r="L59" s="1"/>
  <c r="W59" i="33"/>
  <c r="H59" i="89"/>
  <c r="I59" s="1"/>
  <c r="K59" s="1"/>
  <c r="L59" s="1"/>
  <c r="V59" i="33"/>
  <c r="J59" i="80"/>
  <c r="K59" s="1"/>
  <c r="M59" s="1"/>
  <c r="N59" s="1"/>
  <c r="H62" i="86"/>
  <c r="I62" s="1"/>
  <c r="K62" s="1"/>
  <c r="L62" s="1"/>
  <c r="S62" i="33"/>
  <c r="H62" i="89"/>
  <c r="I62" s="1"/>
  <c r="K62" s="1"/>
  <c r="L62" s="1"/>
  <c r="V62" i="33"/>
  <c r="H62" i="88"/>
  <c r="I62" s="1"/>
  <c r="K62" s="1"/>
  <c r="L62" s="1"/>
  <c r="U62" i="33"/>
  <c r="J44" i="80"/>
  <c r="K44" s="1"/>
  <c r="M44" s="1"/>
  <c r="N44" s="1"/>
  <c r="H47" i="92"/>
  <c r="I47" s="1"/>
  <c r="K47" s="1"/>
  <c r="L47" s="1"/>
  <c r="X47" i="33"/>
  <c r="H47" i="87"/>
  <c r="I47" s="1"/>
  <c r="K47" s="1"/>
  <c r="T47" i="33"/>
  <c r="H47" i="86"/>
  <c r="I47" s="1"/>
  <c r="K47" s="1"/>
  <c r="L47" s="1"/>
  <c r="S47" i="33"/>
  <c r="H8" i="92"/>
  <c r="I8" s="1"/>
  <c r="K8" s="1"/>
  <c r="X8" i="33"/>
  <c r="H8" i="91"/>
  <c r="I8" s="1"/>
  <c r="K8" s="1"/>
  <c r="W8" i="33"/>
  <c r="H8" i="86"/>
  <c r="I8" s="1"/>
  <c r="K8" s="1"/>
  <c r="S8" i="33"/>
  <c r="J5" i="76"/>
  <c r="K5" s="1"/>
  <c r="M5" s="1"/>
  <c r="N5" s="1"/>
  <c r="J23" i="80"/>
  <c r="K23" s="1"/>
  <c r="M23" s="1"/>
  <c r="N23" s="1"/>
  <c r="H26" i="87"/>
  <c r="I26" s="1"/>
  <c r="K26" s="1"/>
  <c r="T26" i="33"/>
  <c r="H26" i="86"/>
  <c r="I26" s="1"/>
  <c r="K26" s="1"/>
  <c r="S26" i="33"/>
  <c r="H8" i="88"/>
  <c r="I8" s="1"/>
  <c r="K8" s="1"/>
  <c r="U8" i="33"/>
  <c r="H38" i="88"/>
  <c r="I38" s="1"/>
  <c r="K38" s="1"/>
  <c r="L38" s="1"/>
  <c r="U38" i="33"/>
  <c r="J35" i="76"/>
  <c r="K35" s="1"/>
  <c r="M35" s="1"/>
  <c r="N35" s="1"/>
  <c r="H38" i="92"/>
  <c r="I38" s="1"/>
  <c r="K38" s="1"/>
  <c r="L38" s="1"/>
  <c r="X38" i="33"/>
  <c r="H38" i="91"/>
  <c r="I38" s="1"/>
  <c r="K38" s="1"/>
  <c r="L38" s="1"/>
  <c r="W38" i="33"/>
  <c r="J35" i="80"/>
  <c r="K35" s="1"/>
  <c r="M35" s="1"/>
  <c r="N35" s="1"/>
  <c r="H38" i="85"/>
  <c r="I38" s="1"/>
  <c r="K38" s="1"/>
  <c r="L38" s="1"/>
  <c r="R38" i="33"/>
  <c r="I37" i="115"/>
  <c r="J37" s="1"/>
  <c r="L37" s="1"/>
  <c r="L37" i="33"/>
  <c r="I37" i="118"/>
  <c r="J37" s="1"/>
  <c r="L37" s="1"/>
  <c r="M37" s="1"/>
  <c r="O37" i="33"/>
  <c r="I14" i="115"/>
  <c r="J14" s="1"/>
  <c r="L14" s="1"/>
  <c r="M14" s="1"/>
  <c r="L14" i="33"/>
  <c r="I14" i="116"/>
  <c r="J14" s="1"/>
  <c r="L14" s="1"/>
  <c r="M14" s="1"/>
  <c r="M14" i="33"/>
  <c r="I26" i="116"/>
  <c r="J26" s="1"/>
  <c r="L26" s="1"/>
  <c r="M26" s="1"/>
  <c r="M26" i="33"/>
  <c r="I26" i="115"/>
  <c r="J26" s="1"/>
  <c r="L26" s="1"/>
  <c r="M26" s="1"/>
  <c r="L26" i="33"/>
  <c r="H26" i="89"/>
  <c r="I26" s="1"/>
  <c r="K26" s="1"/>
  <c r="L26" s="1"/>
  <c r="V26" i="33"/>
  <c r="I35" i="116"/>
  <c r="J35" s="1"/>
  <c r="L35" s="1"/>
  <c r="M35" s="1"/>
  <c r="M35" i="33"/>
  <c r="I73" i="114"/>
  <c r="J73" s="1"/>
  <c r="L73" s="1"/>
  <c r="M73" s="1"/>
  <c r="K73" i="33"/>
  <c r="I73" i="116"/>
  <c r="J73" s="1"/>
  <c r="L73" s="1"/>
  <c r="M73" s="1"/>
  <c r="M73" i="33"/>
  <c r="I73" i="118"/>
  <c r="J73" s="1"/>
  <c r="L73" s="1"/>
  <c r="M73" s="1"/>
  <c r="O73" i="33"/>
  <c r="I75" i="114"/>
  <c r="J75" s="1"/>
  <c r="L75" s="1"/>
  <c r="K75" i="33"/>
  <c r="I75" i="116"/>
  <c r="J75" s="1"/>
  <c r="L75" s="1"/>
  <c r="M75" s="1"/>
  <c r="M75" i="33"/>
  <c r="I75" i="118"/>
  <c r="J75" s="1"/>
  <c r="L75" s="1"/>
  <c r="O75" i="33"/>
  <c r="I68" i="114"/>
  <c r="J68" s="1"/>
  <c r="L68" s="1"/>
  <c r="M68" s="1"/>
  <c r="K68" i="33"/>
  <c r="I68" i="116"/>
  <c r="J68" s="1"/>
  <c r="L68" s="1"/>
  <c r="M68" s="1"/>
  <c r="M68" i="33"/>
  <c r="I68" i="118"/>
  <c r="J68" s="1"/>
  <c r="L68" s="1"/>
  <c r="M68" s="1"/>
  <c r="O68" i="33"/>
  <c r="I13" i="115"/>
  <c r="J13" s="1"/>
  <c r="L13" s="1"/>
  <c r="M13" s="1"/>
  <c r="L13" i="33"/>
  <c r="I13" i="118"/>
  <c r="J13" s="1"/>
  <c r="L13" s="1"/>
  <c r="M13" s="1"/>
  <c r="O13" i="33"/>
  <c r="I62" i="115"/>
  <c r="J62" s="1"/>
  <c r="L62" s="1"/>
  <c r="M62" s="1"/>
  <c r="L62" i="33"/>
  <c r="I62" i="117"/>
  <c r="J62" s="1"/>
  <c r="L62" s="1"/>
  <c r="M62" s="1"/>
  <c r="N62" i="33"/>
  <c r="I11" i="116"/>
  <c r="J11" s="1"/>
  <c r="L11" s="1"/>
  <c r="M11" s="1"/>
  <c r="M11" i="33"/>
  <c r="I52" i="115"/>
  <c r="J52" s="1"/>
  <c r="L52" s="1"/>
  <c r="L52" i="33"/>
  <c r="I66" i="114"/>
  <c r="J66" s="1"/>
  <c r="L66" s="1"/>
  <c r="M66" s="1"/>
  <c r="K66" i="33"/>
  <c r="I66" i="117"/>
  <c r="J66" s="1"/>
  <c r="L66" s="1"/>
  <c r="N66" i="33"/>
  <c r="I25" i="115"/>
  <c r="J25" s="1"/>
  <c r="L25" s="1"/>
  <c r="M25" s="1"/>
  <c r="L25" i="33"/>
  <c r="I25" i="118"/>
  <c r="J25" s="1"/>
  <c r="L25" s="1"/>
  <c r="O25" i="33"/>
  <c r="I59" i="115"/>
  <c r="J59" s="1"/>
  <c r="L59" s="1"/>
  <c r="M59" s="1"/>
  <c r="L59" i="33"/>
  <c r="I59" i="117"/>
  <c r="J59" s="1"/>
  <c r="L59" s="1"/>
  <c r="M59" s="1"/>
  <c r="N59" i="33"/>
  <c r="I49" i="116"/>
  <c r="J49" s="1"/>
  <c r="L49" s="1"/>
  <c r="M49" s="1"/>
  <c r="M49" i="33"/>
  <c r="I41" i="115"/>
  <c r="J41" s="1"/>
  <c r="L41" s="1"/>
  <c r="M41" s="1"/>
  <c r="L41" i="33"/>
  <c r="I41" i="118"/>
  <c r="J41" s="1"/>
  <c r="L41" s="1"/>
  <c r="O41" i="33"/>
  <c r="I38" i="116"/>
  <c r="J38" s="1"/>
  <c r="L38" s="1"/>
  <c r="M38" s="1"/>
  <c r="M38" i="33"/>
  <c r="I72" i="115"/>
  <c r="J72" s="1"/>
  <c r="L72" s="1"/>
  <c r="M72" s="1"/>
  <c r="L72" i="33"/>
  <c r="I72" i="117"/>
  <c r="J72" s="1"/>
  <c r="L72" s="1"/>
  <c r="N72" i="33"/>
  <c r="I63" i="115"/>
  <c r="J63" s="1"/>
  <c r="L63" s="1"/>
  <c r="M63" s="1"/>
  <c r="L63" i="33"/>
  <c r="I63" i="117"/>
  <c r="J63" s="1"/>
  <c r="L63" s="1"/>
  <c r="M63" s="1"/>
  <c r="N63" i="33"/>
  <c r="I24" i="116"/>
  <c r="J24" s="1"/>
  <c r="L24" s="1"/>
  <c r="M24" s="1"/>
  <c r="M24" i="33"/>
  <c r="I24" i="115"/>
  <c r="J24" s="1"/>
  <c r="L24" s="1"/>
  <c r="M24" s="1"/>
  <c r="L24" i="33"/>
  <c r="I21" i="116"/>
  <c r="J21" s="1"/>
  <c r="L21" s="1"/>
  <c r="M21" s="1"/>
  <c r="M21" i="33"/>
  <c r="I21" i="118"/>
  <c r="J21" s="1"/>
  <c r="L21" s="1"/>
  <c r="M21" s="1"/>
  <c r="O21" i="33"/>
  <c r="I65" i="114"/>
  <c r="J65" s="1"/>
  <c r="L65" s="1"/>
  <c r="M65" s="1"/>
  <c r="K65" i="33"/>
  <c r="I65" i="117"/>
  <c r="J65" s="1"/>
  <c r="L65" s="1"/>
  <c r="M65" s="1"/>
  <c r="N65" i="33"/>
  <c r="I46" i="116"/>
  <c r="J46" s="1"/>
  <c r="L46" s="1"/>
  <c r="M46" s="1"/>
  <c r="M46" i="33"/>
  <c r="I18" i="115"/>
  <c r="J18" s="1"/>
  <c r="L18" s="1"/>
  <c r="M18" s="1"/>
  <c r="L18" i="33"/>
  <c r="I18" i="116"/>
  <c r="J18" s="1"/>
  <c r="L18" s="1"/>
  <c r="M18" s="1"/>
  <c r="M18" i="33"/>
  <c r="I51" i="116"/>
  <c r="J51" s="1"/>
  <c r="L51" s="1"/>
  <c r="M51" s="1"/>
  <c r="M51" i="33"/>
  <c r="I8" i="115"/>
  <c r="J8" s="1"/>
  <c r="L8" s="1"/>
  <c r="M8" s="1"/>
  <c r="L8" i="33"/>
  <c r="I8" i="116"/>
  <c r="J8" s="1"/>
  <c r="L8" s="1"/>
  <c r="M8" s="1"/>
  <c r="M8" i="33"/>
  <c r="I33" i="115"/>
  <c r="J33" s="1"/>
  <c r="L33" s="1"/>
  <c r="M33" s="1"/>
  <c r="L33" i="33"/>
  <c r="I33" i="118"/>
  <c r="J33" s="1"/>
  <c r="L33" s="1"/>
  <c r="M33" s="1"/>
  <c r="O33" i="33"/>
  <c r="I47" i="116"/>
  <c r="J47" s="1"/>
  <c r="L47" s="1"/>
  <c r="M47" s="1"/>
  <c r="M47" i="33"/>
  <c r="I74" i="114"/>
  <c r="J74" s="1"/>
  <c r="L74" s="1"/>
  <c r="M74" s="1"/>
  <c r="K74" i="33"/>
  <c r="I74" i="117"/>
  <c r="J74" s="1"/>
  <c r="L74" s="1"/>
  <c r="M74" s="1"/>
  <c r="N74" i="33"/>
  <c r="I45" i="116"/>
  <c r="J45" s="1"/>
  <c r="L45" s="1"/>
  <c r="M45" s="1"/>
  <c r="M45" i="33"/>
  <c r="I58" i="114"/>
  <c r="J58" s="1"/>
  <c r="L58" s="1"/>
  <c r="M58" s="1"/>
  <c r="K58" i="33"/>
  <c r="I55" i="116"/>
  <c r="J55" s="1"/>
  <c r="L55" s="1"/>
  <c r="M55" s="1"/>
  <c r="M55" i="33"/>
  <c r="D34" i="88"/>
  <c r="E34" s="1"/>
  <c r="G34" s="1"/>
  <c r="D31" i="80"/>
  <c r="E31" s="1"/>
  <c r="H31" s="1"/>
  <c r="K62" i="33"/>
  <c r="AX41" i="1"/>
  <c r="D34" i="89"/>
  <c r="E34" s="1"/>
  <c r="G34" s="1"/>
  <c r="D60" i="98"/>
  <c r="E60" s="1"/>
  <c r="H60" s="1"/>
  <c r="AA60" i="33" s="1"/>
  <c r="D57" i="76"/>
  <c r="E57" s="1"/>
  <c r="H57" s="1"/>
  <c r="D57" i="80"/>
  <c r="E57" s="1"/>
  <c r="H57" s="1"/>
  <c r="D60" i="86"/>
  <c r="E60" s="1"/>
  <c r="G60" s="1"/>
  <c r="D60" i="85"/>
  <c r="E60" s="1"/>
  <c r="G60" s="1"/>
  <c r="D60" i="91"/>
  <c r="E60" s="1"/>
  <c r="G60" s="1"/>
  <c r="D60" i="116"/>
  <c r="E60" s="1"/>
  <c r="H60" s="1"/>
  <c r="D60" i="120"/>
  <c r="E60" s="1"/>
  <c r="H60" s="1"/>
  <c r="I60" s="1"/>
  <c r="J60" s="1"/>
  <c r="L60" s="1"/>
  <c r="M60" s="1"/>
  <c r="D34" i="86"/>
  <c r="E34" s="1"/>
  <c r="G34" s="1"/>
  <c r="D34" i="92"/>
  <c r="E34" s="1"/>
  <c r="G34" s="1"/>
  <c r="D34" i="91"/>
  <c r="E34" s="1"/>
  <c r="G34" s="1"/>
  <c r="D34" i="99"/>
  <c r="E34" s="1"/>
  <c r="H34" s="1"/>
  <c r="Z34" i="33" s="1"/>
  <c r="D60" i="113"/>
  <c r="E60" s="1"/>
  <c r="H60" s="1"/>
  <c r="J60" i="33" s="1"/>
  <c r="D60" i="117"/>
  <c r="E60" s="1"/>
  <c r="H60" s="1"/>
  <c r="D60" i="89"/>
  <c r="E60" s="1"/>
  <c r="G60" s="1"/>
  <c r="D31" i="76"/>
  <c r="E31" s="1"/>
  <c r="H31" s="1"/>
  <c r="F34" i="90"/>
  <c r="G34" s="1"/>
  <c r="I34" s="1"/>
  <c r="Y34" i="33" s="1"/>
  <c r="D60" i="92"/>
  <c r="E60" s="1"/>
  <c r="G60" s="1"/>
  <c r="D60" i="88"/>
  <c r="E60" s="1"/>
  <c r="G60" s="1"/>
  <c r="D60" i="114"/>
  <c r="E60" s="1"/>
  <c r="H60" s="1"/>
  <c r="M39" i="113"/>
  <c r="M17" i="117"/>
  <c r="M39" i="119"/>
  <c r="M40"/>
  <c r="M39" i="117"/>
  <c r="M50"/>
  <c r="M17" i="113"/>
  <c r="M50" i="120"/>
  <c r="M40" i="117"/>
  <c r="D67" i="120"/>
  <c r="E67" s="1"/>
  <c r="H67" s="1"/>
  <c r="I67" s="1"/>
  <c r="J67" s="1"/>
  <c r="L67" s="1"/>
  <c r="D67" i="119"/>
  <c r="E67" s="1"/>
  <c r="H67" s="1"/>
  <c r="I67" s="1"/>
  <c r="J67" s="1"/>
  <c r="L67" s="1"/>
  <c r="D67" i="118"/>
  <c r="E67" s="1"/>
  <c r="H67" s="1"/>
  <c r="D67" i="117"/>
  <c r="E67" s="1"/>
  <c r="H67" s="1"/>
  <c r="D67" i="116"/>
  <c r="E67" s="1"/>
  <c r="H67" s="1"/>
  <c r="D67" i="115"/>
  <c r="E67" s="1"/>
  <c r="H67" s="1"/>
  <c r="D67" i="114"/>
  <c r="E67" s="1"/>
  <c r="H67" s="1"/>
  <c r="D67" i="113"/>
  <c r="E67" s="1"/>
  <c r="H67" s="1"/>
  <c r="J67" i="33" s="1"/>
  <c r="D71" i="120"/>
  <c r="E71" s="1"/>
  <c r="H71" s="1"/>
  <c r="I71" s="1"/>
  <c r="J71" s="1"/>
  <c r="L71" s="1"/>
  <c r="D71" i="119"/>
  <c r="E71" s="1"/>
  <c r="H71" s="1"/>
  <c r="D71" i="118"/>
  <c r="E71" s="1"/>
  <c r="H71" s="1"/>
  <c r="D71" i="117"/>
  <c r="E71" s="1"/>
  <c r="H71" s="1"/>
  <c r="D71" i="116"/>
  <c r="E71" s="1"/>
  <c r="H71" s="1"/>
  <c r="D71" i="115"/>
  <c r="E71" s="1"/>
  <c r="H71" s="1"/>
  <c r="D71" i="114"/>
  <c r="E71" s="1"/>
  <c r="H71" s="1"/>
  <c r="D71" i="113"/>
  <c r="E71" s="1"/>
  <c r="H71" s="1"/>
  <c r="J71" i="33" s="1"/>
  <c r="D48" i="120"/>
  <c r="E48" s="1"/>
  <c r="H48" s="1"/>
  <c r="D48" i="119"/>
  <c r="E48" s="1"/>
  <c r="H48" s="1"/>
  <c r="I48" s="1"/>
  <c r="J48" s="1"/>
  <c r="L48" s="1"/>
  <c r="D48" i="118"/>
  <c r="E48" s="1"/>
  <c r="H48" s="1"/>
  <c r="D48" i="116"/>
  <c r="E48" s="1"/>
  <c r="H48" s="1"/>
  <c r="D48" i="115"/>
  <c r="E48" s="1"/>
  <c r="H48" s="1"/>
  <c r="D48" i="117"/>
  <c r="E48" s="1"/>
  <c r="H48" s="1"/>
  <c r="N48" i="33" s="1"/>
  <c r="D48" i="114"/>
  <c r="E48" s="1"/>
  <c r="H48" s="1"/>
  <c r="D48" i="113"/>
  <c r="E48" s="1"/>
  <c r="H48" s="1"/>
  <c r="J48" i="33" s="1"/>
  <c r="D69" i="120"/>
  <c r="E69" s="1"/>
  <c r="H69" s="1"/>
  <c r="I69" s="1"/>
  <c r="J69" s="1"/>
  <c r="L69" s="1"/>
  <c r="D69" i="119"/>
  <c r="E69" s="1"/>
  <c r="H69" s="1"/>
  <c r="D69" i="118"/>
  <c r="E69" s="1"/>
  <c r="H69" s="1"/>
  <c r="D69" i="117"/>
  <c r="E69" s="1"/>
  <c r="H69" s="1"/>
  <c r="D69" i="116"/>
  <c r="E69" s="1"/>
  <c r="H69" s="1"/>
  <c r="D69" i="115"/>
  <c r="E69" s="1"/>
  <c r="H69" s="1"/>
  <c r="D69" i="114"/>
  <c r="E69" s="1"/>
  <c r="H69" s="1"/>
  <c r="D69" i="113"/>
  <c r="E69" s="1"/>
  <c r="H69" s="1"/>
  <c r="J69" i="33" s="1"/>
  <c r="D44" i="120"/>
  <c r="E44" s="1"/>
  <c r="H44" s="1"/>
  <c r="I44" s="1"/>
  <c r="J44" s="1"/>
  <c r="L44" s="1"/>
  <c r="D44" i="119"/>
  <c r="E44" s="1"/>
  <c r="H44" s="1"/>
  <c r="D44" i="118"/>
  <c r="E44" s="1"/>
  <c r="H44" s="1"/>
  <c r="D44" i="116"/>
  <c r="E44" s="1"/>
  <c r="H44" s="1"/>
  <c r="M44" i="33" s="1"/>
  <c r="D44" i="115"/>
  <c r="E44" s="1"/>
  <c r="H44" s="1"/>
  <c r="D44" i="117"/>
  <c r="E44" s="1"/>
  <c r="H44" s="1"/>
  <c r="N44" i="33" s="1"/>
  <c r="D44" i="114"/>
  <c r="E44" s="1"/>
  <c r="H44" s="1"/>
  <c r="D44" i="113"/>
  <c r="E44" s="1"/>
  <c r="H44" s="1"/>
  <c r="J44" i="33" s="1"/>
  <c r="D12" i="118"/>
  <c r="E12" s="1"/>
  <c r="H12" s="1"/>
  <c r="O12" i="33" s="1"/>
  <c r="D12" i="120"/>
  <c r="E12" s="1"/>
  <c r="H12" s="1"/>
  <c r="I12" s="1"/>
  <c r="J12" s="1"/>
  <c r="L12" s="1"/>
  <c r="D12" i="119"/>
  <c r="E12" s="1"/>
  <c r="H12" s="1"/>
  <c r="I12" s="1"/>
  <c r="J12" s="1"/>
  <c r="L12" s="1"/>
  <c r="D12" i="116"/>
  <c r="E12" s="1"/>
  <c r="H12" s="1"/>
  <c r="D12" i="117"/>
  <c r="E12" s="1"/>
  <c r="H12" s="1"/>
  <c r="N12" i="33" s="1"/>
  <c r="D12" i="115"/>
  <c r="E12" s="1"/>
  <c r="H12" s="1"/>
  <c r="D12" i="114"/>
  <c r="E12" s="1"/>
  <c r="H12" s="1"/>
  <c r="K12" i="33" s="1"/>
  <c r="D12" i="113"/>
  <c r="E12" s="1"/>
  <c r="H12" s="1"/>
  <c r="J12" i="33" s="1"/>
  <c r="D57" i="120"/>
  <c r="E57" s="1"/>
  <c r="H57" s="1"/>
  <c r="D57" i="119"/>
  <c r="E57" s="1"/>
  <c r="H57" s="1"/>
  <c r="I57" s="1"/>
  <c r="J57" s="1"/>
  <c r="L57" s="1"/>
  <c r="D57" i="118"/>
  <c r="E57" s="1"/>
  <c r="H57" s="1"/>
  <c r="O57" i="33" s="1"/>
  <c r="D57" i="117"/>
  <c r="E57" s="1"/>
  <c r="H57" s="1"/>
  <c r="N57" i="33" s="1"/>
  <c r="D57" i="116"/>
  <c r="E57" s="1"/>
  <c r="H57" s="1"/>
  <c r="D57" i="114"/>
  <c r="E57" s="1"/>
  <c r="H57" s="1"/>
  <c r="D57" i="115"/>
  <c r="E57" s="1"/>
  <c r="H57" s="1"/>
  <c r="D57" i="113"/>
  <c r="E57" s="1"/>
  <c r="H57" s="1"/>
  <c r="J57" i="33" s="1"/>
  <c r="D29" i="120"/>
  <c r="E29" s="1"/>
  <c r="H29" s="1"/>
  <c r="I29" s="1"/>
  <c r="J29" s="1"/>
  <c r="L29" s="1"/>
  <c r="D29" i="118"/>
  <c r="E29" s="1"/>
  <c r="H29" s="1"/>
  <c r="D29" i="119"/>
  <c r="E29" s="1"/>
  <c r="H29" s="1"/>
  <c r="I29" s="1"/>
  <c r="J29" s="1"/>
  <c r="L29" s="1"/>
  <c r="D29" i="117"/>
  <c r="E29" s="1"/>
  <c r="H29" s="1"/>
  <c r="N29" i="33" s="1"/>
  <c r="D29" i="116"/>
  <c r="E29" s="1"/>
  <c r="H29" s="1"/>
  <c r="D29" i="115"/>
  <c r="E29" s="1"/>
  <c r="H29" s="1"/>
  <c r="D29" i="114"/>
  <c r="E29" s="1"/>
  <c r="H29" s="1"/>
  <c r="D29" i="113"/>
  <c r="E29" s="1"/>
  <c r="H29" s="1"/>
  <c r="J29" i="33" s="1"/>
  <c r="D32" i="120"/>
  <c r="E32" s="1"/>
  <c r="H32" s="1"/>
  <c r="I32" s="1"/>
  <c r="J32" s="1"/>
  <c r="L32" s="1"/>
  <c r="D32" i="118"/>
  <c r="E32" s="1"/>
  <c r="H32" s="1"/>
  <c r="O32" i="33" s="1"/>
  <c r="D32" i="119"/>
  <c r="E32" s="1"/>
  <c r="H32" s="1"/>
  <c r="I32" s="1"/>
  <c r="J32" s="1"/>
  <c r="L32" s="1"/>
  <c r="D32" i="115"/>
  <c r="E32" s="1"/>
  <c r="H32" s="1"/>
  <c r="L32" i="33" s="1"/>
  <c r="D32" i="117"/>
  <c r="E32" s="1"/>
  <c r="H32" s="1"/>
  <c r="N32" i="33" s="1"/>
  <c r="D32" i="116"/>
  <c r="E32" s="1"/>
  <c r="H32" s="1"/>
  <c r="D32" i="114"/>
  <c r="E32" s="1"/>
  <c r="H32" s="1"/>
  <c r="K32" i="33" s="1"/>
  <c r="D32" i="113"/>
  <c r="E32" s="1"/>
  <c r="H32" s="1"/>
  <c r="J32" i="33" s="1"/>
  <c r="D61" i="120"/>
  <c r="E61" s="1"/>
  <c r="H61" s="1"/>
  <c r="I61" s="1"/>
  <c r="J61" s="1"/>
  <c r="L61" s="1"/>
  <c r="D61" i="119"/>
  <c r="E61" s="1"/>
  <c r="H61" s="1"/>
  <c r="I61" s="1"/>
  <c r="J61" s="1"/>
  <c r="L61" s="1"/>
  <c r="D61" i="118"/>
  <c r="E61" s="1"/>
  <c r="H61" s="1"/>
  <c r="O61" i="33" s="1"/>
  <c r="D61" i="117"/>
  <c r="E61" s="1"/>
  <c r="H61" s="1"/>
  <c r="D61" i="116"/>
  <c r="E61" s="1"/>
  <c r="H61" s="1"/>
  <c r="D61" i="115"/>
  <c r="E61" s="1"/>
  <c r="H61" s="1"/>
  <c r="D61" i="114"/>
  <c r="E61" s="1"/>
  <c r="H61" s="1"/>
  <c r="D61" i="113"/>
  <c r="E61" s="1"/>
  <c r="H61" s="1"/>
  <c r="J61" i="33" s="1"/>
  <c r="D31" i="120"/>
  <c r="E31" s="1"/>
  <c r="H31" s="1"/>
  <c r="I31" s="1"/>
  <c r="J31" s="1"/>
  <c r="L31" s="1"/>
  <c r="D31" i="118"/>
  <c r="E31" s="1"/>
  <c r="H31" s="1"/>
  <c r="D31" i="119"/>
  <c r="E31" s="1"/>
  <c r="H31" s="1"/>
  <c r="I31" s="1"/>
  <c r="J31" s="1"/>
  <c r="L31" s="1"/>
  <c r="D31" i="117"/>
  <c r="E31" s="1"/>
  <c r="H31" s="1"/>
  <c r="N31" i="33" s="1"/>
  <c r="D31" i="116"/>
  <c r="E31" s="1"/>
  <c r="H31" s="1"/>
  <c r="D31" i="115"/>
  <c r="E31" s="1"/>
  <c r="H31" s="1"/>
  <c r="D31" i="114"/>
  <c r="E31" s="1"/>
  <c r="H31" s="1"/>
  <c r="K31" i="33" s="1"/>
  <c r="D31" i="113"/>
  <c r="E31" s="1"/>
  <c r="H31" s="1"/>
  <c r="J31" i="33" s="1"/>
  <c r="D53" i="120"/>
  <c r="E53" s="1"/>
  <c r="H53" s="1"/>
  <c r="D53" i="119"/>
  <c r="E53" s="1"/>
  <c r="H53" s="1"/>
  <c r="I53" s="1"/>
  <c r="J53" s="1"/>
  <c r="L53" s="1"/>
  <c r="D53" i="118"/>
  <c r="E53" s="1"/>
  <c r="H53" s="1"/>
  <c r="O53" i="33" s="1"/>
  <c r="D53" i="116"/>
  <c r="E53" s="1"/>
  <c r="H53" s="1"/>
  <c r="D53" i="114"/>
  <c r="E53" s="1"/>
  <c r="H53" s="1"/>
  <c r="D53" i="117"/>
  <c r="E53" s="1"/>
  <c r="H53" s="1"/>
  <c r="N53" i="33" s="1"/>
  <c r="D53" i="115"/>
  <c r="E53" s="1"/>
  <c r="H53" s="1"/>
  <c r="D53" i="113"/>
  <c r="E53" s="1"/>
  <c r="H53" s="1"/>
  <c r="J53" i="33" s="1"/>
  <c r="D27" i="120"/>
  <c r="E27" s="1"/>
  <c r="H27" s="1"/>
  <c r="I27" s="1"/>
  <c r="J27" s="1"/>
  <c r="L27" s="1"/>
  <c r="D27" i="118"/>
  <c r="E27" s="1"/>
  <c r="H27" s="1"/>
  <c r="D27" i="119"/>
  <c r="E27" s="1"/>
  <c r="H27" s="1"/>
  <c r="I27" s="1"/>
  <c r="J27" s="1"/>
  <c r="L27" s="1"/>
  <c r="D27" i="117"/>
  <c r="E27" s="1"/>
  <c r="H27" s="1"/>
  <c r="N27" i="33" s="1"/>
  <c r="D27" i="116"/>
  <c r="E27" s="1"/>
  <c r="H27" s="1"/>
  <c r="D27" i="115"/>
  <c r="E27" s="1"/>
  <c r="H27" s="1"/>
  <c r="D27" i="114"/>
  <c r="E27" s="1"/>
  <c r="H27" s="1"/>
  <c r="K27" i="33" s="1"/>
  <c r="D27" i="113"/>
  <c r="E27" s="1"/>
  <c r="H27" s="1"/>
  <c r="J27" i="33" s="1"/>
  <c r="D22" i="92"/>
  <c r="E22" s="1"/>
  <c r="G22" s="1"/>
  <c r="D22" i="120"/>
  <c r="E22" s="1"/>
  <c r="H22" s="1"/>
  <c r="D22" i="118"/>
  <c r="E22" s="1"/>
  <c r="H22" s="1"/>
  <c r="O22" i="33" s="1"/>
  <c r="D22" i="119"/>
  <c r="E22" s="1"/>
  <c r="H22" s="1"/>
  <c r="I22" s="1"/>
  <c r="J22" s="1"/>
  <c r="L22" s="1"/>
  <c r="D22" i="116"/>
  <c r="E22" s="1"/>
  <c r="H22" s="1"/>
  <c r="D22" i="117"/>
  <c r="E22" s="1"/>
  <c r="H22" s="1"/>
  <c r="N22" i="33" s="1"/>
  <c r="D22" i="115"/>
  <c r="E22" s="1"/>
  <c r="H22" s="1"/>
  <c r="D22" i="114"/>
  <c r="E22" s="1"/>
  <c r="H22" s="1"/>
  <c r="D22" i="113"/>
  <c r="E22" s="1"/>
  <c r="H22" s="1"/>
  <c r="J22" i="33" s="1"/>
  <c r="D23" i="120"/>
  <c r="E23" s="1"/>
  <c r="H23" s="1"/>
  <c r="I23" s="1"/>
  <c r="J23" s="1"/>
  <c r="L23" s="1"/>
  <c r="D23" i="118"/>
  <c r="E23" s="1"/>
  <c r="H23" s="1"/>
  <c r="D23" i="119"/>
  <c r="E23" s="1"/>
  <c r="H23" s="1"/>
  <c r="I23" s="1"/>
  <c r="J23" s="1"/>
  <c r="L23" s="1"/>
  <c r="D23" i="116"/>
  <c r="E23" s="1"/>
  <c r="H23" s="1"/>
  <c r="D23" i="115"/>
  <c r="E23" s="1"/>
  <c r="H23" s="1"/>
  <c r="D23" i="117"/>
  <c r="E23" s="1"/>
  <c r="H23" s="1"/>
  <c r="N23" i="33" s="1"/>
  <c r="D23" i="114"/>
  <c r="E23" s="1"/>
  <c r="H23" s="1"/>
  <c r="D23" i="113"/>
  <c r="E23" s="1"/>
  <c r="H23" s="1"/>
  <c r="J23" i="33" s="1"/>
  <c r="D42" i="86"/>
  <c r="E42" s="1"/>
  <c r="G42" s="1"/>
  <c r="D42" i="120"/>
  <c r="E42" s="1"/>
  <c r="H42" s="1"/>
  <c r="I42" s="1"/>
  <c r="J42" s="1"/>
  <c r="L42" s="1"/>
  <c r="D42" i="119"/>
  <c r="E42" s="1"/>
  <c r="H42" s="1"/>
  <c r="I42" s="1"/>
  <c r="J42" s="1"/>
  <c r="L42" s="1"/>
  <c r="D42" i="118"/>
  <c r="E42" s="1"/>
  <c r="H42" s="1"/>
  <c r="O42" i="33" s="1"/>
  <c r="D42" i="117"/>
  <c r="E42" s="1"/>
  <c r="H42" s="1"/>
  <c r="D42" i="115"/>
  <c r="E42" s="1"/>
  <c r="H42" s="1"/>
  <c r="L42" i="33" s="1"/>
  <c r="D42" i="114"/>
  <c r="E42" s="1"/>
  <c r="H42" s="1"/>
  <c r="D42" i="116"/>
  <c r="E42" s="1"/>
  <c r="H42" s="1"/>
  <c r="M42" i="33" s="1"/>
  <c r="D42" i="113"/>
  <c r="E42" s="1"/>
  <c r="H42" s="1"/>
  <c r="J42" i="33" s="1"/>
  <c r="D30" i="89"/>
  <c r="E30" s="1"/>
  <c r="G30" s="1"/>
  <c r="D30" i="120"/>
  <c r="E30" s="1"/>
  <c r="H30" s="1"/>
  <c r="I30" s="1"/>
  <c r="J30" s="1"/>
  <c r="L30" s="1"/>
  <c r="D30" i="118"/>
  <c r="E30" s="1"/>
  <c r="H30" s="1"/>
  <c r="O30" i="33" s="1"/>
  <c r="D30" i="119"/>
  <c r="E30" s="1"/>
  <c r="H30" s="1"/>
  <c r="D30" i="115"/>
  <c r="E30" s="1"/>
  <c r="H30" s="1"/>
  <c r="D30" i="117"/>
  <c r="E30" s="1"/>
  <c r="H30" s="1"/>
  <c r="N30" i="33" s="1"/>
  <c r="D30" i="116"/>
  <c r="E30" s="1"/>
  <c r="H30" s="1"/>
  <c r="D30" i="114"/>
  <c r="E30" s="1"/>
  <c r="H30" s="1"/>
  <c r="K30" i="33" s="1"/>
  <c r="D30" i="113"/>
  <c r="E30" s="1"/>
  <c r="H30" s="1"/>
  <c r="J30" i="33" s="1"/>
  <c r="M50" i="115"/>
  <c r="M50" i="113"/>
  <c r="M40" i="116"/>
  <c r="M40" i="113"/>
  <c r="I37"/>
  <c r="J37" s="1"/>
  <c r="L37" s="1"/>
  <c r="M37" i="115"/>
  <c r="I37" i="117"/>
  <c r="J37" s="1"/>
  <c r="L37" s="1"/>
  <c r="I14" i="113"/>
  <c r="J14" s="1"/>
  <c r="L14" s="1"/>
  <c r="I14" i="120"/>
  <c r="J14" s="1"/>
  <c r="L14" s="1"/>
  <c r="I26" i="113"/>
  <c r="J26" s="1"/>
  <c r="L26" s="1"/>
  <c r="I26" i="118"/>
  <c r="J26" s="1"/>
  <c r="L26" s="1"/>
  <c r="I35" i="114"/>
  <c r="J35" s="1"/>
  <c r="L35" s="1"/>
  <c r="I35" i="119"/>
  <c r="J35" s="1"/>
  <c r="L35" s="1"/>
  <c r="M35" i="120"/>
  <c r="M73"/>
  <c r="M75"/>
  <c r="M68"/>
  <c r="I36" i="114"/>
  <c r="J36" s="1"/>
  <c r="L36" s="1"/>
  <c r="I36" i="117"/>
  <c r="J36" s="1"/>
  <c r="L36" s="1"/>
  <c r="I36" i="118"/>
  <c r="J36" s="1"/>
  <c r="L36" s="1"/>
  <c r="M36" i="120"/>
  <c r="I13" i="114"/>
  <c r="J13" s="1"/>
  <c r="L13" s="1"/>
  <c r="M13" i="119"/>
  <c r="I62" i="114"/>
  <c r="J62" s="1"/>
  <c r="L62" s="1"/>
  <c r="M62" i="119"/>
  <c r="I11" i="113"/>
  <c r="J11" s="1"/>
  <c r="L11" s="1"/>
  <c r="I11" i="117"/>
  <c r="J11" s="1"/>
  <c r="L11" s="1"/>
  <c r="M11" i="120"/>
  <c r="I52" i="113"/>
  <c r="J52" s="1"/>
  <c r="L52" s="1"/>
  <c r="M52" i="115"/>
  <c r="I52" i="117"/>
  <c r="J52" s="1"/>
  <c r="L52" s="1"/>
  <c r="M52" i="119"/>
  <c r="I66" i="113"/>
  <c r="J66" s="1"/>
  <c r="L66" s="1"/>
  <c r="M66" i="117"/>
  <c r="I66" i="119"/>
  <c r="J66" s="1"/>
  <c r="L66" s="1"/>
  <c r="I25" i="113"/>
  <c r="J25" s="1"/>
  <c r="L25" s="1"/>
  <c r="I25" i="117"/>
  <c r="J25" s="1"/>
  <c r="L25" s="1"/>
  <c r="M25" i="118"/>
  <c r="I54" i="113"/>
  <c r="J54" s="1"/>
  <c r="L54" s="1"/>
  <c r="I54" i="115"/>
  <c r="J54" s="1"/>
  <c r="L54" s="1"/>
  <c r="I54" i="117"/>
  <c r="J54" s="1"/>
  <c r="L54" s="1"/>
  <c r="M54" i="119"/>
  <c r="I59" i="113"/>
  <c r="J59" s="1"/>
  <c r="L59" s="1"/>
  <c r="M59" i="119"/>
  <c r="M39" i="114"/>
  <c r="M50" i="118"/>
  <c r="M17" i="114"/>
  <c r="I49" i="113"/>
  <c r="J49" s="1"/>
  <c r="L49" s="1"/>
  <c r="I49" i="117"/>
  <c r="J49" s="1"/>
  <c r="L49" s="1"/>
  <c r="M49" i="119"/>
  <c r="I41" i="113"/>
  <c r="J41" s="1"/>
  <c r="L41" s="1"/>
  <c r="I41" i="117"/>
  <c r="J41" s="1"/>
  <c r="L41" s="1"/>
  <c r="I38" i="113"/>
  <c r="J38" s="1"/>
  <c r="L38" s="1"/>
  <c r="I38" i="117"/>
  <c r="J38" s="1"/>
  <c r="L38" s="1"/>
  <c r="I38" i="119"/>
  <c r="J38" s="1"/>
  <c r="L38" s="1"/>
  <c r="M72" i="120"/>
  <c r="I63" i="118"/>
  <c r="J63" s="1"/>
  <c r="L63" s="1"/>
  <c r="M63" i="120"/>
  <c r="I24" i="114"/>
  <c r="J24" s="1"/>
  <c r="L24" s="1"/>
  <c r="I24" i="117"/>
  <c r="J24" s="1"/>
  <c r="L24" s="1"/>
  <c r="M24" i="119"/>
  <c r="M24" i="120"/>
  <c r="I21" i="114"/>
  <c r="J21" s="1"/>
  <c r="L21" s="1"/>
  <c r="M21" i="119"/>
  <c r="M21" i="120"/>
  <c r="I65" i="118"/>
  <c r="J65" s="1"/>
  <c r="L65" s="1"/>
  <c r="M65" i="120"/>
  <c r="I46"/>
  <c r="J46" s="1"/>
  <c r="L46" s="1"/>
  <c r="I18" i="114"/>
  <c r="J18" s="1"/>
  <c r="L18" s="1"/>
  <c r="I18" i="117"/>
  <c r="J18" s="1"/>
  <c r="L18" s="1"/>
  <c r="M18" i="119"/>
  <c r="I18" i="120"/>
  <c r="J18" s="1"/>
  <c r="L18" s="1"/>
  <c r="I51" i="115"/>
  <c r="J51" s="1"/>
  <c r="L51" s="1"/>
  <c r="I51" i="118"/>
  <c r="J51" s="1"/>
  <c r="L51" s="1"/>
  <c r="I51" i="120"/>
  <c r="J51" s="1"/>
  <c r="L51" s="1"/>
  <c r="I8" i="117"/>
  <c r="J8" s="1"/>
  <c r="L8" s="1"/>
  <c r="M8" i="120"/>
  <c r="M33" i="119"/>
  <c r="M33" i="120"/>
  <c r="M70"/>
  <c r="I47"/>
  <c r="J47" s="1"/>
  <c r="L47" s="1"/>
  <c r="M74"/>
  <c r="I45" i="119"/>
  <c r="J45" s="1"/>
  <c r="L45" s="1"/>
  <c r="I58" i="115"/>
  <c r="J58" s="1"/>
  <c r="L58" s="1"/>
  <c r="I58" i="118"/>
  <c r="J58" s="1"/>
  <c r="L58" s="1"/>
  <c r="I58" i="120"/>
  <c r="J58" s="1"/>
  <c r="L58" s="1"/>
  <c r="I55" i="118"/>
  <c r="J55" s="1"/>
  <c r="L55" s="1"/>
  <c r="I55" i="120"/>
  <c r="J55" s="1"/>
  <c r="L55" s="1"/>
  <c r="D10" i="118"/>
  <c r="E10" s="1"/>
  <c r="H10" s="1"/>
  <c r="O10" i="33" s="1"/>
  <c r="D10" i="120"/>
  <c r="E10" s="1"/>
  <c r="H10" s="1"/>
  <c r="I10" s="1"/>
  <c r="J10" s="1"/>
  <c r="L10" s="1"/>
  <c r="D10" i="119"/>
  <c r="E10" s="1"/>
  <c r="H10" s="1"/>
  <c r="I10" s="1"/>
  <c r="J10" s="1"/>
  <c r="L10" s="1"/>
  <c r="D10" i="116"/>
  <c r="E10" s="1"/>
  <c r="H10" s="1"/>
  <c r="D10" i="114"/>
  <c r="E10" s="1"/>
  <c r="H10" s="1"/>
  <c r="D10" i="117"/>
  <c r="E10" s="1"/>
  <c r="H10" s="1"/>
  <c r="N10" i="33" s="1"/>
  <c r="D10" i="115"/>
  <c r="E10" s="1"/>
  <c r="H10" s="1"/>
  <c r="D10" i="113"/>
  <c r="E10" s="1"/>
  <c r="H10" s="1"/>
  <c r="J10" i="33" s="1"/>
  <c r="D19" i="118"/>
  <c r="E19" s="1"/>
  <c r="H19" s="1"/>
  <c r="D19" i="120"/>
  <c r="E19" s="1"/>
  <c r="H19" s="1"/>
  <c r="I19" s="1"/>
  <c r="J19" s="1"/>
  <c r="L19" s="1"/>
  <c r="D19" i="119"/>
  <c r="E19" s="1"/>
  <c r="H19" s="1"/>
  <c r="I19" s="1"/>
  <c r="J19" s="1"/>
  <c r="L19" s="1"/>
  <c r="D19" i="116"/>
  <c r="E19" s="1"/>
  <c r="H19" s="1"/>
  <c r="D19" i="115"/>
  <c r="E19" s="1"/>
  <c r="H19" s="1"/>
  <c r="D19" i="117"/>
  <c r="E19" s="1"/>
  <c r="H19" s="1"/>
  <c r="N19" i="33" s="1"/>
  <c r="D19" i="114"/>
  <c r="E19" s="1"/>
  <c r="H19" s="1"/>
  <c r="K19" i="33" s="1"/>
  <c r="D19" i="113"/>
  <c r="E19" s="1"/>
  <c r="H19" s="1"/>
  <c r="J19" i="33" s="1"/>
  <c r="D56" i="120"/>
  <c r="E56" s="1"/>
  <c r="H56" s="1"/>
  <c r="D56" i="119"/>
  <c r="E56" s="1"/>
  <c r="H56" s="1"/>
  <c r="D56" i="118"/>
  <c r="E56" s="1"/>
  <c r="H56" s="1"/>
  <c r="O56" i="33" s="1"/>
  <c r="D56" i="117"/>
  <c r="E56" s="1"/>
  <c r="H56" s="1"/>
  <c r="N56" i="33" s="1"/>
  <c r="D56" i="116"/>
  <c r="E56" s="1"/>
  <c r="H56" s="1"/>
  <c r="D56" i="115"/>
  <c r="E56" s="1"/>
  <c r="H56" s="1"/>
  <c r="D56" i="114"/>
  <c r="E56" s="1"/>
  <c r="H56" s="1"/>
  <c r="D56" i="113"/>
  <c r="E56" s="1"/>
  <c r="H56" s="1"/>
  <c r="J56" i="33" s="1"/>
  <c r="D16" i="120"/>
  <c r="E16" s="1"/>
  <c r="H16" s="1"/>
  <c r="I16" s="1"/>
  <c r="J16" s="1"/>
  <c r="L16" s="1"/>
  <c r="D16" i="118"/>
  <c r="E16" s="1"/>
  <c r="H16" s="1"/>
  <c r="O16" i="33" s="1"/>
  <c r="D16" i="119"/>
  <c r="E16" s="1"/>
  <c r="H16" s="1"/>
  <c r="I16" s="1"/>
  <c r="J16" s="1"/>
  <c r="L16" s="1"/>
  <c r="D16" i="116"/>
  <c r="E16" s="1"/>
  <c r="H16" s="1"/>
  <c r="D16" i="117"/>
  <c r="E16" s="1"/>
  <c r="H16" s="1"/>
  <c r="N16" i="33" s="1"/>
  <c r="D16" i="115"/>
  <c r="E16" s="1"/>
  <c r="H16" s="1"/>
  <c r="D16" i="114"/>
  <c r="E16" s="1"/>
  <c r="H16" s="1"/>
  <c r="K16" i="33" s="1"/>
  <c r="D16" i="113"/>
  <c r="E16" s="1"/>
  <c r="H16" s="1"/>
  <c r="J16" i="33" s="1"/>
  <c r="D20" i="120"/>
  <c r="E20" s="1"/>
  <c r="H20" s="1"/>
  <c r="I20" s="1"/>
  <c r="J20" s="1"/>
  <c r="L20" s="1"/>
  <c r="D20" i="118"/>
  <c r="E20" s="1"/>
  <c r="H20" s="1"/>
  <c r="O20" i="33" s="1"/>
  <c r="D20" i="119"/>
  <c r="E20" s="1"/>
  <c r="H20" s="1"/>
  <c r="D20" i="116"/>
  <c r="E20" s="1"/>
  <c r="H20" s="1"/>
  <c r="D20" i="117"/>
  <c r="E20" s="1"/>
  <c r="H20" s="1"/>
  <c r="N20" i="33" s="1"/>
  <c r="D20" i="115"/>
  <c r="E20" s="1"/>
  <c r="H20" s="1"/>
  <c r="D20" i="114"/>
  <c r="E20" s="1"/>
  <c r="H20" s="1"/>
  <c r="K20" i="33" s="1"/>
  <c r="D20" i="113"/>
  <c r="E20" s="1"/>
  <c r="H20" s="1"/>
  <c r="J20" i="33" s="1"/>
  <c r="D43" i="87"/>
  <c r="E43" s="1"/>
  <c r="G43" s="1"/>
  <c r="D43" i="120"/>
  <c r="E43" s="1"/>
  <c r="H43" s="1"/>
  <c r="I43" s="1"/>
  <c r="J43" s="1"/>
  <c r="L43" s="1"/>
  <c r="D43" i="119"/>
  <c r="E43" s="1"/>
  <c r="H43" s="1"/>
  <c r="I43" s="1"/>
  <c r="J43" s="1"/>
  <c r="L43" s="1"/>
  <c r="D43" i="118"/>
  <c r="E43" s="1"/>
  <c r="H43" s="1"/>
  <c r="D43" i="116"/>
  <c r="E43" s="1"/>
  <c r="H43" s="1"/>
  <c r="D43" i="114"/>
  <c r="E43" s="1"/>
  <c r="H43" s="1"/>
  <c r="K43" i="33" s="1"/>
  <c r="D43" i="117"/>
  <c r="E43" s="1"/>
  <c r="H43" s="1"/>
  <c r="N43" i="33" s="1"/>
  <c r="D43" i="115"/>
  <c r="E43" s="1"/>
  <c r="H43" s="1"/>
  <c r="D43" i="113"/>
  <c r="E43" s="1"/>
  <c r="H43" s="1"/>
  <c r="J43" i="33" s="1"/>
  <c r="D28" i="88"/>
  <c r="E28" s="1"/>
  <c r="G28" s="1"/>
  <c r="D28" i="120"/>
  <c r="E28" s="1"/>
  <c r="H28" s="1"/>
  <c r="I28" s="1"/>
  <c r="J28" s="1"/>
  <c r="L28" s="1"/>
  <c r="D28" i="118"/>
  <c r="E28" s="1"/>
  <c r="H28" s="1"/>
  <c r="O28" i="33" s="1"/>
  <c r="D28" i="119"/>
  <c r="E28" s="1"/>
  <c r="H28" s="1"/>
  <c r="I28" s="1"/>
  <c r="J28" s="1"/>
  <c r="L28" s="1"/>
  <c r="D28" i="115"/>
  <c r="E28" s="1"/>
  <c r="H28" s="1"/>
  <c r="D28" i="117"/>
  <c r="E28" s="1"/>
  <c r="H28" s="1"/>
  <c r="N28" i="33" s="1"/>
  <c r="D28" i="116"/>
  <c r="E28" s="1"/>
  <c r="H28" s="1"/>
  <c r="D28" i="114"/>
  <c r="E28" s="1"/>
  <c r="H28" s="1"/>
  <c r="K28" i="33" s="1"/>
  <c r="D28" i="113"/>
  <c r="E28" s="1"/>
  <c r="H28" s="1"/>
  <c r="J28" i="33" s="1"/>
  <c r="D64" i="89"/>
  <c r="E64" s="1"/>
  <c r="G64" s="1"/>
  <c r="D64" i="120"/>
  <c r="E64" s="1"/>
  <c r="H64" s="1"/>
  <c r="I64" s="1"/>
  <c r="J64" s="1"/>
  <c r="L64" s="1"/>
  <c r="D64" i="119"/>
  <c r="E64" s="1"/>
  <c r="H64" s="1"/>
  <c r="I64" s="1"/>
  <c r="J64" s="1"/>
  <c r="L64" s="1"/>
  <c r="D64" i="118"/>
  <c r="E64" s="1"/>
  <c r="H64" s="1"/>
  <c r="O64" i="33" s="1"/>
  <c r="D64" i="117"/>
  <c r="E64" s="1"/>
  <c r="H64" s="1"/>
  <c r="D64" i="116"/>
  <c r="E64" s="1"/>
  <c r="H64" s="1"/>
  <c r="D64" i="115"/>
  <c r="E64" s="1"/>
  <c r="H64" s="1"/>
  <c r="D64" i="114"/>
  <c r="E64" s="1"/>
  <c r="H64" s="1"/>
  <c r="D64" i="113"/>
  <c r="E64" s="1"/>
  <c r="H64" s="1"/>
  <c r="J64" i="33" s="1"/>
  <c r="D9" i="120"/>
  <c r="E9" s="1"/>
  <c r="H9" s="1"/>
  <c r="I9" s="1"/>
  <c r="J9" s="1"/>
  <c r="L9" s="1"/>
  <c r="D9" i="119"/>
  <c r="E9" s="1"/>
  <c r="H9" s="1"/>
  <c r="I9" s="1"/>
  <c r="J9" s="1"/>
  <c r="L9" s="1"/>
  <c r="D9" i="118"/>
  <c r="E9" s="1"/>
  <c r="H9" s="1"/>
  <c r="D9" i="116"/>
  <c r="E9" s="1"/>
  <c r="H9" s="1"/>
  <c r="D9" i="115"/>
  <c r="E9" s="1"/>
  <c r="H9" s="1"/>
  <c r="D9" i="117"/>
  <c r="E9" s="1"/>
  <c r="H9" s="1"/>
  <c r="N9" i="33" s="1"/>
  <c r="D9" i="114"/>
  <c r="E9" s="1"/>
  <c r="H9" s="1"/>
  <c r="D9" i="113"/>
  <c r="E9" s="1"/>
  <c r="H9" s="1"/>
  <c r="J9" i="33" s="1"/>
  <c r="D34" i="85"/>
  <c r="E34" s="1"/>
  <c r="G34" s="1"/>
  <c r="D34" i="120"/>
  <c r="E34" s="1"/>
  <c r="H34" s="1"/>
  <c r="I34" s="1"/>
  <c r="J34" s="1"/>
  <c r="L34" s="1"/>
  <c r="D34" i="118"/>
  <c r="E34" s="1"/>
  <c r="H34" s="1"/>
  <c r="O34" i="33" s="1"/>
  <c r="D34" i="119"/>
  <c r="E34" s="1"/>
  <c r="H34" s="1"/>
  <c r="I34" s="1"/>
  <c r="J34" s="1"/>
  <c r="L34" s="1"/>
  <c r="D34" i="115"/>
  <c r="E34" s="1"/>
  <c r="H34" s="1"/>
  <c r="D34" i="117"/>
  <c r="E34" s="1"/>
  <c r="H34" s="1"/>
  <c r="N34" i="33" s="1"/>
  <c r="D34" i="116"/>
  <c r="E34" s="1"/>
  <c r="H34" s="1"/>
  <c r="D34" i="114"/>
  <c r="E34" s="1"/>
  <c r="H34" s="1"/>
  <c r="K34" i="33" s="1"/>
  <c r="D34" i="113"/>
  <c r="E34" s="1"/>
  <c r="H34" s="1"/>
  <c r="J34" i="33" s="1"/>
  <c r="I37" i="114"/>
  <c r="J37" s="1"/>
  <c r="L37" s="1"/>
  <c r="I37" i="119"/>
  <c r="J37" s="1"/>
  <c r="L37" s="1"/>
  <c r="M37" i="120"/>
  <c r="I14" i="114"/>
  <c r="J14" s="1"/>
  <c r="L14" s="1"/>
  <c r="I14" i="117"/>
  <c r="J14" s="1"/>
  <c r="L14" s="1"/>
  <c r="M14" i="119"/>
  <c r="I14" i="118"/>
  <c r="J14" s="1"/>
  <c r="L14" s="1"/>
  <c r="I26" i="114"/>
  <c r="J26" s="1"/>
  <c r="L26" s="1"/>
  <c r="I26" i="117"/>
  <c r="J26" s="1"/>
  <c r="L26" s="1"/>
  <c r="M26" i="119"/>
  <c r="M26" i="120"/>
  <c r="I35" i="113"/>
  <c r="J35" s="1"/>
  <c r="L35" s="1"/>
  <c r="I35" i="117"/>
  <c r="J35" s="1"/>
  <c r="L35" s="1"/>
  <c r="I73" i="113"/>
  <c r="J73" s="1"/>
  <c r="L73" s="1"/>
  <c r="I73" i="119"/>
  <c r="J73" s="1"/>
  <c r="L73" s="1"/>
  <c r="I75" i="113"/>
  <c r="J75" s="1"/>
  <c r="L75" s="1"/>
  <c r="I75" i="119"/>
  <c r="J75" s="1"/>
  <c r="L75" s="1"/>
  <c r="I68" i="113"/>
  <c r="J68" s="1"/>
  <c r="L68" s="1"/>
  <c r="I68" i="119"/>
  <c r="J68" s="1"/>
  <c r="L68" s="1"/>
  <c r="I36" i="113"/>
  <c r="J36" s="1"/>
  <c r="L36" s="1"/>
  <c r="I36" i="119"/>
  <c r="J36" s="1"/>
  <c r="L36" s="1"/>
  <c r="I13" i="113"/>
  <c r="J13" s="1"/>
  <c r="L13" s="1"/>
  <c r="I13" i="117"/>
  <c r="J13" s="1"/>
  <c r="L13" s="1"/>
  <c r="M13" i="120"/>
  <c r="I62" i="113"/>
  <c r="J62" s="1"/>
  <c r="L62" s="1"/>
  <c r="I76" i="114"/>
  <c r="J76" s="1"/>
  <c r="L76" s="1"/>
  <c r="I62" i="118"/>
  <c r="J62" s="1"/>
  <c r="L62" s="1"/>
  <c r="M62" i="120"/>
  <c r="M11" i="119"/>
  <c r="I52" i="118"/>
  <c r="J52" s="1"/>
  <c r="L52" s="1"/>
  <c r="I52" i="120"/>
  <c r="J52" s="1"/>
  <c r="L52" s="1"/>
  <c r="I66" i="118"/>
  <c r="J66" s="1"/>
  <c r="L66" s="1"/>
  <c r="M66" i="120"/>
  <c r="M25" i="119"/>
  <c r="M25" i="120"/>
  <c r="I54" i="118"/>
  <c r="J54" s="1"/>
  <c r="L54" s="1"/>
  <c r="I54" i="120"/>
  <c r="J54" s="1"/>
  <c r="L54" s="1"/>
  <c r="I59" i="118"/>
  <c r="J59" s="1"/>
  <c r="L59" s="1"/>
  <c r="M59" i="120"/>
  <c r="I49" i="118"/>
  <c r="J49" s="1"/>
  <c r="L49" s="1"/>
  <c r="I49" i="120"/>
  <c r="J49" s="1"/>
  <c r="L49" s="1"/>
  <c r="M41" i="119"/>
  <c r="M41" i="120"/>
  <c r="I38" i="114"/>
  <c r="J38" s="1"/>
  <c r="L38" s="1"/>
  <c r="I38" i="118"/>
  <c r="J38" s="1"/>
  <c r="L38" s="1"/>
  <c r="M38" i="120"/>
  <c r="I72" i="113"/>
  <c r="J72" s="1"/>
  <c r="L72" s="1"/>
  <c r="I72" i="119"/>
  <c r="J72" s="1"/>
  <c r="L72" s="1"/>
  <c r="I63" i="113"/>
  <c r="J63" s="1"/>
  <c r="L63" s="1"/>
  <c r="M63" i="119"/>
  <c r="I24" i="113"/>
  <c r="J24" s="1"/>
  <c r="L24" s="1"/>
  <c r="I24" i="118"/>
  <c r="J24" s="1"/>
  <c r="L24" s="1"/>
  <c r="I21" i="113"/>
  <c r="J21" s="1"/>
  <c r="L21" s="1"/>
  <c r="I21" i="117"/>
  <c r="J21" s="1"/>
  <c r="L21" s="1"/>
  <c r="I65" i="113"/>
  <c r="J65" s="1"/>
  <c r="L65" s="1"/>
  <c r="M65" i="119"/>
  <c r="I46" i="113"/>
  <c r="J46" s="1"/>
  <c r="L46" s="1"/>
  <c r="I46" i="117"/>
  <c r="J46" s="1"/>
  <c r="L46" s="1"/>
  <c r="I46" i="119"/>
  <c r="J46" s="1"/>
  <c r="L46" s="1"/>
  <c r="I18" i="113"/>
  <c r="J18" s="1"/>
  <c r="L18" s="1"/>
  <c r="I18" i="118"/>
  <c r="J18" s="1"/>
  <c r="L18" s="1"/>
  <c r="I51" i="113"/>
  <c r="J51" s="1"/>
  <c r="L51" s="1"/>
  <c r="I51" i="117"/>
  <c r="J51" s="1"/>
  <c r="L51" s="1"/>
  <c r="M51" i="119"/>
  <c r="I8" i="113"/>
  <c r="J8" s="1"/>
  <c r="L8" s="1"/>
  <c r="M8" i="119"/>
  <c r="I33" i="113"/>
  <c r="J33" s="1"/>
  <c r="L33" s="1"/>
  <c r="I33" i="117"/>
  <c r="J33" s="1"/>
  <c r="L33" s="1"/>
  <c r="I47" i="113"/>
  <c r="J47" s="1"/>
  <c r="L47" s="1"/>
  <c r="I47" i="117"/>
  <c r="J47" s="1"/>
  <c r="L47" s="1"/>
  <c r="I47" i="119"/>
  <c r="J47" s="1"/>
  <c r="L47" s="1"/>
  <c r="I74" i="113"/>
  <c r="J74" s="1"/>
  <c r="L74" s="1"/>
  <c r="M74" i="119"/>
  <c r="I45" i="113"/>
  <c r="J45" s="1"/>
  <c r="L45" s="1"/>
  <c r="I45" i="117"/>
  <c r="J45" s="1"/>
  <c r="L45" s="1"/>
  <c r="M45" i="120"/>
  <c r="I58" i="113"/>
  <c r="J58" s="1"/>
  <c r="L58" s="1"/>
  <c r="I58" i="117"/>
  <c r="J58" s="1"/>
  <c r="L58" s="1"/>
  <c r="M58" i="119"/>
  <c r="I55" i="113"/>
  <c r="J55" s="1"/>
  <c r="L55" s="1"/>
  <c r="I55" i="117"/>
  <c r="J55" s="1"/>
  <c r="L55" s="1"/>
  <c r="I55" i="119"/>
  <c r="J55" s="1"/>
  <c r="L55" s="1"/>
  <c r="D27" i="80"/>
  <c r="E27" s="1"/>
  <c r="H27" s="1"/>
  <c r="C41" i="33"/>
  <c r="D30" i="92"/>
  <c r="E30" s="1"/>
  <c r="G30" s="1"/>
  <c r="F30" i="90"/>
  <c r="G30" s="1"/>
  <c r="I30" s="1"/>
  <c r="D42" i="99"/>
  <c r="E42" s="1"/>
  <c r="H42" s="1"/>
  <c r="Z42" i="33" s="1"/>
  <c r="D42" i="87"/>
  <c r="E42" s="1"/>
  <c r="G42" s="1"/>
  <c r="D30"/>
  <c r="E30" s="1"/>
  <c r="G30" s="1"/>
  <c r="D30" i="86"/>
  <c r="E30" s="1"/>
  <c r="G30" s="1"/>
  <c r="D30" i="88"/>
  <c r="E30" s="1"/>
  <c r="G30" s="1"/>
  <c r="BA42" i="1"/>
  <c r="D30" i="99"/>
  <c r="E30" s="1"/>
  <c r="H30" s="1"/>
  <c r="D42" i="89"/>
  <c r="E42" s="1"/>
  <c r="G42" s="1"/>
  <c r="D42" i="92"/>
  <c r="E42" s="1"/>
  <c r="G42" s="1"/>
  <c r="D27" i="76"/>
  <c r="E27" s="1"/>
  <c r="H27" s="1"/>
  <c r="D30" i="85"/>
  <c r="E30" s="1"/>
  <c r="G30" s="1"/>
  <c r="R30" i="33" s="1"/>
  <c r="AP42" i="1"/>
  <c r="AH41" i="33" s="1"/>
  <c r="D30" i="98"/>
  <c r="E30" s="1"/>
  <c r="H30" s="1"/>
  <c r="D30" i="91"/>
  <c r="E30" s="1"/>
  <c r="G30" s="1"/>
  <c r="AV35" i="1"/>
  <c r="D42" i="85"/>
  <c r="E42" s="1"/>
  <c r="G42" s="1"/>
  <c r="D42" i="91"/>
  <c r="E42" s="1"/>
  <c r="G42" s="1"/>
  <c r="D3" i="31"/>
  <c r="L50" i="85"/>
  <c r="L40"/>
  <c r="R15" i="67"/>
  <c r="AB14" i="100"/>
  <c r="D39" i="76"/>
  <c r="E39" s="1"/>
  <c r="H39" s="1"/>
  <c r="D39" i="80"/>
  <c r="E39" s="1"/>
  <c r="H39" s="1"/>
  <c r="F42" i="90"/>
  <c r="G42" s="1"/>
  <c r="I42" s="1"/>
  <c r="L17" i="85"/>
  <c r="L50" i="89"/>
  <c r="D42" i="98"/>
  <c r="E42" s="1"/>
  <c r="H42" s="1"/>
  <c r="AA42" i="33" s="1"/>
  <c r="D42" i="88"/>
  <c r="E42" s="1"/>
  <c r="G42" s="1"/>
  <c r="L39" i="85"/>
  <c r="L38" i="87"/>
  <c r="AQ35" i="1"/>
  <c r="BA35"/>
  <c r="C34" i="33"/>
  <c r="AP35" i="1"/>
  <c r="AH34" i="33" s="1"/>
  <c r="C30"/>
  <c r="M50" i="90"/>
  <c r="N50" s="1"/>
  <c r="BA31" i="1"/>
  <c r="M17" i="90"/>
  <c r="N17" s="1"/>
  <c r="M40"/>
  <c r="N40" s="1"/>
  <c r="M39"/>
  <c r="N39" s="1"/>
  <c r="AW43" i="1"/>
  <c r="AX43" s="1"/>
  <c r="BA43"/>
  <c r="D9" i="88"/>
  <c r="E9" s="1"/>
  <c r="G9" s="1"/>
  <c r="D9" i="85"/>
  <c r="E9" s="1"/>
  <c r="G9" s="1"/>
  <c r="R9" i="33" s="1"/>
  <c r="D6" i="76"/>
  <c r="E6" s="1"/>
  <c r="H6" s="1"/>
  <c r="F9" i="90"/>
  <c r="G9" s="1"/>
  <c r="I9" s="1"/>
  <c r="D9" i="87"/>
  <c r="E9" s="1"/>
  <c r="G9" s="1"/>
  <c r="D9" i="89"/>
  <c r="E9" s="1"/>
  <c r="G9" s="1"/>
  <c r="D6" i="80"/>
  <c r="E6" s="1"/>
  <c r="H6" s="1"/>
  <c r="D9" i="98"/>
  <c r="E9" s="1"/>
  <c r="H9" s="1"/>
  <c r="AA9" i="33" s="1"/>
  <c r="D9" i="92"/>
  <c r="E9" s="1"/>
  <c r="G9" s="1"/>
  <c r="D9" i="99"/>
  <c r="E9" s="1"/>
  <c r="H9" s="1"/>
  <c r="M9" s="1"/>
  <c r="D9" i="91"/>
  <c r="E9" s="1"/>
  <c r="G9" s="1"/>
  <c r="D9" i="86"/>
  <c r="E9" s="1"/>
  <c r="G9" s="1"/>
  <c r="C42" i="33"/>
  <c r="AW10" i="1"/>
  <c r="AP10"/>
  <c r="AH9" i="33" s="1"/>
  <c r="BA10" i="1"/>
  <c r="C9" i="33"/>
  <c r="J36" i="90"/>
  <c r="K36" s="1"/>
  <c r="J41"/>
  <c r="K41" s="1"/>
  <c r="J49"/>
  <c r="K49" s="1"/>
  <c r="M49" s="1"/>
  <c r="N49" s="1"/>
  <c r="J35"/>
  <c r="K35" s="1"/>
  <c r="M35" s="1"/>
  <c r="N35" s="1"/>
  <c r="J66"/>
  <c r="K66" s="1"/>
  <c r="J74"/>
  <c r="K74" s="1"/>
  <c r="J26"/>
  <c r="K26" s="1"/>
  <c r="J73"/>
  <c r="K73" s="1"/>
  <c r="J63"/>
  <c r="K63" s="1"/>
  <c r="M63" s="1"/>
  <c r="N63" s="1"/>
  <c r="J33"/>
  <c r="K33" s="1"/>
  <c r="M33" s="1"/>
  <c r="N33" s="1"/>
  <c r="J72"/>
  <c r="K72" s="1"/>
  <c r="M72" s="1"/>
  <c r="N72" s="1"/>
  <c r="J11"/>
  <c r="K11" s="1"/>
  <c r="J25"/>
  <c r="K25" s="1"/>
  <c r="J68"/>
  <c r="J70"/>
  <c r="K70" s="1"/>
  <c r="J18"/>
  <c r="J75"/>
  <c r="K75" s="1"/>
  <c r="J58"/>
  <c r="K58" s="1"/>
  <c r="J65"/>
  <c r="K65" s="1"/>
  <c r="M65" s="1"/>
  <c r="N65" s="1"/>
  <c r="J46"/>
  <c r="K46" s="1"/>
  <c r="J13"/>
  <c r="K13" s="1"/>
  <c r="M13" s="1"/>
  <c r="N13" s="1"/>
  <c r="J62"/>
  <c r="K62" s="1"/>
  <c r="M62" s="1"/>
  <c r="N62" s="1"/>
  <c r="J8"/>
  <c r="J45"/>
  <c r="K45" s="1"/>
  <c r="M45" s="1"/>
  <c r="N45" s="1"/>
  <c r="J37"/>
  <c r="K37" s="1"/>
  <c r="M37" s="1"/>
  <c r="N37" s="1"/>
  <c r="J54"/>
  <c r="K54" s="1"/>
  <c r="M54" s="1"/>
  <c r="N54" s="1"/>
  <c r="J55"/>
  <c r="K55" s="1"/>
  <c r="J24"/>
  <c r="K24" s="1"/>
  <c r="M24" s="1"/>
  <c r="N24" s="1"/>
  <c r="J52"/>
  <c r="K52" s="1"/>
  <c r="J21"/>
  <c r="K21" s="1"/>
  <c r="J51"/>
  <c r="K51" s="1"/>
  <c r="J14"/>
  <c r="K14" s="1"/>
  <c r="J59"/>
  <c r="K59" s="1"/>
  <c r="J47"/>
  <c r="K47" s="1"/>
  <c r="C64" i="33"/>
  <c r="BA65" i="1"/>
  <c r="BA73"/>
  <c r="AP65"/>
  <c r="AH64" i="33" s="1"/>
  <c r="BA15" i="1"/>
  <c r="AW73"/>
  <c r="AQ73" s="1"/>
  <c r="AP73"/>
  <c r="AH72" i="33" s="1"/>
  <c r="AV38" i="1"/>
  <c r="D43" i="91"/>
  <c r="E43" s="1"/>
  <c r="G43" s="1"/>
  <c r="BA38" i="1"/>
  <c r="AV18"/>
  <c r="AP44"/>
  <c r="AH43" i="33" s="1"/>
  <c r="D64" i="92"/>
  <c r="E64" s="1"/>
  <c r="G64" s="1"/>
  <c r="AQ51" i="1"/>
  <c r="BA44"/>
  <c r="AW44"/>
  <c r="AQ44" s="1"/>
  <c r="AQ38"/>
  <c r="D61" i="76"/>
  <c r="E61" s="1"/>
  <c r="H61" s="1"/>
  <c r="AX51" i="1"/>
  <c r="C37" i="33"/>
  <c r="D64" i="88"/>
  <c r="E64" s="1"/>
  <c r="G64" s="1"/>
  <c r="AP38" i="1"/>
  <c r="AH37" i="33" s="1"/>
  <c r="D28" i="87"/>
  <c r="E28" s="1"/>
  <c r="G28" s="1"/>
  <c r="AQ18" i="1"/>
  <c r="D10" i="99"/>
  <c r="D10" i="98"/>
  <c r="D56"/>
  <c r="D56" i="99"/>
  <c r="D69" i="98"/>
  <c r="D69" i="99"/>
  <c r="D40" i="80"/>
  <c r="E40" s="1"/>
  <c r="H40" s="1"/>
  <c r="D43" i="99"/>
  <c r="E43" s="1"/>
  <c r="H43" s="1"/>
  <c r="D43" i="98"/>
  <c r="E43" s="1"/>
  <c r="H43" s="1"/>
  <c r="D64" i="87"/>
  <c r="E64" s="1"/>
  <c r="G64" s="1"/>
  <c r="D64" i="98"/>
  <c r="E64" s="1"/>
  <c r="H64" s="1"/>
  <c r="AA64" i="33" s="1"/>
  <c r="D64" i="99"/>
  <c r="E64" s="1"/>
  <c r="H64" s="1"/>
  <c r="D16" i="98"/>
  <c r="D16" i="99"/>
  <c r="D61" i="98"/>
  <c r="D61" i="99"/>
  <c r="D53" i="91"/>
  <c r="E53" s="1"/>
  <c r="G53" s="1"/>
  <c r="D53" i="98"/>
  <c r="E53" s="1"/>
  <c r="H53" s="1"/>
  <c r="D53" i="99"/>
  <c r="E53" s="1"/>
  <c r="H53" s="1"/>
  <c r="D22" i="87"/>
  <c r="E22" s="1"/>
  <c r="G22" s="1"/>
  <c r="D22" i="99"/>
  <c r="E22" s="1"/>
  <c r="H22" s="1"/>
  <c r="D22" i="98"/>
  <c r="E22" s="1"/>
  <c r="H22" s="1"/>
  <c r="AA22" i="33" s="1"/>
  <c r="D67" i="99"/>
  <c r="D67" i="98"/>
  <c r="D19" i="99"/>
  <c r="D19" i="98"/>
  <c r="D71"/>
  <c r="D71" i="99"/>
  <c r="D44" i="98"/>
  <c r="D44" i="99"/>
  <c r="D29" i="98"/>
  <c r="D29" i="99"/>
  <c r="D32" i="98"/>
  <c r="D32" i="99"/>
  <c r="D20" i="92"/>
  <c r="E20" s="1"/>
  <c r="G20" s="1"/>
  <c r="D20" i="98"/>
  <c r="E20" s="1"/>
  <c r="H20" s="1"/>
  <c r="D20" i="99"/>
  <c r="E20" s="1"/>
  <c r="H20" s="1"/>
  <c r="D28" i="91"/>
  <c r="E28" s="1"/>
  <c r="G28" s="1"/>
  <c r="D28" i="98"/>
  <c r="E28" s="1"/>
  <c r="H28" s="1"/>
  <c r="D28" i="99"/>
  <c r="E28" s="1"/>
  <c r="H28" s="1"/>
  <c r="D23"/>
  <c r="E23" s="1"/>
  <c r="H23" s="1"/>
  <c r="D23" i="98"/>
  <c r="E23" s="1"/>
  <c r="H23" s="1"/>
  <c r="AA23" i="33" s="1"/>
  <c r="D48" i="98"/>
  <c r="D48" i="99"/>
  <c r="D12" i="98"/>
  <c r="D12" i="99"/>
  <c r="D57" i="98"/>
  <c r="D57" i="99"/>
  <c r="D31" i="91"/>
  <c r="E31" s="1"/>
  <c r="G31" s="1"/>
  <c r="D31" i="98"/>
  <c r="E31" s="1"/>
  <c r="H31" s="1"/>
  <c r="D31" i="99"/>
  <c r="E31" s="1"/>
  <c r="H31" s="1"/>
  <c r="D27" i="85"/>
  <c r="E27" s="1"/>
  <c r="G27" s="1"/>
  <c r="D27" i="98"/>
  <c r="E27" s="1"/>
  <c r="H27" s="1"/>
  <c r="D27" i="99"/>
  <c r="E27" s="1"/>
  <c r="H27" s="1"/>
  <c r="D53" i="86"/>
  <c r="E53" s="1"/>
  <c r="G53" s="1"/>
  <c r="D53" i="87"/>
  <c r="E53" s="1"/>
  <c r="G53" s="1"/>
  <c r="F22" i="90"/>
  <c r="G22" s="1"/>
  <c r="I22" s="1"/>
  <c r="Y22" i="33" s="1"/>
  <c r="D22" i="85"/>
  <c r="E22" s="1"/>
  <c r="G22" s="1"/>
  <c r="AP15" i="1"/>
  <c r="AH14" i="33" s="1"/>
  <c r="C14"/>
  <c r="D27" i="87"/>
  <c r="E27" s="1"/>
  <c r="G27" s="1"/>
  <c r="D64" i="85"/>
  <c r="E64" s="1"/>
  <c r="G64" s="1"/>
  <c r="D61" i="80"/>
  <c r="E61" s="1"/>
  <c r="H61" s="1"/>
  <c r="D64" i="91"/>
  <c r="E64" s="1"/>
  <c r="G64" s="1"/>
  <c r="AX15" i="1"/>
  <c r="C63" i="33"/>
  <c r="AQ15" i="1"/>
  <c r="F64" i="90"/>
  <c r="G64" s="1"/>
  <c r="I64" s="1"/>
  <c r="Y64" i="33" s="1"/>
  <c r="D64" i="86"/>
  <c r="E64" s="1"/>
  <c r="G64" s="1"/>
  <c r="F43" i="90"/>
  <c r="G43" s="1"/>
  <c r="I43" s="1"/>
  <c r="Y43" i="33" s="1"/>
  <c r="D27" i="92"/>
  <c r="E27" s="1"/>
  <c r="G27" s="1"/>
  <c r="J23" i="76"/>
  <c r="K23" s="1"/>
  <c r="M23" s="1"/>
  <c r="N23" s="1"/>
  <c r="BA29" i="1"/>
  <c r="D24" i="80"/>
  <c r="E24" s="1"/>
  <c r="H24" s="1"/>
  <c r="D43" i="89"/>
  <c r="E43" s="1"/>
  <c r="G43" s="1"/>
  <c r="L10" i="98"/>
  <c r="AC9" i="72" s="1"/>
  <c r="D19" i="80"/>
  <c r="E19" s="1"/>
  <c r="H19" s="1"/>
  <c r="F53" i="90"/>
  <c r="G53" s="1"/>
  <c r="I53" s="1"/>
  <c r="Y53" i="33" s="1"/>
  <c r="D53" i="92"/>
  <c r="E53" s="1"/>
  <c r="G53" s="1"/>
  <c r="D22" i="89"/>
  <c r="E22" s="1"/>
  <c r="G22" s="1"/>
  <c r="D22" i="91"/>
  <c r="E22" s="1"/>
  <c r="G22" s="1"/>
  <c r="D50" i="76"/>
  <c r="E50" s="1"/>
  <c r="H50" s="1"/>
  <c r="D53" i="85"/>
  <c r="E53" s="1"/>
  <c r="G53" s="1"/>
  <c r="D53" i="89"/>
  <c r="E53" s="1"/>
  <c r="G53" s="1"/>
  <c r="D19" i="76"/>
  <c r="E19" s="1"/>
  <c r="H19" s="1"/>
  <c r="D22" i="86"/>
  <c r="E22" s="1"/>
  <c r="G22" s="1"/>
  <c r="F31" i="90"/>
  <c r="G31" s="1"/>
  <c r="I31" s="1"/>
  <c r="Y31" i="33" s="1"/>
  <c r="D22" i="88"/>
  <c r="E22" s="1"/>
  <c r="G22" s="1"/>
  <c r="D50" i="80"/>
  <c r="E50" s="1"/>
  <c r="H50" s="1"/>
  <c r="D53" i="88"/>
  <c r="E53" s="1"/>
  <c r="G53" s="1"/>
  <c r="M39" i="98"/>
  <c r="D17" i="76"/>
  <c r="E17" s="1"/>
  <c r="H17" s="1"/>
  <c r="D28" i="89"/>
  <c r="E28" s="1"/>
  <c r="G28" s="1"/>
  <c r="F28" i="90"/>
  <c r="G28" s="1"/>
  <c r="I28" s="1"/>
  <c r="Y28" i="33" s="1"/>
  <c r="D28" i="92"/>
  <c r="E28" s="1"/>
  <c r="G28" s="1"/>
  <c r="D28" i="85"/>
  <c r="E28" s="1"/>
  <c r="G28" s="1"/>
  <c r="D28" i="86"/>
  <c r="E28" s="1"/>
  <c r="G28" s="1"/>
  <c r="D27" i="89"/>
  <c r="E27" s="1"/>
  <c r="G27" s="1"/>
  <c r="D25" i="80"/>
  <c r="E25" s="1"/>
  <c r="H25" s="1"/>
  <c r="D25" i="76"/>
  <c r="E25" s="1"/>
  <c r="H25" s="1"/>
  <c r="F27" i="90"/>
  <c r="G27" s="1"/>
  <c r="I27" s="1"/>
  <c r="Y27" i="33" s="1"/>
  <c r="AE8" i="1"/>
  <c r="BE8" s="1"/>
  <c r="C28" i="33"/>
  <c r="D27" i="91"/>
  <c r="E27" s="1"/>
  <c r="G27" s="1"/>
  <c r="D27" i="86"/>
  <c r="E27" s="1"/>
  <c r="G27" s="1"/>
  <c r="D27" i="88"/>
  <c r="E27" s="1"/>
  <c r="G27" s="1"/>
  <c r="BA64" i="1"/>
  <c r="D20" i="88"/>
  <c r="E20" s="1"/>
  <c r="G20" s="1"/>
  <c r="AW64" i="1"/>
  <c r="AX64" s="1"/>
  <c r="D24" i="76"/>
  <c r="E24" s="1"/>
  <c r="H24" s="1"/>
  <c r="I50" i="98"/>
  <c r="N50" s="1"/>
  <c r="D43" i="88"/>
  <c r="E43" s="1"/>
  <c r="G43" s="1"/>
  <c r="D40" i="76"/>
  <c r="E40" s="1"/>
  <c r="H40" s="1"/>
  <c r="I38" i="98"/>
  <c r="N38" s="1"/>
  <c r="D20" i="86"/>
  <c r="E20" s="1"/>
  <c r="G20" s="1"/>
  <c r="D43" i="92"/>
  <c r="E43" s="1"/>
  <c r="G43" s="1"/>
  <c r="D43" i="86"/>
  <c r="E43" s="1"/>
  <c r="G43" s="1"/>
  <c r="D28" i="76"/>
  <c r="E28" s="1"/>
  <c r="H28" s="1"/>
  <c r="D17" i="80"/>
  <c r="E17" s="1"/>
  <c r="H17" s="1"/>
  <c r="D20" i="85"/>
  <c r="E20" s="1"/>
  <c r="G20" s="1"/>
  <c r="D28" i="80"/>
  <c r="E28" s="1"/>
  <c r="H28" s="1"/>
  <c r="D31" i="92"/>
  <c r="E31" s="1"/>
  <c r="G31" s="1"/>
  <c r="D31" i="88"/>
  <c r="E31" s="1"/>
  <c r="G31" s="1"/>
  <c r="D20" i="91"/>
  <c r="E20" s="1"/>
  <c r="G20" s="1"/>
  <c r="D20" i="89"/>
  <c r="E20" s="1"/>
  <c r="G20" s="1"/>
  <c r="D31" i="85"/>
  <c r="E31" s="1"/>
  <c r="G31" s="1"/>
  <c r="D31" i="86"/>
  <c r="E31" s="1"/>
  <c r="G31" s="1"/>
  <c r="D31" i="89"/>
  <c r="E31" s="1"/>
  <c r="G31" s="1"/>
  <c r="AW29" i="1"/>
  <c r="AV29" s="1"/>
  <c r="D20" i="87"/>
  <c r="E20" s="1"/>
  <c r="G20" s="1"/>
  <c r="F20" i="90"/>
  <c r="G20" s="1"/>
  <c r="I20" s="1"/>
  <c r="Y20" i="33" s="1"/>
  <c r="D43" i="85"/>
  <c r="E43" s="1"/>
  <c r="G43" s="1"/>
  <c r="D31" i="87"/>
  <c r="E31" s="1"/>
  <c r="G31" s="1"/>
  <c r="M26" i="98"/>
  <c r="M17"/>
  <c r="I26"/>
  <c r="N26" s="1"/>
  <c r="I39"/>
  <c r="N39" s="1"/>
  <c r="M38"/>
  <c r="L43"/>
  <c r="AC42" i="72" s="1"/>
  <c r="G42" i="100"/>
  <c r="AX12" i="1"/>
  <c r="AV12"/>
  <c r="G11" i="100"/>
  <c r="L12" i="98"/>
  <c r="AC11" i="72" s="1"/>
  <c r="AQ71" i="1"/>
  <c r="AV71"/>
  <c r="AX71"/>
  <c r="H24" i="85"/>
  <c r="I24" s="1"/>
  <c r="K24" s="1"/>
  <c r="AP70" i="1"/>
  <c r="BA70"/>
  <c r="C69" i="33"/>
  <c r="AW70" i="1"/>
  <c r="J60" i="76"/>
  <c r="K60" s="1"/>
  <c r="M60" s="1"/>
  <c r="H63" i="85"/>
  <c r="I63" s="1"/>
  <c r="K63" s="1"/>
  <c r="L32" i="99"/>
  <c r="AB31" i="72" s="1"/>
  <c r="F31" i="100"/>
  <c r="L45" i="98"/>
  <c r="AC44" i="72" s="1"/>
  <c r="G44" i="100"/>
  <c r="E51" i="99"/>
  <c r="H51" s="1"/>
  <c r="E51" i="98"/>
  <c r="H51" s="1"/>
  <c r="AA51" i="33" s="1"/>
  <c r="D51" i="67"/>
  <c r="E51" s="1"/>
  <c r="F51" s="1"/>
  <c r="G51" s="1"/>
  <c r="J51" s="1"/>
  <c r="K51" s="1"/>
  <c r="E74" i="99"/>
  <c r="H74" s="1"/>
  <c r="E74" i="98"/>
  <c r="H74" s="1"/>
  <c r="D74" i="67"/>
  <c r="E74" s="1"/>
  <c r="F74" s="1"/>
  <c r="G74" s="1"/>
  <c r="J74" s="1"/>
  <c r="K74" s="1"/>
  <c r="L19" i="98"/>
  <c r="AC18" i="72" s="1"/>
  <c r="G18" i="100"/>
  <c r="D28" i="67"/>
  <c r="E28" s="1"/>
  <c r="F28" s="1"/>
  <c r="G28" s="1"/>
  <c r="J28" s="1"/>
  <c r="K28" s="1"/>
  <c r="L75" i="99"/>
  <c r="AB74" i="72" s="1"/>
  <c r="F74" i="100"/>
  <c r="H13" i="85"/>
  <c r="I13" s="1"/>
  <c r="K13" s="1"/>
  <c r="AQ59" i="1"/>
  <c r="AV59"/>
  <c r="AX59"/>
  <c r="L22" i="99"/>
  <c r="AB21" i="72" s="1"/>
  <c r="F21" i="100"/>
  <c r="C61" i="33"/>
  <c r="AP62" i="1"/>
  <c r="BA62"/>
  <c r="AW62"/>
  <c r="AQ62" s="1"/>
  <c r="L47" i="98"/>
  <c r="AC46" i="72" s="1"/>
  <c r="G46" i="100"/>
  <c r="L29" i="98"/>
  <c r="AC28" i="72" s="1"/>
  <c r="G28" i="100"/>
  <c r="H45" i="85"/>
  <c r="I45" s="1"/>
  <c r="K45" s="1"/>
  <c r="J56" i="76"/>
  <c r="K56" s="1"/>
  <c r="M56" s="1"/>
  <c r="Z26" i="33"/>
  <c r="M26" i="99"/>
  <c r="I26"/>
  <c r="N26" s="1"/>
  <c r="I17" i="98"/>
  <c r="N17" s="1"/>
  <c r="M50"/>
  <c r="AP11" i="1"/>
  <c r="C10" i="33"/>
  <c r="BA11" i="1"/>
  <c r="AW11"/>
  <c r="E73" i="99"/>
  <c r="H73" s="1"/>
  <c r="E73" i="98"/>
  <c r="H73" s="1"/>
  <c r="D73" i="67"/>
  <c r="E73" s="1"/>
  <c r="F73" s="1"/>
  <c r="G73" s="1"/>
  <c r="J73" s="1"/>
  <c r="K73" s="1"/>
  <c r="AQ32" i="1"/>
  <c r="AX32"/>
  <c r="AV32"/>
  <c r="D19" i="88"/>
  <c r="E19" s="1"/>
  <c r="G19" s="1"/>
  <c r="D19" i="91"/>
  <c r="E19" s="1"/>
  <c r="G19" s="1"/>
  <c r="F19" i="90"/>
  <c r="G19" s="1"/>
  <c r="I19" s="1"/>
  <c r="Y19" i="33" s="1"/>
  <c r="D19" i="92"/>
  <c r="E19" s="1"/>
  <c r="G19" s="1"/>
  <c r="D19" i="86"/>
  <c r="E19" s="1"/>
  <c r="G19" s="1"/>
  <c r="D19" i="89"/>
  <c r="E19" s="1"/>
  <c r="G19" s="1"/>
  <c r="D19" i="85"/>
  <c r="E19" s="1"/>
  <c r="G19" s="1"/>
  <c r="R19" i="33" s="1"/>
  <c r="D16" i="80"/>
  <c r="E16" s="1"/>
  <c r="H16" s="1"/>
  <c r="D19" i="87"/>
  <c r="E19" s="1"/>
  <c r="G19" s="1"/>
  <c r="D16" i="76"/>
  <c r="E16" s="1"/>
  <c r="H16" s="1"/>
  <c r="E72" i="99"/>
  <c r="H72" s="1"/>
  <c r="E72" i="98"/>
  <c r="H72" s="1"/>
  <c r="AQ69" i="1"/>
  <c r="AV69"/>
  <c r="AX69"/>
  <c r="J33" i="76"/>
  <c r="K33" s="1"/>
  <c r="M33" s="1"/>
  <c r="AQ12" i="1"/>
  <c r="H41" i="85"/>
  <c r="I41" s="1"/>
  <c r="K41" s="1"/>
  <c r="L28" i="98"/>
  <c r="AC27" i="72" s="1"/>
  <c r="G27" i="100"/>
  <c r="L14" i="98"/>
  <c r="AC13" i="72" s="1"/>
  <c r="G13" i="100"/>
  <c r="H37" i="85"/>
  <c r="I37" s="1"/>
  <c r="K37" s="1"/>
  <c r="E59" i="99"/>
  <c r="H59" s="1"/>
  <c r="E59" i="98"/>
  <c r="H59" s="1"/>
  <c r="D59" i="67"/>
  <c r="E59" s="1"/>
  <c r="F59" s="1"/>
  <c r="G59" s="1"/>
  <c r="J59" s="1"/>
  <c r="K59" s="1"/>
  <c r="AP57" i="1"/>
  <c r="C56" i="33"/>
  <c r="BA57" i="1"/>
  <c r="AW57"/>
  <c r="L63" i="98"/>
  <c r="AC62" i="72" s="1"/>
  <c r="G62" i="100"/>
  <c r="J65" i="76"/>
  <c r="K65" s="1"/>
  <c r="M65" s="1"/>
  <c r="Z50" i="33"/>
  <c r="I50" i="99"/>
  <c r="N50" s="1"/>
  <c r="M50"/>
  <c r="AQ9" i="1"/>
  <c r="AX9"/>
  <c r="AV9"/>
  <c r="D71" i="86"/>
  <c r="E71" s="1"/>
  <c r="G71" s="1"/>
  <c r="D71" i="91"/>
  <c r="E71" s="1"/>
  <c r="G71" s="1"/>
  <c r="D68" i="80"/>
  <c r="E68" s="1"/>
  <c r="H68" s="1"/>
  <c r="D71" i="87"/>
  <c r="E71" s="1"/>
  <c r="G71" s="1"/>
  <c r="D71" i="92"/>
  <c r="E71" s="1"/>
  <c r="G71" s="1"/>
  <c r="D71" i="85"/>
  <c r="E71" s="1"/>
  <c r="G71" s="1"/>
  <c r="R71" i="33" s="1"/>
  <c r="D71" i="88"/>
  <c r="E71" s="1"/>
  <c r="G71" s="1"/>
  <c r="F71" i="90"/>
  <c r="G71" s="1"/>
  <c r="I71" s="1"/>
  <c r="Y71" i="33" s="1"/>
  <c r="D68" i="76"/>
  <c r="E68" s="1"/>
  <c r="H68" s="1"/>
  <c r="D71" i="89"/>
  <c r="E71" s="1"/>
  <c r="G71" s="1"/>
  <c r="AW49" i="1"/>
  <c r="AQ49" s="1"/>
  <c r="BA49"/>
  <c r="AP49"/>
  <c r="C48" i="33"/>
  <c r="L73" i="98"/>
  <c r="AC72" i="72" s="1"/>
  <c r="G72" i="100"/>
  <c r="H35" i="85"/>
  <c r="I35" s="1"/>
  <c r="K35" s="1"/>
  <c r="D53" i="67"/>
  <c r="E53" s="1"/>
  <c r="F53" s="1"/>
  <c r="G53" s="1"/>
  <c r="J53" s="1"/>
  <c r="K53" s="1"/>
  <c r="AA40" i="33"/>
  <c r="I40" i="98"/>
  <c r="N40" s="1"/>
  <c r="M40"/>
  <c r="L32"/>
  <c r="AC31" i="72" s="1"/>
  <c r="G31" i="100"/>
  <c r="L24" i="99"/>
  <c r="AB23" i="72" s="1"/>
  <c r="F23" i="100"/>
  <c r="E59" i="81"/>
  <c r="L35" i="46"/>
  <c r="N35" s="1"/>
  <c r="I52" i="33"/>
  <c r="L53" i="99"/>
  <c r="AB52" i="72" s="1"/>
  <c r="F52" i="100"/>
  <c r="D44" i="88"/>
  <c r="E44" s="1"/>
  <c r="G44" s="1"/>
  <c r="D44" i="92"/>
  <c r="E44" s="1"/>
  <c r="G44" s="1"/>
  <c r="D44" i="89"/>
  <c r="E44" s="1"/>
  <c r="G44" s="1"/>
  <c r="D44" i="85"/>
  <c r="E44" s="1"/>
  <c r="G44" s="1"/>
  <c r="R44" i="33" s="1"/>
  <c r="D44" i="86"/>
  <c r="E44" s="1"/>
  <c r="G44" s="1"/>
  <c r="F44" i="90"/>
  <c r="G44" s="1"/>
  <c r="I44" s="1"/>
  <c r="Y44" i="33" s="1"/>
  <c r="D41" i="76"/>
  <c r="E41" s="1"/>
  <c r="H41" s="1"/>
  <c r="D41" i="80"/>
  <c r="E41" s="1"/>
  <c r="H41" s="1"/>
  <c r="D44" i="87"/>
  <c r="E44" s="1"/>
  <c r="G44" s="1"/>
  <c r="D44" i="91"/>
  <c r="E44" s="1"/>
  <c r="G44" s="1"/>
  <c r="E49" i="99"/>
  <c r="H49" s="1"/>
  <c r="E49" i="98"/>
  <c r="H49" s="1"/>
  <c r="D49" i="67"/>
  <c r="E49" s="1"/>
  <c r="F49" s="1"/>
  <c r="G49" s="1"/>
  <c r="J49" s="1"/>
  <c r="K49" s="1"/>
  <c r="L19" i="99"/>
  <c r="AB18" i="72" s="1"/>
  <c r="F18" i="100"/>
  <c r="E14" i="99"/>
  <c r="H14" s="1"/>
  <c r="L69" i="98"/>
  <c r="AC68" i="72" s="1"/>
  <c r="G68" i="100"/>
  <c r="AQ34" i="1"/>
  <c r="AV34"/>
  <c r="AX34"/>
  <c r="D57" i="91"/>
  <c r="E57" s="1"/>
  <c r="G57" s="1"/>
  <c r="F57" i="90"/>
  <c r="G57" s="1"/>
  <c r="I57" s="1"/>
  <c r="Y57" i="33" s="1"/>
  <c r="D57" i="92"/>
  <c r="E57" s="1"/>
  <c r="G57" s="1"/>
  <c r="D57" i="88"/>
  <c r="E57" s="1"/>
  <c r="G57" s="1"/>
  <c r="D57" i="89"/>
  <c r="E57" s="1"/>
  <c r="G57" s="1"/>
  <c r="D57" i="85"/>
  <c r="E57" s="1"/>
  <c r="G57" s="1"/>
  <c r="R57" i="33" s="1"/>
  <c r="D54" i="76"/>
  <c r="E54" s="1"/>
  <c r="H54" s="1"/>
  <c r="D57" i="86"/>
  <c r="E57" s="1"/>
  <c r="G57" s="1"/>
  <c r="D57" i="87"/>
  <c r="E57" s="1"/>
  <c r="G57" s="1"/>
  <c r="D54" i="80"/>
  <c r="E54" s="1"/>
  <c r="H54" s="1"/>
  <c r="L61" i="99"/>
  <c r="AB60" i="72" s="1"/>
  <c r="F60" i="100"/>
  <c r="E25" i="99"/>
  <c r="H25" s="1"/>
  <c r="D25" i="67"/>
  <c r="E25" s="1"/>
  <c r="F25" s="1"/>
  <c r="G25" s="1"/>
  <c r="J25" s="1"/>
  <c r="K25" s="1"/>
  <c r="E25" i="98"/>
  <c r="H25" s="1"/>
  <c r="AA25" i="33" s="1"/>
  <c r="C29"/>
  <c r="AP30" i="1"/>
  <c r="BA30"/>
  <c r="AW30"/>
  <c r="D22" i="67"/>
  <c r="E22" s="1"/>
  <c r="F22" s="1"/>
  <c r="G22" s="1"/>
  <c r="J22" s="1"/>
  <c r="K22" s="1"/>
  <c r="G21" i="100"/>
  <c r="L22" i="98"/>
  <c r="AC21" i="72" s="1"/>
  <c r="L72" i="99"/>
  <c r="AB71" i="72" s="1"/>
  <c r="F71" i="100"/>
  <c r="Z60" i="33"/>
  <c r="M60" i="99"/>
  <c r="I60"/>
  <c r="N60" s="1"/>
  <c r="J69" i="76"/>
  <c r="K69" s="1"/>
  <c r="M69" s="1"/>
  <c r="L16" i="98"/>
  <c r="AC15" i="72" s="1"/>
  <c r="G15" i="100"/>
  <c r="AQ63" i="1"/>
  <c r="AV63"/>
  <c r="AX63"/>
  <c r="L47" i="99"/>
  <c r="AB46" i="72" s="1"/>
  <c r="F46" i="100"/>
  <c r="Z17" i="33"/>
  <c r="M17" i="99"/>
  <c r="I17"/>
  <c r="N17" s="1"/>
  <c r="J22" i="76"/>
  <c r="K22" s="1"/>
  <c r="M22" s="1"/>
  <c r="E37" i="99"/>
  <c r="H37" s="1"/>
  <c r="E37" i="98"/>
  <c r="H37" s="1"/>
  <c r="E24" i="46"/>
  <c r="H21"/>
  <c r="H24" s="1"/>
  <c r="L56" i="99"/>
  <c r="AB55" i="72" s="1"/>
  <c r="F55" i="100"/>
  <c r="D10" i="89"/>
  <c r="E10" s="1"/>
  <c r="G10" s="1"/>
  <c r="D10" i="85"/>
  <c r="E10" s="1"/>
  <c r="G10" s="1"/>
  <c r="D10" i="88"/>
  <c r="E10" s="1"/>
  <c r="G10" s="1"/>
  <c r="D10" i="86"/>
  <c r="E10" s="1"/>
  <c r="G10" s="1"/>
  <c r="F10" i="90"/>
  <c r="G10" s="1"/>
  <c r="I10" s="1"/>
  <c r="Y10" i="33" s="1"/>
  <c r="D10" i="92"/>
  <c r="E10" s="1"/>
  <c r="G10" s="1"/>
  <c r="D10" i="87"/>
  <c r="E10" s="1"/>
  <c r="G10" s="1"/>
  <c r="D10" i="91"/>
  <c r="E10" s="1"/>
  <c r="G10" s="1"/>
  <c r="D7" i="80"/>
  <c r="E7" s="1"/>
  <c r="H7" s="1"/>
  <c r="D7" i="76"/>
  <c r="E7" s="1"/>
  <c r="H7" s="1"/>
  <c r="J72"/>
  <c r="K72" s="1"/>
  <c r="M72" s="1"/>
  <c r="E68" i="99"/>
  <c r="H68" s="1"/>
  <c r="E68" i="98"/>
  <c r="H68" s="1"/>
  <c r="D68" i="67"/>
  <c r="E68" s="1"/>
  <c r="F68" s="1"/>
  <c r="G68" s="1"/>
  <c r="J68" s="1"/>
  <c r="K68" s="1"/>
  <c r="L14" i="99"/>
  <c r="AB13" i="72" s="1"/>
  <c r="F13" i="100"/>
  <c r="L31" i="98"/>
  <c r="AC30" i="72" s="1"/>
  <c r="G30" i="100"/>
  <c r="E8" i="99"/>
  <c r="H8" s="1"/>
  <c r="E8" i="98"/>
  <c r="H8" s="1"/>
  <c r="D8" i="67"/>
  <c r="E8" s="1"/>
  <c r="F8" s="1"/>
  <c r="G8" s="1"/>
  <c r="J8" s="1"/>
  <c r="K8" s="1"/>
  <c r="AQ53" i="1"/>
  <c r="AX53"/>
  <c r="AV53"/>
  <c r="J46" i="76"/>
  <c r="K46" s="1"/>
  <c r="M46" s="1"/>
  <c r="W40" i="67"/>
  <c r="T40"/>
  <c r="AQ19" i="1"/>
  <c r="AV19"/>
  <c r="AX19"/>
  <c r="AQ66"/>
  <c r="AX66"/>
  <c r="AV66"/>
  <c r="C32" i="33"/>
  <c r="BA33" i="1"/>
  <c r="AP33"/>
  <c r="AW33"/>
  <c r="AQ33" s="1"/>
  <c r="J48" i="76"/>
  <c r="K48" s="1"/>
  <c r="M48" s="1"/>
  <c r="N37"/>
  <c r="AQ55" i="1"/>
  <c r="AX55"/>
  <c r="AV55"/>
  <c r="D67" i="88"/>
  <c r="E67" s="1"/>
  <c r="G67" s="1"/>
  <c r="D67" i="89"/>
  <c r="E67" s="1"/>
  <c r="G67" s="1"/>
  <c r="F67" i="90"/>
  <c r="G67" s="1"/>
  <c r="I67" s="1"/>
  <c r="Y67" i="33" s="1"/>
  <c r="D67" i="92"/>
  <c r="E67" s="1"/>
  <c r="G67" s="1"/>
  <c r="D67" i="86"/>
  <c r="E67" s="1"/>
  <c r="G67" s="1"/>
  <c r="D67" i="85"/>
  <c r="E67" s="1"/>
  <c r="G67" s="1"/>
  <c r="R67" i="33" s="1"/>
  <c r="D64" i="76"/>
  <c r="E64" s="1"/>
  <c r="H64" s="1"/>
  <c r="D67" i="87"/>
  <c r="E67" s="1"/>
  <c r="G67" s="1"/>
  <c r="D64" i="80"/>
  <c r="E64" s="1"/>
  <c r="H64" s="1"/>
  <c r="D67" i="91"/>
  <c r="E67" s="1"/>
  <c r="G67" s="1"/>
  <c r="AQ76" i="1"/>
  <c r="AX76"/>
  <c r="AV76"/>
  <c r="E46" i="99"/>
  <c r="H46" s="1"/>
  <c r="D46" i="67"/>
  <c r="E46" s="1"/>
  <c r="F46" s="1"/>
  <c r="G46" s="1"/>
  <c r="J46" s="1"/>
  <c r="K46" s="1"/>
  <c r="E46" i="98"/>
  <c r="H46" s="1"/>
  <c r="AA46" i="33" s="1"/>
  <c r="D30" i="67"/>
  <c r="E30" s="1"/>
  <c r="F30" s="1"/>
  <c r="G30" s="1"/>
  <c r="J30" s="1"/>
  <c r="K30" s="1"/>
  <c r="C19" i="33"/>
  <c r="BA20" i="1"/>
  <c r="AP20"/>
  <c r="AW20"/>
  <c r="G56" i="100"/>
  <c r="L57" i="98"/>
  <c r="AC56" i="72" s="1"/>
  <c r="E11" i="99"/>
  <c r="H11" s="1"/>
  <c r="E11" i="98"/>
  <c r="H11" s="1"/>
  <c r="D11" i="67"/>
  <c r="E11" s="1"/>
  <c r="F11" s="1"/>
  <c r="G11" s="1"/>
  <c r="J11" s="1"/>
  <c r="K11" s="1"/>
  <c r="L28" i="99"/>
  <c r="AB27" i="72" s="1"/>
  <c r="F27" i="100"/>
  <c r="E66" i="99"/>
  <c r="H66" s="1"/>
  <c r="D66" i="67"/>
  <c r="E66" s="1"/>
  <c r="F66" s="1"/>
  <c r="G66" s="1"/>
  <c r="J66" s="1"/>
  <c r="K66" s="1"/>
  <c r="E66" i="98"/>
  <c r="H66" s="1"/>
  <c r="AA66" i="33" s="1"/>
  <c r="J34" i="76"/>
  <c r="K34" s="1"/>
  <c r="M34" s="1"/>
  <c r="J51"/>
  <c r="K51" s="1"/>
  <c r="M51" s="1"/>
  <c r="L64" i="99"/>
  <c r="AB63" i="72" s="1"/>
  <c r="F63" i="100"/>
  <c r="D27" i="67"/>
  <c r="E27" s="1"/>
  <c r="F27" s="1"/>
  <c r="G27" s="1"/>
  <c r="J27" s="1"/>
  <c r="K27" s="1"/>
  <c r="J62" i="76"/>
  <c r="K62" s="1"/>
  <c r="M62" s="1"/>
  <c r="L63" i="99"/>
  <c r="AB62" i="72" s="1"/>
  <c r="F62" i="100"/>
  <c r="E52" i="99"/>
  <c r="H52" s="1"/>
  <c r="E52" i="98"/>
  <c r="H52" s="1"/>
  <c r="D52" i="67"/>
  <c r="E52" s="1"/>
  <c r="F52" s="1"/>
  <c r="G52" s="1"/>
  <c r="J52" s="1"/>
  <c r="K52" s="1"/>
  <c r="AP72" i="1"/>
  <c r="C71" i="33"/>
  <c r="BA72" i="1"/>
  <c r="AW72"/>
  <c r="J52" i="76"/>
  <c r="K52" s="1"/>
  <c r="M52" s="1"/>
  <c r="D48" i="88"/>
  <c r="E48" s="1"/>
  <c r="G48" s="1"/>
  <c r="D48" i="92"/>
  <c r="E48" s="1"/>
  <c r="G48" s="1"/>
  <c r="D48" i="89"/>
  <c r="E48" s="1"/>
  <c r="G48" s="1"/>
  <c r="D48" i="85"/>
  <c r="E48" s="1"/>
  <c r="G48" s="1"/>
  <c r="R48" i="33" s="1"/>
  <c r="D48" i="86"/>
  <c r="E48" s="1"/>
  <c r="G48" s="1"/>
  <c r="F48" i="90"/>
  <c r="G48" s="1"/>
  <c r="I48" s="1"/>
  <c r="Y48" i="33" s="1"/>
  <c r="D45" i="76"/>
  <c r="E45" s="1"/>
  <c r="H45" s="1"/>
  <c r="D45" i="80"/>
  <c r="E45" s="1"/>
  <c r="H45" s="1"/>
  <c r="D48" i="87"/>
  <c r="E48" s="1"/>
  <c r="G48" s="1"/>
  <c r="D48" i="91"/>
  <c r="E48" s="1"/>
  <c r="G48" s="1"/>
  <c r="L48" i="99"/>
  <c r="AB47" i="72" s="1"/>
  <c r="F47" i="100"/>
  <c r="L73" i="99"/>
  <c r="AB72" i="72" s="1"/>
  <c r="F72" i="100"/>
  <c r="D69" i="91"/>
  <c r="E69" s="1"/>
  <c r="G69" s="1"/>
  <c r="D69" i="89"/>
  <c r="E69" s="1"/>
  <c r="G69" s="1"/>
  <c r="D69" i="92"/>
  <c r="E69" s="1"/>
  <c r="G69" s="1"/>
  <c r="D69" i="87"/>
  <c r="E69" s="1"/>
  <c r="G69" s="1"/>
  <c r="D69" i="88"/>
  <c r="E69" s="1"/>
  <c r="G69" s="1"/>
  <c r="D69" i="85"/>
  <c r="E69" s="1"/>
  <c r="G69" s="1"/>
  <c r="R69" i="33" s="1"/>
  <c r="D69" i="86"/>
  <c r="E69" s="1"/>
  <c r="G69" s="1"/>
  <c r="F69" i="90"/>
  <c r="G69" s="1"/>
  <c r="I69" s="1"/>
  <c r="Y69" i="33" s="1"/>
  <c r="D66" i="80"/>
  <c r="E66" s="1"/>
  <c r="H66" s="1"/>
  <c r="D66" i="76"/>
  <c r="E66" s="1"/>
  <c r="H66" s="1"/>
  <c r="L27" i="99"/>
  <c r="AB26" i="72" s="1"/>
  <c r="F26" i="100"/>
  <c r="Z40" i="33"/>
  <c r="M40" i="99"/>
  <c r="I40"/>
  <c r="N40" s="1"/>
  <c r="E13"/>
  <c r="H13" s="1"/>
  <c r="E13" i="98"/>
  <c r="H13" s="1"/>
  <c r="D13" i="67"/>
  <c r="E13" s="1"/>
  <c r="F13" s="1"/>
  <c r="G13" s="1"/>
  <c r="J13" s="1"/>
  <c r="K13" s="1"/>
  <c r="AQ52" i="1"/>
  <c r="AX52"/>
  <c r="AV52"/>
  <c r="E7" i="84"/>
  <c r="E7" i="83"/>
  <c r="L24" i="98"/>
  <c r="AC23" i="72" s="1"/>
  <c r="G23" i="100"/>
  <c r="J30" i="76"/>
  <c r="K30" s="1"/>
  <c r="M30" s="1"/>
  <c r="L53" i="98"/>
  <c r="AC52" i="72" s="1"/>
  <c r="G52" i="100"/>
  <c r="AV56" i="1"/>
  <c r="AX56"/>
  <c r="F9" i="100"/>
  <c r="L10" i="99"/>
  <c r="AB9" i="72" s="1"/>
  <c r="Z38" i="33"/>
  <c r="M38" i="99"/>
  <c r="I38"/>
  <c r="N38" s="1"/>
  <c r="L69"/>
  <c r="AB68" i="72" s="1"/>
  <c r="F68" i="100"/>
  <c r="J18" i="76"/>
  <c r="K18" s="1"/>
  <c r="M18" s="1"/>
  <c r="E18" i="99"/>
  <c r="H18" s="1"/>
  <c r="D18" i="67"/>
  <c r="E18" s="1"/>
  <c r="F18" s="1"/>
  <c r="G18" s="1"/>
  <c r="J18" s="1"/>
  <c r="K18" s="1"/>
  <c r="E18" i="98"/>
  <c r="H18" s="1"/>
  <c r="AA18" i="33" s="1"/>
  <c r="AP13" i="1"/>
  <c r="BA13"/>
  <c r="C12" i="33"/>
  <c r="AW13" i="1"/>
  <c r="J10" i="76"/>
  <c r="K10" s="1"/>
  <c r="M10" s="1"/>
  <c r="T39" i="67"/>
  <c r="W39"/>
  <c r="E33" i="99"/>
  <c r="H33" s="1"/>
  <c r="E33" i="98"/>
  <c r="H33" s="1"/>
  <c r="D33" i="67"/>
  <c r="E33" s="1"/>
  <c r="F33" s="1"/>
  <c r="G33" s="1"/>
  <c r="J33" s="1"/>
  <c r="K33" s="1"/>
  <c r="C57" i="33"/>
  <c r="BA58" i="1"/>
  <c r="AP58"/>
  <c r="AW58"/>
  <c r="L20" i="98"/>
  <c r="AC19" i="72" s="1"/>
  <c r="G19" i="100"/>
  <c r="E58" i="99"/>
  <c r="H58" s="1"/>
  <c r="D58" i="67"/>
  <c r="E58" s="1"/>
  <c r="F58" s="1"/>
  <c r="G58" s="1"/>
  <c r="J58" s="1"/>
  <c r="K58" s="1"/>
  <c r="E58" i="98"/>
  <c r="H58" s="1"/>
  <c r="AA58" i="33" s="1"/>
  <c r="E21" i="99"/>
  <c r="H21" s="1"/>
  <c r="D21" i="67"/>
  <c r="E21" s="1"/>
  <c r="F21" s="1"/>
  <c r="G21" s="1"/>
  <c r="J21" s="1"/>
  <c r="K21" s="1"/>
  <c r="E21" i="98"/>
  <c r="H21" s="1"/>
  <c r="AA21" i="33" s="1"/>
  <c r="E65" i="99"/>
  <c r="H65" s="1"/>
  <c r="E65" i="98"/>
  <c r="H65" s="1"/>
  <c r="D65" i="67"/>
  <c r="E65" s="1"/>
  <c r="F65" s="1"/>
  <c r="G65" s="1"/>
  <c r="J65" s="1"/>
  <c r="K65" s="1"/>
  <c r="D32" i="86"/>
  <c r="E32" s="1"/>
  <c r="G32" s="1"/>
  <c r="F32" i="90"/>
  <c r="G32" s="1"/>
  <c r="I32" s="1"/>
  <c r="Y32" i="33" s="1"/>
  <c r="D32" i="87"/>
  <c r="E32" s="1"/>
  <c r="G32" s="1"/>
  <c r="D32" i="91"/>
  <c r="E32" s="1"/>
  <c r="G32" s="1"/>
  <c r="D32" i="85"/>
  <c r="E32" s="1"/>
  <c r="G32" s="1"/>
  <c r="R32" i="33" s="1"/>
  <c r="D29" i="76"/>
  <c r="E29" s="1"/>
  <c r="H29" s="1"/>
  <c r="D32" i="92"/>
  <c r="E32" s="1"/>
  <c r="G32" s="1"/>
  <c r="D32" i="88"/>
  <c r="E32" s="1"/>
  <c r="G32" s="1"/>
  <c r="D29" i="80"/>
  <c r="E29" s="1"/>
  <c r="H29" s="1"/>
  <c r="D32" i="89"/>
  <c r="E32" s="1"/>
  <c r="G32" s="1"/>
  <c r="G71" i="100"/>
  <c r="L72" i="98"/>
  <c r="AC71" i="72" s="1"/>
  <c r="E75" i="99"/>
  <c r="H75" s="1"/>
  <c r="E75" i="98"/>
  <c r="H75" s="1"/>
  <c r="D75" i="67"/>
  <c r="E75" s="1"/>
  <c r="F75" s="1"/>
  <c r="G75" s="1"/>
  <c r="J75" s="1"/>
  <c r="K75" s="1"/>
  <c r="H72" i="85"/>
  <c r="I72" s="1"/>
  <c r="K72" s="1"/>
  <c r="N14" i="76"/>
  <c r="L44" i="99"/>
  <c r="AB43" i="72" s="1"/>
  <c r="F43" i="100"/>
  <c r="E41" i="99"/>
  <c r="H41" s="1"/>
  <c r="E41" i="98"/>
  <c r="H41" s="1"/>
  <c r="AA41" i="33" s="1"/>
  <c r="E54" i="99"/>
  <c r="H54" s="1"/>
  <c r="D54" i="67"/>
  <c r="E54" s="1"/>
  <c r="F54" s="1"/>
  <c r="G54" s="1"/>
  <c r="J54" s="1"/>
  <c r="K54" s="1"/>
  <c r="E54" i="98"/>
  <c r="H54" s="1"/>
  <c r="H14" i="85"/>
  <c r="I14" s="1"/>
  <c r="K14" s="1"/>
  <c r="E57" i="81"/>
  <c r="I45" i="33"/>
  <c r="E55" i="99"/>
  <c r="H55" s="1"/>
  <c r="E55" i="98"/>
  <c r="H55" s="1"/>
  <c r="D55" i="67"/>
  <c r="E55" s="1"/>
  <c r="F55" s="1"/>
  <c r="G55" s="1"/>
  <c r="J55" s="1"/>
  <c r="K55" s="1"/>
  <c r="H62" i="85"/>
  <c r="I62" s="1"/>
  <c r="K62" s="1"/>
  <c r="J44" i="76"/>
  <c r="K44" s="1"/>
  <c r="M44" s="1"/>
  <c r="L55" i="99"/>
  <c r="AB54" i="72" s="1"/>
  <c r="F54" i="100"/>
  <c r="AQ67" i="1"/>
  <c r="AV67"/>
  <c r="AX67"/>
  <c r="G36" i="100"/>
  <c r="L37" i="98"/>
  <c r="AC36" i="72" s="1"/>
  <c r="AQ46" i="1"/>
  <c r="AV46"/>
  <c r="AX46"/>
  <c r="BA17"/>
  <c r="C16" i="33"/>
  <c r="AP17" i="1"/>
  <c r="AW17"/>
  <c r="E36" i="99"/>
  <c r="H36" s="1"/>
  <c r="D36" i="67"/>
  <c r="E36" s="1"/>
  <c r="F36" s="1"/>
  <c r="G36" s="1"/>
  <c r="J36" s="1"/>
  <c r="K36" s="1"/>
  <c r="E36" i="98"/>
  <c r="H36" s="1"/>
  <c r="AA36" i="33" s="1"/>
  <c r="E26" i="81"/>
  <c r="V77" i="1"/>
  <c r="M80" i="101" s="1"/>
  <c r="J49" i="76"/>
  <c r="K49" s="1"/>
  <c r="M49" s="1"/>
  <c r="T38" i="67"/>
  <c r="W38"/>
  <c r="L67" i="98"/>
  <c r="AC66" i="72" s="1"/>
  <c r="G66" i="100"/>
  <c r="L71" i="98"/>
  <c r="AC70" i="72" s="1"/>
  <c r="G70" i="100"/>
  <c r="Z39" i="33"/>
  <c r="M39" i="99"/>
  <c r="I39"/>
  <c r="N39" s="1"/>
  <c r="J63" i="80"/>
  <c r="K63" s="1"/>
  <c r="M63" s="1"/>
  <c r="L61" i="98"/>
  <c r="AC60" i="72" s="1"/>
  <c r="G60" i="100"/>
  <c r="D29" i="87"/>
  <c r="E29" s="1"/>
  <c r="G29" s="1"/>
  <c r="D26" i="80"/>
  <c r="E26" s="1"/>
  <c r="H26" s="1"/>
  <c r="D29" i="89"/>
  <c r="E29" s="1"/>
  <c r="G29" s="1"/>
  <c r="D29" i="91"/>
  <c r="E29" s="1"/>
  <c r="G29" s="1"/>
  <c r="D29" i="92"/>
  <c r="E29" s="1"/>
  <c r="G29" s="1"/>
  <c r="D29" i="85"/>
  <c r="E29" s="1"/>
  <c r="G29" s="1"/>
  <c r="R29" i="33" s="1"/>
  <c r="D29" i="88"/>
  <c r="E29" s="1"/>
  <c r="G29" s="1"/>
  <c r="F29" i="90"/>
  <c r="G29" s="1"/>
  <c r="I29" s="1"/>
  <c r="Y29" i="33" s="1"/>
  <c r="D26" i="76"/>
  <c r="E26" s="1"/>
  <c r="H26" s="1"/>
  <c r="D29" i="86"/>
  <c r="E29" s="1"/>
  <c r="G29" s="1"/>
  <c r="AQ22" i="1"/>
  <c r="AV22"/>
  <c r="AX22"/>
  <c r="L16" i="99"/>
  <c r="AB15" i="72" s="1"/>
  <c r="F15" i="100"/>
  <c r="J8" i="76"/>
  <c r="K8" s="1"/>
  <c r="M8" s="1"/>
  <c r="J42"/>
  <c r="K42" s="1"/>
  <c r="M42" s="1"/>
  <c r="L56" i="98"/>
  <c r="AC55" i="72" s="1"/>
  <c r="G55" i="100"/>
  <c r="N36" i="76"/>
  <c r="AQ36" i="1"/>
  <c r="AV36"/>
  <c r="AX36"/>
  <c r="E63" i="99"/>
  <c r="H63" s="1"/>
  <c r="D63" i="67"/>
  <c r="E63" s="1"/>
  <c r="F63" s="1"/>
  <c r="G63" s="1"/>
  <c r="J63" s="1"/>
  <c r="K63" s="1"/>
  <c r="E63" i="98"/>
  <c r="H63" s="1"/>
  <c r="E24" i="99"/>
  <c r="H24" s="1"/>
  <c r="D24" i="67"/>
  <c r="E24" s="1"/>
  <c r="F24" s="1"/>
  <c r="G24" s="1"/>
  <c r="J24" s="1"/>
  <c r="K24" s="1"/>
  <c r="E24" i="98"/>
  <c r="H24" s="1"/>
  <c r="C67" i="33"/>
  <c r="BA68" i="1"/>
  <c r="AP68"/>
  <c r="AW68"/>
  <c r="N47" i="76"/>
  <c r="L43" i="99"/>
  <c r="AB42" i="72" s="1"/>
  <c r="F42" i="100"/>
  <c r="AX47" i="1"/>
  <c r="AV47"/>
  <c r="L57" i="99"/>
  <c r="AB56" i="72" s="1"/>
  <c r="F56" i="100"/>
  <c r="L12" i="99"/>
  <c r="AB11" i="72" s="1"/>
  <c r="F11" i="100"/>
  <c r="J38" i="76"/>
  <c r="K38" s="1"/>
  <c r="M38" s="1"/>
  <c r="AX65" i="1"/>
  <c r="AV65"/>
  <c r="AQ65"/>
  <c r="D70" i="67"/>
  <c r="E70" s="1"/>
  <c r="F70" s="1"/>
  <c r="G70" s="1"/>
  <c r="J70" s="1"/>
  <c r="K70" s="1"/>
  <c r="E70" i="98"/>
  <c r="H70" s="1"/>
  <c r="AA70" i="33" s="1"/>
  <c r="AQ21" i="1"/>
  <c r="AX21"/>
  <c r="AV21"/>
  <c r="L37" i="99"/>
  <c r="AB36" i="72" s="1"/>
  <c r="F36" i="100"/>
  <c r="E45" i="99"/>
  <c r="H45" s="1"/>
  <c r="D45" i="67"/>
  <c r="E45" s="1"/>
  <c r="F45" s="1"/>
  <c r="G45" s="1"/>
  <c r="J45" s="1"/>
  <c r="K45" s="1"/>
  <c r="E45" i="98"/>
  <c r="H45" s="1"/>
  <c r="AA45" i="33" s="1"/>
  <c r="G63" i="100"/>
  <c r="L64" i="98"/>
  <c r="AC63" i="72" s="1"/>
  <c r="J55" i="76"/>
  <c r="K55" s="1"/>
  <c r="M55" s="1"/>
  <c r="AV60" i="1"/>
  <c r="AX60"/>
  <c r="D56" i="88"/>
  <c r="E56" s="1"/>
  <c r="G56" s="1"/>
  <c r="D56" i="92"/>
  <c r="E56" s="1"/>
  <c r="G56" s="1"/>
  <c r="D56" i="89"/>
  <c r="E56" s="1"/>
  <c r="G56" s="1"/>
  <c r="D56" i="85"/>
  <c r="E56" s="1"/>
  <c r="G56" s="1"/>
  <c r="R56" i="33" s="1"/>
  <c r="D56" i="86"/>
  <c r="E56" s="1"/>
  <c r="G56" s="1"/>
  <c r="F56" i="90"/>
  <c r="G56" s="1"/>
  <c r="I56" s="1"/>
  <c r="Y56" i="33" s="1"/>
  <c r="D56" i="91"/>
  <c r="E56" s="1"/>
  <c r="G56" s="1"/>
  <c r="D53" i="80"/>
  <c r="E53" s="1"/>
  <c r="H53" s="1"/>
  <c r="D53" i="76"/>
  <c r="E53" s="1"/>
  <c r="H53" s="1"/>
  <c r="D56" i="87"/>
  <c r="E56" s="1"/>
  <c r="G56" s="1"/>
  <c r="H65" i="85"/>
  <c r="I65" s="1"/>
  <c r="K65" s="1"/>
  <c r="D16" i="88"/>
  <c r="E16" s="1"/>
  <c r="G16" s="1"/>
  <c r="D16" i="92"/>
  <c r="E16" s="1"/>
  <c r="G16" s="1"/>
  <c r="D16" i="89"/>
  <c r="E16" s="1"/>
  <c r="G16" s="1"/>
  <c r="D16" i="85"/>
  <c r="E16" s="1"/>
  <c r="G16" s="1"/>
  <c r="R16" i="33" s="1"/>
  <c r="D16" i="86"/>
  <c r="E16" s="1"/>
  <c r="G16" s="1"/>
  <c r="F16" i="90"/>
  <c r="G16" s="1"/>
  <c r="I16" s="1"/>
  <c r="Y16" i="33" s="1"/>
  <c r="D16" i="91"/>
  <c r="E16" s="1"/>
  <c r="G16" s="1"/>
  <c r="D13" i="80"/>
  <c r="E13" s="1"/>
  <c r="H13" s="1"/>
  <c r="D13" i="76"/>
  <c r="E13" s="1"/>
  <c r="H13" s="1"/>
  <c r="D16" i="87"/>
  <c r="E16" s="1"/>
  <c r="G16" s="1"/>
  <c r="L31" i="99"/>
  <c r="AB30" i="72" s="1"/>
  <c r="F30" i="100"/>
  <c r="AX37" i="1"/>
  <c r="AV37"/>
  <c r="D20" i="67"/>
  <c r="E20" s="1"/>
  <c r="F20" s="1"/>
  <c r="G20" s="1"/>
  <c r="J20" s="1"/>
  <c r="K20" s="1"/>
  <c r="H49" i="85"/>
  <c r="I49" s="1"/>
  <c r="K49" s="1"/>
  <c r="H55"/>
  <c r="I55" s="1"/>
  <c r="K55" s="1"/>
  <c r="J21" i="76"/>
  <c r="K21" s="1"/>
  <c r="M21" s="1"/>
  <c r="G47" i="100"/>
  <c r="L48" i="98"/>
  <c r="AC47" i="72" s="1"/>
  <c r="J32" i="76"/>
  <c r="K32" s="1"/>
  <c r="M32" s="1"/>
  <c r="J43"/>
  <c r="K43" s="1"/>
  <c r="M43" s="1"/>
  <c r="J70"/>
  <c r="K70" s="1"/>
  <c r="M70" s="1"/>
  <c r="G26" i="100"/>
  <c r="L27" i="98"/>
  <c r="AC26" i="72" s="1"/>
  <c r="L45" i="99"/>
  <c r="AB44" i="72" s="1"/>
  <c r="F44" i="100"/>
  <c r="AQ14" i="1"/>
  <c r="AV14"/>
  <c r="AX14"/>
  <c r="BD8"/>
  <c r="BD77" s="1"/>
  <c r="BB77"/>
  <c r="H33" i="85"/>
  <c r="I33" s="1"/>
  <c r="K33" s="1"/>
  <c r="H33" i="46"/>
  <c r="H36" s="1"/>
  <c r="E36"/>
  <c r="J67" i="76"/>
  <c r="K67" s="1"/>
  <c r="M67" s="1"/>
  <c r="C44" i="33"/>
  <c r="AP45" i="1"/>
  <c r="BA45"/>
  <c r="AW45"/>
  <c r="AQ45" s="1"/>
  <c r="AQ75"/>
  <c r="AX75"/>
  <c r="AV75"/>
  <c r="L67" i="99"/>
  <c r="AB66" i="72" s="1"/>
  <c r="F66" i="100"/>
  <c r="L71" i="99"/>
  <c r="AB70" i="72" s="1"/>
  <c r="F70" i="100"/>
  <c r="L75" i="98"/>
  <c r="AC74" i="72" s="1"/>
  <c r="G74" i="100"/>
  <c r="D12" i="88"/>
  <c r="E12" s="1"/>
  <c r="G12" s="1"/>
  <c r="D12" i="92"/>
  <c r="E12" s="1"/>
  <c r="G12" s="1"/>
  <c r="D12" i="89"/>
  <c r="E12" s="1"/>
  <c r="G12" s="1"/>
  <c r="D12" i="85"/>
  <c r="E12" s="1"/>
  <c r="G12" s="1"/>
  <c r="D12" i="86"/>
  <c r="E12" s="1"/>
  <c r="G12" s="1"/>
  <c r="F12" i="90"/>
  <c r="G12" s="1"/>
  <c r="I12" s="1"/>
  <c r="Y12" i="33" s="1"/>
  <c r="D12" i="87"/>
  <c r="E12" s="1"/>
  <c r="G12" s="1"/>
  <c r="D9" i="80"/>
  <c r="E9" s="1"/>
  <c r="H9" s="1"/>
  <c r="D9" i="76"/>
  <c r="E9" s="1"/>
  <c r="H9" s="1"/>
  <c r="D12" i="91"/>
  <c r="E12" s="1"/>
  <c r="G12" s="1"/>
  <c r="L20" i="99"/>
  <c r="AB19" i="72" s="1"/>
  <c r="F19" i="100"/>
  <c r="AX26" i="1"/>
  <c r="AV26"/>
  <c r="AX23"/>
  <c r="AV23"/>
  <c r="W60" i="67"/>
  <c r="T60"/>
  <c r="J15" i="76"/>
  <c r="K15" s="1"/>
  <c r="M15" s="1"/>
  <c r="D31" i="67"/>
  <c r="E31" s="1"/>
  <c r="F31" s="1"/>
  <c r="G31" s="1"/>
  <c r="J31" s="1"/>
  <c r="K31" s="1"/>
  <c r="D61" i="87"/>
  <c r="E61" s="1"/>
  <c r="G61" s="1"/>
  <c r="D61" i="88"/>
  <c r="E61" s="1"/>
  <c r="G61" s="1"/>
  <c r="D61" i="91"/>
  <c r="E61" s="1"/>
  <c r="G61" s="1"/>
  <c r="D61" i="89"/>
  <c r="E61" s="1"/>
  <c r="G61" s="1"/>
  <c r="D61" i="86"/>
  <c r="E61" s="1"/>
  <c r="G61" s="1"/>
  <c r="D61" i="92"/>
  <c r="E61" s="1"/>
  <c r="G61" s="1"/>
  <c r="D58" i="76"/>
  <c r="E58" s="1"/>
  <c r="H58" s="1"/>
  <c r="D58" i="80"/>
  <c r="E58" s="1"/>
  <c r="H58" s="1"/>
  <c r="F61" i="90"/>
  <c r="G61" s="1"/>
  <c r="I61" s="1"/>
  <c r="Y61" i="33" s="1"/>
  <c r="D61" i="85"/>
  <c r="E61" s="1"/>
  <c r="G61" s="1"/>
  <c r="R61" i="33" s="1"/>
  <c r="E62" i="99"/>
  <c r="H62" s="1"/>
  <c r="E62" i="98"/>
  <c r="H62" s="1"/>
  <c r="D62" i="67"/>
  <c r="E62" s="1"/>
  <c r="F62" s="1"/>
  <c r="G62" s="1"/>
  <c r="J62" s="1"/>
  <c r="K62" s="1"/>
  <c r="L44" i="98"/>
  <c r="AC43" i="72" s="1"/>
  <c r="G43" i="100"/>
  <c r="AV42" i="1"/>
  <c r="AQ42"/>
  <c r="AX42"/>
  <c r="E47" i="99"/>
  <c r="H47" s="1"/>
  <c r="E47" i="98"/>
  <c r="H47" s="1"/>
  <c r="D47" i="67"/>
  <c r="E47" s="1"/>
  <c r="F47" s="1"/>
  <c r="G47" s="1"/>
  <c r="J47" s="1"/>
  <c r="K47" s="1"/>
  <c r="J71" i="76"/>
  <c r="K71" s="1"/>
  <c r="M71" s="1"/>
  <c r="H74" i="85"/>
  <c r="I74" s="1"/>
  <c r="K74" s="1"/>
  <c r="L29" i="99"/>
  <c r="AB28" i="72" s="1"/>
  <c r="F28" i="100"/>
  <c r="J11" i="76"/>
  <c r="K11" s="1"/>
  <c r="M11" s="1"/>
  <c r="E35" i="99"/>
  <c r="H35" s="1"/>
  <c r="D35" i="67"/>
  <c r="E35" s="1"/>
  <c r="F35" s="1"/>
  <c r="G35" s="1"/>
  <c r="J35" s="1"/>
  <c r="K35" s="1"/>
  <c r="E35" i="98"/>
  <c r="H35" s="1"/>
  <c r="W26" i="67"/>
  <c r="T26"/>
  <c r="J59" i="76"/>
  <c r="K59" s="1"/>
  <c r="M59" s="1"/>
  <c r="L55" i="98"/>
  <c r="AC54" i="72" s="1"/>
  <c r="G54" i="100"/>
  <c r="AQ26" i="1"/>
  <c r="L23" i="98"/>
  <c r="AC22" i="72" s="1"/>
  <c r="G22" i="100"/>
  <c r="J15" i="98"/>
  <c r="J15" i="99"/>
  <c r="K15" s="1"/>
  <c r="L7"/>
  <c r="J76" i="98"/>
  <c r="J76" i="99"/>
  <c r="J7" i="98"/>
  <c r="K7" s="1"/>
  <c r="D23" i="86"/>
  <c r="E23" s="1"/>
  <c r="G23" s="1"/>
  <c r="D23" i="87"/>
  <c r="E23" s="1"/>
  <c r="G23" s="1"/>
  <c r="D23" i="89"/>
  <c r="E23" s="1"/>
  <c r="G23" s="1"/>
  <c r="D23" i="88"/>
  <c r="E23" s="1"/>
  <c r="G23" s="1"/>
  <c r="F23" i="90"/>
  <c r="G23" s="1"/>
  <c r="D23" i="91"/>
  <c r="E23" s="1"/>
  <c r="G23" s="1"/>
  <c r="D23" i="92"/>
  <c r="E23" s="1"/>
  <c r="G23" s="1"/>
  <c r="D23" i="85"/>
  <c r="E23" s="1"/>
  <c r="G23" s="1"/>
  <c r="R23" i="33" s="1"/>
  <c r="D16" i="46"/>
  <c r="E16" s="1"/>
  <c r="H16" s="1"/>
  <c r="L16" s="1"/>
  <c r="N16" s="1"/>
  <c r="D23" i="67"/>
  <c r="E23" s="1"/>
  <c r="F23" s="1"/>
  <c r="G23" s="1"/>
  <c r="AH16" i="1"/>
  <c r="AK16"/>
  <c r="AL16" s="1"/>
  <c r="AO16"/>
  <c r="G36" i="81"/>
  <c r="H36"/>
  <c r="D20" i="80"/>
  <c r="E20" s="1"/>
  <c r="H20" s="1"/>
  <c r="D20" i="76"/>
  <c r="E20" s="1"/>
  <c r="H20" s="1"/>
  <c r="AU24" i="1"/>
  <c r="AU62"/>
  <c r="AU47"/>
  <c r="AU25"/>
  <c r="AU28"/>
  <c r="AU42"/>
  <c r="AU74"/>
  <c r="AU17"/>
  <c r="AU45"/>
  <c r="AU37"/>
  <c r="AU68"/>
  <c r="AU76"/>
  <c r="AU15"/>
  <c r="AU48"/>
  <c r="AU51"/>
  <c r="AU60"/>
  <c r="AU73"/>
  <c r="AU27"/>
  <c r="AU43"/>
  <c r="AU69"/>
  <c r="AU35"/>
  <c r="AU34"/>
  <c r="AU44"/>
  <c r="AU31"/>
  <c r="AU40"/>
  <c r="AU11"/>
  <c r="AU32"/>
  <c r="AU12"/>
  <c r="AU29"/>
  <c r="AU9"/>
  <c r="AU52"/>
  <c r="AU49"/>
  <c r="AU22"/>
  <c r="AU72"/>
  <c r="AU61"/>
  <c r="AU33"/>
  <c r="AU66"/>
  <c r="AU75"/>
  <c r="AU38"/>
  <c r="AU14"/>
  <c r="AU70"/>
  <c r="AU23"/>
  <c r="AU54"/>
  <c r="AU57"/>
  <c r="AU53"/>
  <c r="AU58"/>
  <c r="AU39"/>
  <c r="AU46"/>
  <c r="AU50"/>
  <c r="AU20"/>
  <c r="AU13"/>
  <c r="AU18"/>
  <c r="AU10"/>
  <c r="AU63"/>
  <c r="AU71"/>
  <c r="AU67"/>
  <c r="AU56"/>
  <c r="AU36"/>
  <c r="AU30"/>
  <c r="AU21"/>
  <c r="AU55"/>
  <c r="AU59"/>
  <c r="AU16"/>
  <c r="AU26"/>
  <c r="AU19"/>
  <c r="AU65"/>
  <c r="AU41"/>
  <c r="AU8"/>
  <c r="AU64"/>
  <c r="O7" i="67"/>
  <c r="P7" s="1"/>
  <c r="AB6" i="100" s="1"/>
  <c r="L76" i="67"/>
  <c r="O76" s="1"/>
  <c r="Y22" i="72"/>
  <c r="AX24" i="1"/>
  <c r="AV24"/>
  <c r="AQ24"/>
  <c r="D14" i="46"/>
  <c r="E14" s="1"/>
  <c r="H14" s="1"/>
  <c r="D10"/>
  <c r="E10" s="1"/>
  <c r="D13"/>
  <c r="E13" s="1"/>
  <c r="H13" s="1"/>
  <c r="D17"/>
  <c r="E17" s="1"/>
  <c r="H17" s="1"/>
  <c r="D7"/>
  <c r="E7" s="1"/>
  <c r="H7" s="1"/>
  <c r="D12"/>
  <c r="E12" s="1"/>
  <c r="H12" s="1"/>
  <c r="D11"/>
  <c r="E11" s="1"/>
  <c r="H11" s="1"/>
  <c r="D33" i="101" l="1"/>
  <c r="I33" s="1"/>
  <c r="K33" s="1"/>
  <c r="L33" s="1"/>
  <c r="AH29" i="33"/>
  <c r="D14" i="101"/>
  <c r="AH10" i="33"/>
  <c r="E49" i="101"/>
  <c r="H49" s="1"/>
  <c r="D48"/>
  <c r="AH44" i="33"/>
  <c r="D36" i="101"/>
  <c r="AH32" i="33"/>
  <c r="D60" i="101"/>
  <c r="AH56" i="33"/>
  <c r="D20" i="101"/>
  <c r="AH16" i="33"/>
  <c r="D23" i="101"/>
  <c r="AH19" i="33"/>
  <c r="D65" i="101"/>
  <c r="AH61" i="33"/>
  <c r="D73" i="101"/>
  <c r="AH69" i="33"/>
  <c r="N70"/>
  <c r="M70"/>
  <c r="X70"/>
  <c r="E27" i="101"/>
  <c r="E39"/>
  <c r="E40"/>
  <c r="AB36" i="33" s="1"/>
  <c r="E15" i="101"/>
  <c r="E66"/>
  <c r="E67"/>
  <c r="D71"/>
  <c r="I71" s="1"/>
  <c r="K71" s="1"/>
  <c r="L71" s="1"/>
  <c r="AH67" i="33"/>
  <c r="D61" i="101"/>
  <c r="AH57" i="33"/>
  <c r="D16" i="101"/>
  <c r="I16" s="1"/>
  <c r="K16" s="1"/>
  <c r="L16" s="1"/>
  <c r="AH12" i="33"/>
  <c r="D75" i="101"/>
  <c r="AH71" i="33"/>
  <c r="D52" i="101"/>
  <c r="I52" s="1"/>
  <c r="K52" s="1"/>
  <c r="L52" s="1"/>
  <c r="AH48" i="33"/>
  <c r="E43" i="101"/>
  <c r="I43"/>
  <c r="K43" s="1"/>
  <c r="L43" s="1"/>
  <c r="I67" i="80"/>
  <c r="Q70" i="33" s="1"/>
  <c r="I70" i="113"/>
  <c r="J70" s="1"/>
  <c r="L70" s="1"/>
  <c r="H70" i="88"/>
  <c r="I70" s="1"/>
  <c r="K70" s="1"/>
  <c r="L70" s="1"/>
  <c r="L70" i="33"/>
  <c r="T60"/>
  <c r="I60" i="118"/>
  <c r="J60" s="1"/>
  <c r="L60" s="1"/>
  <c r="M60" s="1"/>
  <c r="J34" i="90"/>
  <c r="K34" s="1"/>
  <c r="M34" s="1"/>
  <c r="N34" s="1"/>
  <c r="I9" i="98"/>
  <c r="N9" s="1"/>
  <c r="M60"/>
  <c r="I60" i="115"/>
  <c r="J60" s="1"/>
  <c r="L60" s="1"/>
  <c r="M60" s="1"/>
  <c r="AX50" i="1"/>
  <c r="J60" i="90"/>
  <c r="K60" s="1"/>
  <c r="M60" s="1"/>
  <c r="N60" s="1"/>
  <c r="I60" i="98"/>
  <c r="N60" s="1"/>
  <c r="I60" i="113"/>
  <c r="J60" s="1"/>
  <c r="L60" s="1"/>
  <c r="M60" s="1"/>
  <c r="AV50" i="1"/>
  <c r="I9" i="99"/>
  <c r="N9" s="1"/>
  <c r="M9" i="98"/>
  <c r="I39" i="76"/>
  <c r="P42" i="33" s="1"/>
  <c r="I39" i="80"/>
  <c r="Q42" i="33" s="1"/>
  <c r="I54" i="80"/>
  <c r="Q57" i="33" s="1"/>
  <c r="I28" i="80"/>
  <c r="Q31" i="33" s="1"/>
  <c r="I25" i="76"/>
  <c r="P28" i="33" s="1"/>
  <c r="I6" i="80"/>
  <c r="Q9" i="33" s="1"/>
  <c r="I20" i="76"/>
  <c r="P23" i="33" s="1"/>
  <c r="I66" i="76"/>
  <c r="P69" i="33" s="1"/>
  <c r="I17" i="80"/>
  <c r="Q20" i="33" s="1"/>
  <c r="I50" i="80"/>
  <c r="Q53" i="33" s="1"/>
  <c r="I31" i="80"/>
  <c r="Q34" i="33" s="1"/>
  <c r="I41" i="80"/>
  <c r="Q44" i="33" s="1"/>
  <c r="I7" i="80"/>
  <c r="Q10" i="33" s="1"/>
  <c r="I29" i="80"/>
  <c r="Q32" i="33" s="1"/>
  <c r="T17" i="67"/>
  <c r="AX31" i="1"/>
  <c r="I61" i="80"/>
  <c r="Q64" i="33" s="1"/>
  <c r="I9" i="76"/>
  <c r="P12" i="33" s="1"/>
  <c r="I66" i="80"/>
  <c r="Q69" i="33" s="1"/>
  <c r="I68" i="80"/>
  <c r="Q71" i="33" s="1"/>
  <c r="I25" i="80"/>
  <c r="Q28" i="33" s="1"/>
  <c r="I19" i="76"/>
  <c r="P22" i="33" s="1"/>
  <c r="I13" i="76"/>
  <c r="P16" i="33" s="1"/>
  <c r="I57" i="76"/>
  <c r="P60" i="33" s="1"/>
  <c r="I24" i="80"/>
  <c r="Q27" i="33" s="1"/>
  <c r="I58" i="76"/>
  <c r="P61" i="33" s="1"/>
  <c r="I26" i="76"/>
  <c r="P29" i="33" s="1"/>
  <c r="I68" i="76"/>
  <c r="P71" i="33" s="1"/>
  <c r="I61" i="76"/>
  <c r="P64" i="33" s="1"/>
  <c r="I9" i="80"/>
  <c r="Q12" i="33" s="1"/>
  <c r="I53" i="76"/>
  <c r="P56" i="33" s="1"/>
  <c r="I45" i="76"/>
  <c r="P48" i="33" s="1"/>
  <c r="I64" i="76"/>
  <c r="P67" i="33" s="1"/>
  <c r="I27" i="76"/>
  <c r="P30" i="33" s="1"/>
  <c r="I40" i="76"/>
  <c r="P43" i="33" s="1"/>
  <c r="I19" i="80"/>
  <c r="Q22" i="33" s="1"/>
  <c r="I13" i="80"/>
  <c r="Q16" i="33" s="1"/>
  <c r="I16" i="76"/>
  <c r="P19" i="33" s="1"/>
  <c r="I57" i="80"/>
  <c r="Q60" i="33" s="1"/>
  <c r="I24" i="76"/>
  <c r="P27" i="33" s="1"/>
  <c r="I58" i="80"/>
  <c r="Q61" i="33" s="1"/>
  <c r="I26" i="80"/>
  <c r="Q29" i="33" s="1"/>
  <c r="T50" i="67"/>
  <c r="AV31" i="1"/>
  <c r="I28" i="76"/>
  <c r="P31" i="33" s="1"/>
  <c r="I41" i="76"/>
  <c r="P44" i="33" s="1"/>
  <c r="I53" i="80"/>
  <c r="Q56" i="33" s="1"/>
  <c r="I45" i="80"/>
  <c r="Q48" i="33" s="1"/>
  <c r="I64" i="80"/>
  <c r="Q67" i="33" s="1"/>
  <c r="I27" i="80"/>
  <c r="Q30" i="33" s="1"/>
  <c r="I40" i="80"/>
  <c r="Q43" i="33" s="1"/>
  <c r="I6" i="76"/>
  <c r="P9" i="33" s="1"/>
  <c r="I17" i="76"/>
  <c r="P20" i="33" s="1"/>
  <c r="I7" i="76"/>
  <c r="P10" i="33" s="1"/>
  <c r="I16" i="80"/>
  <c r="Q19" i="33" s="1"/>
  <c r="I20" i="80"/>
  <c r="Q23" i="33" s="1"/>
  <c r="I50" i="76"/>
  <c r="P53" i="33" s="1"/>
  <c r="I29" i="76"/>
  <c r="P32" i="33" s="1"/>
  <c r="I54" i="76"/>
  <c r="P57" i="33" s="1"/>
  <c r="I31" i="76"/>
  <c r="P34" i="33" s="1"/>
  <c r="AC40"/>
  <c r="S15" i="67"/>
  <c r="Y14" i="72" s="1"/>
  <c r="R30" i="101"/>
  <c r="S30" s="1"/>
  <c r="R42"/>
  <c r="S42" s="1"/>
  <c r="R44"/>
  <c r="S44" s="1"/>
  <c r="AC6" i="100"/>
  <c r="G80" i="101"/>
  <c r="E61" i="81"/>
  <c r="G6" i="100"/>
  <c r="R64" i="101"/>
  <c r="S64" s="1"/>
  <c r="F6" i="100"/>
  <c r="O15" i="46"/>
  <c r="I48" i="101"/>
  <c r="K48" s="1"/>
  <c r="L48" s="1"/>
  <c r="E48"/>
  <c r="I61"/>
  <c r="K61" s="1"/>
  <c r="L61" s="1"/>
  <c r="E61"/>
  <c r="E52"/>
  <c r="I65"/>
  <c r="K65" s="1"/>
  <c r="L65" s="1"/>
  <c r="E65"/>
  <c r="D64" i="67"/>
  <c r="E64" s="1"/>
  <c r="F64" s="1"/>
  <c r="G64" s="1"/>
  <c r="J64" s="1"/>
  <c r="K64" s="1"/>
  <c r="W64" s="1"/>
  <c r="D68" i="101"/>
  <c r="P53"/>
  <c r="O53"/>
  <c r="Q53" s="1"/>
  <c r="P51"/>
  <c r="O51"/>
  <c r="Q51" s="1"/>
  <c r="P66"/>
  <c r="O66"/>
  <c r="Q66" s="1"/>
  <c r="P79"/>
  <c r="O79"/>
  <c r="Q79" s="1"/>
  <c r="P55"/>
  <c r="O55"/>
  <c r="Q55" s="1"/>
  <c r="P56"/>
  <c r="O56"/>
  <c r="Q56" s="1"/>
  <c r="P70"/>
  <c r="O70"/>
  <c r="Q70" s="1"/>
  <c r="P72"/>
  <c r="O72"/>
  <c r="Q72" s="1"/>
  <c r="P77"/>
  <c r="O77"/>
  <c r="Q77" s="1"/>
  <c r="P50"/>
  <c r="O50"/>
  <c r="Q50" s="1"/>
  <c r="P67"/>
  <c r="O67"/>
  <c r="Q67" s="1"/>
  <c r="P59"/>
  <c r="O59"/>
  <c r="Q59" s="1"/>
  <c r="P58"/>
  <c r="O58"/>
  <c r="Q58" s="1"/>
  <c r="P69"/>
  <c r="O69"/>
  <c r="Q69" s="1"/>
  <c r="P62"/>
  <c r="O62"/>
  <c r="Q62" s="1"/>
  <c r="P78"/>
  <c r="O78"/>
  <c r="Q78" s="1"/>
  <c r="P57"/>
  <c r="O57"/>
  <c r="Q57" s="1"/>
  <c r="P63"/>
  <c r="O63"/>
  <c r="Q63" s="1"/>
  <c r="P74"/>
  <c r="O74"/>
  <c r="Q74" s="1"/>
  <c r="E71"/>
  <c r="I75"/>
  <c r="K75" s="1"/>
  <c r="L75" s="1"/>
  <c r="E75"/>
  <c r="I60"/>
  <c r="K60" s="1"/>
  <c r="L60" s="1"/>
  <c r="E60"/>
  <c r="I73"/>
  <c r="K73" s="1"/>
  <c r="L73" s="1"/>
  <c r="E73"/>
  <c r="D72" i="67"/>
  <c r="E72" s="1"/>
  <c r="F72" s="1"/>
  <c r="G72" s="1"/>
  <c r="J72" s="1"/>
  <c r="K72" s="1"/>
  <c r="W72" s="1"/>
  <c r="D76" i="101"/>
  <c r="AB49" i="33"/>
  <c r="H53" i="101"/>
  <c r="AB47" i="33"/>
  <c r="H51" i="101"/>
  <c r="AB62" i="33"/>
  <c r="H66" i="101"/>
  <c r="AB75" i="33"/>
  <c r="H79" i="101"/>
  <c r="AB51" i="33"/>
  <c r="H55" i="101"/>
  <c r="AB52" i="33"/>
  <c r="H56" i="101"/>
  <c r="AB66" i="33"/>
  <c r="H70" i="101"/>
  <c r="AB68" i="33"/>
  <c r="H72" i="101"/>
  <c r="AB73" i="33"/>
  <c r="H77" i="101"/>
  <c r="AB46" i="33"/>
  <c r="H50" i="101"/>
  <c r="I54"/>
  <c r="K54" s="1"/>
  <c r="L54" s="1"/>
  <c r="E54"/>
  <c r="AB63" i="33"/>
  <c r="H67" i="101"/>
  <c r="AB55" i="33"/>
  <c r="H59" i="101"/>
  <c r="AB54" i="33"/>
  <c r="H58" i="101"/>
  <c r="AB65" i="33"/>
  <c r="H69" i="101"/>
  <c r="AB58" i="33"/>
  <c r="H62" i="101"/>
  <c r="AB74" i="33"/>
  <c r="H78" i="101"/>
  <c r="AB53" i="33"/>
  <c r="H57" i="101"/>
  <c r="AB59" i="33"/>
  <c r="H63" i="101"/>
  <c r="AB70" i="33"/>
  <c r="H74" i="101"/>
  <c r="D43" i="67"/>
  <c r="E43" s="1"/>
  <c r="F43" s="1"/>
  <c r="G43" s="1"/>
  <c r="J43" s="1"/>
  <c r="K43" s="1"/>
  <c r="W43" s="1"/>
  <c r="D47" i="101"/>
  <c r="I23"/>
  <c r="K23" s="1"/>
  <c r="L23" s="1"/>
  <c r="E23"/>
  <c r="I14"/>
  <c r="K14" s="1"/>
  <c r="L14" s="1"/>
  <c r="E14"/>
  <c r="D9" i="67"/>
  <c r="E9" s="1"/>
  <c r="F9" s="1"/>
  <c r="G9" s="1"/>
  <c r="D13" i="101"/>
  <c r="D34" i="67"/>
  <c r="E34" s="1"/>
  <c r="F34" s="1"/>
  <c r="G34" s="1"/>
  <c r="J34" s="1"/>
  <c r="K34" s="1"/>
  <c r="W34" s="1"/>
  <c r="D38" i="101"/>
  <c r="D41" i="67"/>
  <c r="E41" s="1"/>
  <c r="F41" s="1"/>
  <c r="G41" s="1"/>
  <c r="J41" s="1"/>
  <c r="K41" s="1"/>
  <c r="W41" s="1"/>
  <c r="D45" i="101"/>
  <c r="O32"/>
  <c r="Q32" s="1"/>
  <c r="P32"/>
  <c r="O26"/>
  <c r="Q26" s="1"/>
  <c r="P26"/>
  <c r="P37"/>
  <c r="O37"/>
  <c r="Q37" s="1"/>
  <c r="O22"/>
  <c r="Q22" s="1"/>
  <c r="P22"/>
  <c r="O28"/>
  <c r="Q28" s="1"/>
  <c r="P28"/>
  <c r="O34"/>
  <c r="Q34" s="1"/>
  <c r="P34"/>
  <c r="P39"/>
  <c r="O39"/>
  <c r="Q39" s="1"/>
  <c r="P35"/>
  <c r="O35"/>
  <c r="Q35" s="1"/>
  <c r="P25"/>
  <c r="O25"/>
  <c r="Q25" s="1"/>
  <c r="P29"/>
  <c r="O29"/>
  <c r="Q29" s="1"/>
  <c r="P17"/>
  <c r="O17"/>
  <c r="Q17" s="1"/>
  <c r="O24"/>
  <c r="Q24" s="1"/>
  <c r="P24"/>
  <c r="O40"/>
  <c r="P40"/>
  <c r="P31"/>
  <c r="O31"/>
  <c r="Q31" s="1"/>
  <c r="P15"/>
  <c r="O15"/>
  <c r="Q15" s="1"/>
  <c r="I20"/>
  <c r="K20" s="1"/>
  <c r="L20" s="1"/>
  <c r="E20"/>
  <c r="I36"/>
  <c r="K36" s="1"/>
  <c r="L36" s="1"/>
  <c r="E36"/>
  <c r="E14" i="98"/>
  <c r="H14" s="1"/>
  <c r="M14" s="1"/>
  <c r="D18" i="101"/>
  <c r="D37" i="67"/>
  <c r="E37" s="1"/>
  <c r="F37" s="1"/>
  <c r="G37" s="1"/>
  <c r="J37" s="1"/>
  <c r="K37" s="1"/>
  <c r="W37" s="1"/>
  <c r="D41" i="101"/>
  <c r="H27"/>
  <c r="AB23" i="33"/>
  <c r="I21" i="101"/>
  <c r="K21" s="1"/>
  <c r="L21" s="1"/>
  <c r="E21"/>
  <c r="AB28" i="33"/>
  <c r="H32" i="101"/>
  <c r="AB22" i="33"/>
  <c r="H26" i="101"/>
  <c r="AB33" i="33"/>
  <c r="H37" i="101"/>
  <c r="AB18" i="33"/>
  <c r="H22" i="101"/>
  <c r="AB24" i="33"/>
  <c r="H28" i="101"/>
  <c r="AB30" i="33"/>
  <c r="H34" i="101"/>
  <c r="AB35" i="33"/>
  <c r="H39" i="101"/>
  <c r="AB31" i="33"/>
  <c r="H35" i="101"/>
  <c r="AB21" i="33"/>
  <c r="H25" i="101"/>
  <c r="AB25" i="33"/>
  <c r="H29" i="101"/>
  <c r="AB13" i="33"/>
  <c r="H17" i="101"/>
  <c r="AB20" i="33"/>
  <c r="H24" i="101"/>
  <c r="AB27" i="33"/>
  <c r="H31" i="101"/>
  <c r="AB11" i="33"/>
  <c r="H15" i="101"/>
  <c r="O12"/>
  <c r="Q12" s="1"/>
  <c r="P12"/>
  <c r="AB8" i="33"/>
  <c r="H12" i="101"/>
  <c r="P49"/>
  <c r="O49"/>
  <c r="Q49" s="1"/>
  <c r="P27"/>
  <c r="O27"/>
  <c r="Q27" s="1"/>
  <c r="D22" i="31"/>
  <c r="E22" s="1"/>
  <c r="H22" s="1"/>
  <c r="J22" s="1"/>
  <c r="D16"/>
  <c r="E16" s="1"/>
  <c r="H16" s="1"/>
  <c r="J16" s="1"/>
  <c r="D44"/>
  <c r="E44" s="1"/>
  <c r="H44" s="1"/>
  <c r="J44" s="1"/>
  <c r="T42" i="67"/>
  <c r="D67" i="31"/>
  <c r="E67" s="1"/>
  <c r="H67" s="1"/>
  <c r="J67" s="1"/>
  <c r="M42" i="99"/>
  <c r="D46" i="31"/>
  <c r="E46" s="1"/>
  <c r="H46" s="1"/>
  <c r="J46" s="1"/>
  <c r="E46" i="101"/>
  <c r="AB42" i="33" s="1"/>
  <c r="AC26"/>
  <c r="AC38"/>
  <c r="D63" i="31"/>
  <c r="E63" s="1"/>
  <c r="H63" s="1"/>
  <c r="J63" s="1"/>
  <c r="D49"/>
  <c r="E49" s="1"/>
  <c r="H49" s="1"/>
  <c r="J49" s="1"/>
  <c r="D28"/>
  <c r="E28" s="1"/>
  <c r="H28" s="1"/>
  <c r="J28" s="1"/>
  <c r="D23"/>
  <c r="E23" s="1"/>
  <c r="H23" s="1"/>
  <c r="J23" s="1"/>
  <c r="D25"/>
  <c r="E25" s="1"/>
  <c r="H25" s="1"/>
  <c r="J25" s="1"/>
  <c r="M72" i="117"/>
  <c r="M54" i="114"/>
  <c r="M51"/>
  <c r="M63"/>
  <c r="M41" i="118"/>
  <c r="M75"/>
  <c r="M75" i="114"/>
  <c r="D54" i="31"/>
  <c r="E54" s="1"/>
  <c r="H54" s="1"/>
  <c r="J54" s="1"/>
  <c r="H30" i="85"/>
  <c r="I30" s="1"/>
  <c r="K30" s="1"/>
  <c r="L30" s="1"/>
  <c r="D24" i="31"/>
  <c r="E24" s="1"/>
  <c r="H24" s="1"/>
  <c r="J24" s="1"/>
  <c r="D60"/>
  <c r="E60" s="1"/>
  <c r="H60" s="1"/>
  <c r="J60" s="1"/>
  <c r="H23" i="92"/>
  <c r="I23" s="1"/>
  <c r="K23" s="1"/>
  <c r="L23" s="1"/>
  <c r="X23" i="33"/>
  <c r="H23" i="89"/>
  <c r="I23" s="1"/>
  <c r="K23" s="1"/>
  <c r="L23" s="1"/>
  <c r="V23" i="33"/>
  <c r="H23" i="86"/>
  <c r="I23" s="1"/>
  <c r="K23" s="1"/>
  <c r="L23" s="1"/>
  <c r="S23" i="33"/>
  <c r="J58" i="80"/>
  <c r="K58" s="1"/>
  <c r="M58" s="1"/>
  <c r="N58" s="1"/>
  <c r="H61" i="92"/>
  <c r="I61" s="1"/>
  <c r="K61" s="1"/>
  <c r="L61" s="1"/>
  <c r="X61" i="33"/>
  <c r="H61" i="89"/>
  <c r="I61" s="1"/>
  <c r="K61" s="1"/>
  <c r="L61" s="1"/>
  <c r="V61" i="33"/>
  <c r="H61" i="88"/>
  <c r="I61" s="1"/>
  <c r="K61" s="1"/>
  <c r="L61" s="1"/>
  <c r="U61" i="33"/>
  <c r="H12" i="87"/>
  <c r="I12" s="1"/>
  <c r="K12" s="1"/>
  <c r="L12" s="1"/>
  <c r="T12" i="33"/>
  <c r="H12" i="86"/>
  <c r="I12" s="1"/>
  <c r="K12" s="1"/>
  <c r="L12" s="1"/>
  <c r="S12" i="33"/>
  <c r="H12" i="89"/>
  <c r="I12" s="1"/>
  <c r="K12" s="1"/>
  <c r="L12" s="1"/>
  <c r="V12" i="33"/>
  <c r="H12" i="88"/>
  <c r="I12" s="1"/>
  <c r="K12" s="1"/>
  <c r="L12" s="1"/>
  <c r="U12" i="33"/>
  <c r="H16" i="91"/>
  <c r="I16" s="1"/>
  <c r="K16" s="1"/>
  <c r="L16" s="1"/>
  <c r="W16" i="33"/>
  <c r="H16" i="86"/>
  <c r="I16" s="1"/>
  <c r="K16" s="1"/>
  <c r="L16" s="1"/>
  <c r="S16" i="33"/>
  <c r="H16" i="89"/>
  <c r="I16" s="1"/>
  <c r="K16" s="1"/>
  <c r="L16" s="1"/>
  <c r="V16" i="33"/>
  <c r="H16" i="88"/>
  <c r="I16" s="1"/>
  <c r="K16" s="1"/>
  <c r="L16" s="1"/>
  <c r="U16" i="33"/>
  <c r="H56" i="87"/>
  <c r="I56" s="1"/>
  <c r="K56" s="1"/>
  <c r="L56" s="1"/>
  <c r="T56" i="33"/>
  <c r="J53" i="80"/>
  <c r="K53" s="1"/>
  <c r="M53" s="1"/>
  <c r="N53" s="1"/>
  <c r="H56" i="92"/>
  <c r="I56" s="1"/>
  <c r="K56" s="1"/>
  <c r="L56" s="1"/>
  <c r="X56" i="33"/>
  <c r="H29" i="86"/>
  <c r="I29" s="1"/>
  <c r="K29" s="1"/>
  <c r="L29" s="1"/>
  <c r="S29" i="33"/>
  <c r="H29" i="91"/>
  <c r="I29" s="1"/>
  <c r="K29" s="1"/>
  <c r="L29" s="1"/>
  <c r="W29" i="33"/>
  <c r="J26" i="80"/>
  <c r="K26" s="1"/>
  <c r="M26" s="1"/>
  <c r="N26" s="1"/>
  <c r="H32" i="89"/>
  <c r="I32" s="1"/>
  <c r="K32" s="1"/>
  <c r="L32" s="1"/>
  <c r="V32" i="33"/>
  <c r="H32" i="88"/>
  <c r="I32" s="1"/>
  <c r="K32" s="1"/>
  <c r="L32" s="1"/>
  <c r="U32" i="33"/>
  <c r="H32" i="91"/>
  <c r="I32" s="1"/>
  <c r="K32" s="1"/>
  <c r="L32" s="1"/>
  <c r="W32" i="33"/>
  <c r="J66" i="80"/>
  <c r="K66" s="1"/>
  <c r="M66" s="1"/>
  <c r="N66" s="1"/>
  <c r="H69" i="86"/>
  <c r="I69" s="1"/>
  <c r="K69" s="1"/>
  <c r="L69" s="1"/>
  <c r="S69" i="33"/>
  <c r="H69" i="88"/>
  <c r="I69" s="1"/>
  <c r="K69" s="1"/>
  <c r="L69" s="1"/>
  <c r="U69" i="33"/>
  <c r="H69" i="92"/>
  <c r="I69" s="1"/>
  <c r="K69" s="1"/>
  <c r="L69" s="1"/>
  <c r="X69" i="33"/>
  <c r="H69" i="91"/>
  <c r="I69" s="1"/>
  <c r="K69" s="1"/>
  <c r="L69" s="1"/>
  <c r="W69" i="33"/>
  <c r="H48" i="91"/>
  <c r="I48" s="1"/>
  <c r="K48" s="1"/>
  <c r="L48" s="1"/>
  <c r="W48" i="33"/>
  <c r="J45" i="80"/>
  <c r="K45" s="1"/>
  <c r="M45" s="1"/>
  <c r="N45" s="1"/>
  <c r="H48" i="92"/>
  <c r="I48" s="1"/>
  <c r="K48" s="1"/>
  <c r="L48" s="1"/>
  <c r="X48" i="33"/>
  <c r="J64" i="80"/>
  <c r="K64" s="1"/>
  <c r="M64" s="1"/>
  <c r="N64" s="1"/>
  <c r="H67" i="86"/>
  <c r="I67" s="1"/>
  <c r="K67" s="1"/>
  <c r="L67" s="1"/>
  <c r="S67" i="33"/>
  <c r="H67" i="88"/>
  <c r="I67" s="1"/>
  <c r="K67" s="1"/>
  <c r="L67" s="1"/>
  <c r="U67" i="33"/>
  <c r="J7" i="80"/>
  <c r="K7" s="1"/>
  <c r="M7" s="1"/>
  <c r="N7" s="1"/>
  <c r="H10" i="87"/>
  <c r="I10" s="1"/>
  <c r="K10" s="1"/>
  <c r="L10" s="1"/>
  <c r="T10" i="33"/>
  <c r="H10" i="88"/>
  <c r="I10" s="1"/>
  <c r="K10" s="1"/>
  <c r="L10" s="1"/>
  <c r="U10" i="33"/>
  <c r="H10" i="89"/>
  <c r="I10" s="1"/>
  <c r="K10" s="1"/>
  <c r="L10" s="1"/>
  <c r="V10" i="33"/>
  <c r="J54" i="80"/>
  <c r="K54" s="1"/>
  <c r="M54" s="1"/>
  <c r="N54" s="1"/>
  <c r="H57" i="86"/>
  <c r="I57" s="1"/>
  <c r="K57" s="1"/>
  <c r="L57" s="1"/>
  <c r="S57" i="33"/>
  <c r="H57" i="88"/>
  <c r="I57" s="1"/>
  <c r="K57" s="1"/>
  <c r="L57" s="1"/>
  <c r="U57" i="33"/>
  <c r="H44" i="87"/>
  <c r="I44" s="1"/>
  <c r="K44" s="1"/>
  <c r="L44" s="1"/>
  <c r="T44" i="33"/>
  <c r="H44" i="86"/>
  <c r="I44" s="1"/>
  <c r="K44" s="1"/>
  <c r="L44" s="1"/>
  <c r="S44" i="33"/>
  <c r="H44" i="89"/>
  <c r="I44" s="1"/>
  <c r="K44" s="1"/>
  <c r="L44" s="1"/>
  <c r="V44" i="33"/>
  <c r="H44" i="88"/>
  <c r="I44" s="1"/>
  <c r="K44" s="1"/>
  <c r="L44" s="1"/>
  <c r="U44" i="33"/>
  <c r="H71" i="89"/>
  <c r="I71" s="1"/>
  <c r="K71" s="1"/>
  <c r="L71" s="1"/>
  <c r="V71" i="33"/>
  <c r="H71" i="87"/>
  <c r="I71" s="1"/>
  <c r="K71" s="1"/>
  <c r="L71" s="1"/>
  <c r="T71" i="33"/>
  <c r="H71" i="91"/>
  <c r="I71" s="1"/>
  <c r="K71" s="1"/>
  <c r="L71" s="1"/>
  <c r="W71" i="33"/>
  <c r="J16" i="80"/>
  <c r="K16" s="1"/>
  <c r="M16" s="1"/>
  <c r="N16" s="1"/>
  <c r="H19" i="89"/>
  <c r="I19" s="1"/>
  <c r="K19" s="1"/>
  <c r="L19" s="1"/>
  <c r="V19" i="33"/>
  <c r="H19" i="92"/>
  <c r="I19" s="1"/>
  <c r="K19" s="1"/>
  <c r="L19" s="1"/>
  <c r="X19" i="33"/>
  <c r="H19" i="91"/>
  <c r="I19" s="1"/>
  <c r="K19" s="1"/>
  <c r="L19" s="1"/>
  <c r="W19" i="33"/>
  <c r="H43" i="85"/>
  <c r="I43" s="1"/>
  <c r="K43" s="1"/>
  <c r="L43" s="1"/>
  <c r="R43" i="33"/>
  <c r="H20" i="87"/>
  <c r="I20" s="1"/>
  <c r="K20" s="1"/>
  <c r="T20" i="33"/>
  <c r="H31" i="89"/>
  <c r="I31" s="1"/>
  <c r="K31" s="1"/>
  <c r="V31" i="33"/>
  <c r="H31" i="85"/>
  <c r="I31" s="1"/>
  <c r="K31" s="1"/>
  <c r="L31" s="1"/>
  <c r="R31" i="33"/>
  <c r="H20" i="91"/>
  <c r="I20" s="1"/>
  <c r="K20" s="1"/>
  <c r="W20" i="33"/>
  <c r="H31" i="92"/>
  <c r="I31" s="1"/>
  <c r="K31" s="1"/>
  <c r="X31" i="33"/>
  <c r="H20" i="85"/>
  <c r="I20" s="1"/>
  <c r="K20" s="1"/>
  <c r="L20" s="1"/>
  <c r="R20" i="33"/>
  <c r="J28" i="76"/>
  <c r="K28" s="1"/>
  <c r="M28" s="1"/>
  <c r="N28" s="1"/>
  <c r="H43" i="92"/>
  <c r="I43" s="1"/>
  <c r="K43" s="1"/>
  <c r="X43" i="33"/>
  <c r="H43" i="88"/>
  <c r="I43" s="1"/>
  <c r="K43" s="1"/>
  <c r="U43" i="33"/>
  <c r="J24" i="76"/>
  <c r="K24" s="1"/>
  <c r="M24" s="1"/>
  <c r="N24" s="1"/>
  <c r="H20" i="88"/>
  <c r="I20" s="1"/>
  <c r="K20" s="1"/>
  <c r="U20" i="33"/>
  <c r="H27" i="88"/>
  <c r="I27" s="1"/>
  <c r="K27" s="1"/>
  <c r="U27" i="33"/>
  <c r="H27" i="91"/>
  <c r="I27" s="1"/>
  <c r="K27" s="1"/>
  <c r="W27" i="33"/>
  <c r="J25" i="76"/>
  <c r="K25" s="1"/>
  <c r="M25" s="1"/>
  <c r="N25" s="1"/>
  <c r="H27" i="89"/>
  <c r="I27" s="1"/>
  <c r="K27" s="1"/>
  <c r="V27" i="33"/>
  <c r="H28" i="85"/>
  <c r="I28" s="1"/>
  <c r="K28" s="1"/>
  <c r="R28" i="33"/>
  <c r="J17" i="76"/>
  <c r="K17" s="1"/>
  <c r="M17" s="1"/>
  <c r="N17" s="1"/>
  <c r="H53" i="88"/>
  <c r="I53" s="1"/>
  <c r="K53" s="1"/>
  <c r="U53" i="33"/>
  <c r="H22" i="88"/>
  <c r="I22" s="1"/>
  <c r="K22" s="1"/>
  <c r="U22" i="33"/>
  <c r="H22" i="86"/>
  <c r="I22" s="1"/>
  <c r="K22" s="1"/>
  <c r="S22" i="33"/>
  <c r="H53" i="89"/>
  <c r="I53" s="1"/>
  <c r="K53" s="1"/>
  <c r="V53" i="33"/>
  <c r="H22" i="89"/>
  <c r="I22" s="1"/>
  <c r="K22" s="1"/>
  <c r="V22" i="33"/>
  <c r="J24" i="80"/>
  <c r="K24" s="1"/>
  <c r="M24" s="1"/>
  <c r="N24" s="1"/>
  <c r="H64" i="91"/>
  <c r="I64" s="1"/>
  <c r="K64" s="1"/>
  <c r="W64" i="33"/>
  <c r="H64" i="85"/>
  <c r="I64" s="1"/>
  <c r="K64" s="1"/>
  <c r="R64" i="33"/>
  <c r="H53" i="86"/>
  <c r="I53" s="1"/>
  <c r="K53" s="1"/>
  <c r="S53" i="33"/>
  <c r="H31" i="91"/>
  <c r="I31" s="1"/>
  <c r="K31" s="1"/>
  <c r="W31" i="33"/>
  <c r="H20" i="92"/>
  <c r="I20" s="1"/>
  <c r="K20" s="1"/>
  <c r="X20" i="33"/>
  <c r="H53" i="91"/>
  <c r="I53" s="1"/>
  <c r="K53" s="1"/>
  <c r="W53" i="33"/>
  <c r="J40" i="80"/>
  <c r="K40" s="1"/>
  <c r="M40" s="1"/>
  <c r="N40" s="1"/>
  <c r="H28" i="87"/>
  <c r="I28" s="1"/>
  <c r="K28" s="1"/>
  <c r="T28" i="33"/>
  <c r="H64" i="88"/>
  <c r="I64" s="1"/>
  <c r="K64" s="1"/>
  <c r="U64" i="33"/>
  <c r="H64" i="92"/>
  <c r="I64" s="1"/>
  <c r="K64" s="1"/>
  <c r="X64" i="33"/>
  <c r="H43" i="91"/>
  <c r="I43" s="1"/>
  <c r="K43" s="1"/>
  <c r="W43" i="33"/>
  <c r="H9" i="91"/>
  <c r="I9" s="1"/>
  <c r="K9" s="1"/>
  <c r="L9" s="1"/>
  <c r="W9" i="33"/>
  <c r="H9" i="92"/>
  <c r="I9" s="1"/>
  <c r="K9" s="1"/>
  <c r="L9" s="1"/>
  <c r="X9" i="33"/>
  <c r="J6" i="80"/>
  <c r="K6" s="1"/>
  <c r="M6" s="1"/>
  <c r="N6" s="1"/>
  <c r="H9" i="87"/>
  <c r="I9" s="1"/>
  <c r="K9" s="1"/>
  <c r="L9" s="1"/>
  <c r="T9" i="33"/>
  <c r="H9" i="88"/>
  <c r="I9" s="1"/>
  <c r="K9" s="1"/>
  <c r="L9" s="1"/>
  <c r="U9" i="33"/>
  <c r="H42" i="88"/>
  <c r="I42" s="1"/>
  <c r="K42" s="1"/>
  <c r="L42" s="1"/>
  <c r="U42" i="33"/>
  <c r="J39" i="80"/>
  <c r="K39" s="1"/>
  <c r="M39" s="1"/>
  <c r="N39" s="1"/>
  <c r="H42" i="91"/>
  <c r="I42" s="1"/>
  <c r="K42" s="1"/>
  <c r="L42" s="1"/>
  <c r="W42" i="33"/>
  <c r="H30" i="91"/>
  <c r="I30" s="1"/>
  <c r="K30" s="1"/>
  <c r="L30" s="1"/>
  <c r="W30" i="33"/>
  <c r="H42" i="89"/>
  <c r="I42" s="1"/>
  <c r="K42" s="1"/>
  <c r="L42" s="1"/>
  <c r="V42" i="33"/>
  <c r="H30" i="86"/>
  <c r="I30" s="1"/>
  <c r="K30" s="1"/>
  <c r="L30" s="1"/>
  <c r="S30" i="33"/>
  <c r="H42" i="87"/>
  <c r="I42" s="1"/>
  <c r="K42" s="1"/>
  <c r="L42" s="1"/>
  <c r="T42" i="33"/>
  <c r="J30" i="90"/>
  <c r="K30" s="1"/>
  <c r="M30" s="1"/>
  <c r="N30" s="1"/>
  <c r="Y30" i="33"/>
  <c r="I34" i="116"/>
  <c r="J34" s="1"/>
  <c r="L34" s="1"/>
  <c r="M34" s="1"/>
  <c r="M34" i="33"/>
  <c r="I34" i="115"/>
  <c r="J34" s="1"/>
  <c r="L34" s="1"/>
  <c r="L34" i="33"/>
  <c r="H34" i="85"/>
  <c r="I34" s="1"/>
  <c r="K34" s="1"/>
  <c r="L34" s="1"/>
  <c r="R34" i="33"/>
  <c r="I9" i="114"/>
  <c r="J9" s="1"/>
  <c r="L9" s="1"/>
  <c r="K9" i="33"/>
  <c r="I9" i="115"/>
  <c r="J9" s="1"/>
  <c r="L9" s="1"/>
  <c r="M9" s="1"/>
  <c r="L9" i="33"/>
  <c r="I9" i="118"/>
  <c r="J9" s="1"/>
  <c r="L9" s="1"/>
  <c r="O9" i="33"/>
  <c r="I64" i="114"/>
  <c r="J64" s="1"/>
  <c r="L64" s="1"/>
  <c r="M64" s="1"/>
  <c r="K64" i="33"/>
  <c r="I64" i="116"/>
  <c r="J64" s="1"/>
  <c r="L64" s="1"/>
  <c r="M64" s="1"/>
  <c r="M64" i="33"/>
  <c r="I28" i="116"/>
  <c r="J28" s="1"/>
  <c r="L28" s="1"/>
  <c r="M28" s="1"/>
  <c r="M28" i="33"/>
  <c r="I28" i="115"/>
  <c r="J28" s="1"/>
  <c r="L28" s="1"/>
  <c r="M28" s="1"/>
  <c r="L28" i="33"/>
  <c r="H28" i="88"/>
  <c r="I28" s="1"/>
  <c r="K28" s="1"/>
  <c r="L28" s="1"/>
  <c r="U28" i="33"/>
  <c r="I43" i="115"/>
  <c r="J43" s="1"/>
  <c r="L43" s="1"/>
  <c r="L43" i="33"/>
  <c r="I43" i="118"/>
  <c r="J43" s="1"/>
  <c r="L43" s="1"/>
  <c r="M43" s="1"/>
  <c r="O43" i="33"/>
  <c r="I20" i="115"/>
  <c r="J20" s="1"/>
  <c r="L20" s="1"/>
  <c r="L20" i="33"/>
  <c r="I20" i="116"/>
  <c r="J20" s="1"/>
  <c r="L20" s="1"/>
  <c r="M20" s="1"/>
  <c r="M20" i="33"/>
  <c r="I16" i="115"/>
  <c r="J16" s="1"/>
  <c r="L16" s="1"/>
  <c r="M16" s="1"/>
  <c r="L16" i="33"/>
  <c r="I16" i="116"/>
  <c r="J16" s="1"/>
  <c r="L16" s="1"/>
  <c r="M16" s="1"/>
  <c r="M16" i="33"/>
  <c r="I56" i="115"/>
  <c r="J56" s="1"/>
  <c r="L56" s="1"/>
  <c r="L56" i="33"/>
  <c r="I19" i="116"/>
  <c r="J19" s="1"/>
  <c r="L19" s="1"/>
  <c r="M19" s="1"/>
  <c r="M19" i="33"/>
  <c r="I10" i="116"/>
  <c r="J10" s="1"/>
  <c r="L10" s="1"/>
  <c r="M10" i="33"/>
  <c r="I42" i="114"/>
  <c r="J42" s="1"/>
  <c r="L42" s="1"/>
  <c r="M42" s="1"/>
  <c r="K42" i="33"/>
  <c r="I42" i="117"/>
  <c r="J42" s="1"/>
  <c r="L42" s="1"/>
  <c r="N42" i="33"/>
  <c r="H42" i="86"/>
  <c r="I42" s="1"/>
  <c r="K42" s="1"/>
  <c r="L42" s="1"/>
  <c r="S42" i="33"/>
  <c r="I23" i="114"/>
  <c r="J23" s="1"/>
  <c r="L23" s="1"/>
  <c r="K23" i="33"/>
  <c r="I23" i="115"/>
  <c r="J23" s="1"/>
  <c r="L23" s="1"/>
  <c r="M23" s="1"/>
  <c r="L23" i="33"/>
  <c r="I22" i="114"/>
  <c r="J22" s="1"/>
  <c r="L22" s="1"/>
  <c r="K22" i="33"/>
  <c r="I27" i="115"/>
  <c r="J27" s="1"/>
  <c r="L27" s="1"/>
  <c r="M27" s="1"/>
  <c r="L27" i="33"/>
  <c r="I27" i="118"/>
  <c r="J27" s="1"/>
  <c r="L27" s="1"/>
  <c r="M27" s="1"/>
  <c r="O27" i="33"/>
  <c r="I53" i="116"/>
  <c r="J53" s="1"/>
  <c r="L53" s="1"/>
  <c r="M53" s="1"/>
  <c r="M53" i="33"/>
  <c r="I31" i="115"/>
  <c r="J31" s="1"/>
  <c r="L31" s="1"/>
  <c r="L31" i="33"/>
  <c r="I31" i="118"/>
  <c r="J31" s="1"/>
  <c r="L31" s="1"/>
  <c r="M31" s="1"/>
  <c r="O31" i="33"/>
  <c r="I61" i="115"/>
  <c r="J61" s="1"/>
  <c r="L61" s="1"/>
  <c r="M61" s="1"/>
  <c r="L61" i="33"/>
  <c r="I61" i="117"/>
  <c r="J61" s="1"/>
  <c r="L61" s="1"/>
  <c r="M61" s="1"/>
  <c r="N61" i="33"/>
  <c r="I32" i="116"/>
  <c r="J32" s="1"/>
  <c r="L32" s="1"/>
  <c r="M32" i="33"/>
  <c r="I29" i="115"/>
  <c r="J29" s="1"/>
  <c r="L29" s="1"/>
  <c r="M29" s="1"/>
  <c r="L29" i="33"/>
  <c r="I29" i="118"/>
  <c r="J29" s="1"/>
  <c r="L29" s="1"/>
  <c r="O29" i="33"/>
  <c r="I57" i="114"/>
  <c r="J57" s="1"/>
  <c r="L57" s="1"/>
  <c r="M57" s="1"/>
  <c r="K57" i="33"/>
  <c r="I12" i="115"/>
  <c r="J12" s="1"/>
  <c r="L12" s="1"/>
  <c r="M12" s="1"/>
  <c r="L12" i="33"/>
  <c r="I12" i="116"/>
  <c r="J12" s="1"/>
  <c r="L12" s="1"/>
  <c r="M12" s="1"/>
  <c r="M12" i="33"/>
  <c r="I69" i="115"/>
  <c r="J69" s="1"/>
  <c r="L69" s="1"/>
  <c r="L69" i="33"/>
  <c r="I69" i="117"/>
  <c r="J69" s="1"/>
  <c r="L69" s="1"/>
  <c r="M69" s="1"/>
  <c r="N69" i="33"/>
  <c r="I48" i="116"/>
  <c r="J48" s="1"/>
  <c r="L48" s="1"/>
  <c r="M48" i="33"/>
  <c r="I71" i="115"/>
  <c r="J71" s="1"/>
  <c r="L71" s="1"/>
  <c r="M71" s="1"/>
  <c r="L71" i="33"/>
  <c r="I71" i="117"/>
  <c r="J71" s="1"/>
  <c r="L71" s="1"/>
  <c r="M71" s="1"/>
  <c r="N71" i="33"/>
  <c r="I67" i="115"/>
  <c r="J67" s="1"/>
  <c r="L67" s="1"/>
  <c r="M67" s="1"/>
  <c r="L67" i="33"/>
  <c r="I67" i="117"/>
  <c r="J67" s="1"/>
  <c r="L67" s="1"/>
  <c r="N67" i="33"/>
  <c r="I60" i="114"/>
  <c r="J60" s="1"/>
  <c r="L60" s="1"/>
  <c r="K60" i="33"/>
  <c r="H60" i="92"/>
  <c r="I60" s="1"/>
  <c r="K60" s="1"/>
  <c r="L60" s="1"/>
  <c r="X60" i="33"/>
  <c r="J31" i="76"/>
  <c r="K31" s="1"/>
  <c r="M31" s="1"/>
  <c r="N31" s="1"/>
  <c r="I60" i="117"/>
  <c r="J60" s="1"/>
  <c r="L60" s="1"/>
  <c r="N60" i="33"/>
  <c r="H34" i="92"/>
  <c r="I34" s="1"/>
  <c r="K34" s="1"/>
  <c r="L34" s="1"/>
  <c r="X34" i="33"/>
  <c r="H60" i="91"/>
  <c r="I60" s="1"/>
  <c r="K60" s="1"/>
  <c r="L60" s="1"/>
  <c r="W60" i="33"/>
  <c r="H60" i="86"/>
  <c r="I60" s="1"/>
  <c r="K60" s="1"/>
  <c r="L60" s="1"/>
  <c r="S60" i="33"/>
  <c r="H34" i="89"/>
  <c r="I34" s="1"/>
  <c r="K34" s="1"/>
  <c r="L34" s="1"/>
  <c r="V34" i="33"/>
  <c r="H34" i="88"/>
  <c r="I34" s="1"/>
  <c r="K34" s="1"/>
  <c r="L34" s="1"/>
  <c r="U34" i="33"/>
  <c r="H23" i="91"/>
  <c r="I23" s="1"/>
  <c r="K23" s="1"/>
  <c r="L23" s="1"/>
  <c r="W23" i="33"/>
  <c r="H23" i="88"/>
  <c r="I23" s="1"/>
  <c r="K23" s="1"/>
  <c r="L23" s="1"/>
  <c r="U23" i="33"/>
  <c r="H23" i="87"/>
  <c r="I23" s="1"/>
  <c r="K23" s="1"/>
  <c r="L23" s="1"/>
  <c r="T23" i="33"/>
  <c r="H61" i="86"/>
  <c r="I61" s="1"/>
  <c r="K61" s="1"/>
  <c r="L61" s="1"/>
  <c r="S61" i="33"/>
  <c r="H61" i="91"/>
  <c r="I61" s="1"/>
  <c r="K61" s="1"/>
  <c r="L61" s="1"/>
  <c r="W61" i="33"/>
  <c r="H61" i="87"/>
  <c r="I61" s="1"/>
  <c r="K61" s="1"/>
  <c r="L61" s="1"/>
  <c r="T61" i="33"/>
  <c r="H12" i="91"/>
  <c r="I12" s="1"/>
  <c r="K12" s="1"/>
  <c r="L12" s="1"/>
  <c r="W12" i="33"/>
  <c r="J9" i="80"/>
  <c r="K9" s="1"/>
  <c r="M9" s="1"/>
  <c r="N9" s="1"/>
  <c r="H12" i="85"/>
  <c r="I12" s="1"/>
  <c r="K12" s="1"/>
  <c r="L12" s="1"/>
  <c r="R12" i="33"/>
  <c r="H12" i="92"/>
  <c r="I12" s="1"/>
  <c r="K12" s="1"/>
  <c r="L12" s="1"/>
  <c r="X12" i="33"/>
  <c r="H16" i="87"/>
  <c r="I16" s="1"/>
  <c r="K16" s="1"/>
  <c r="L16" s="1"/>
  <c r="T16" i="33"/>
  <c r="J13" i="80"/>
  <c r="K13" s="1"/>
  <c r="M13" s="1"/>
  <c r="N13" s="1"/>
  <c r="H16" i="92"/>
  <c r="I16" s="1"/>
  <c r="K16" s="1"/>
  <c r="L16" s="1"/>
  <c r="X16" i="33"/>
  <c r="H56" i="91"/>
  <c r="I56" s="1"/>
  <c r="K56" s="1"/>
  <c r="L56" s="1"/>
  <c r="W56" i="33"/>
  <c r="H56" i="86"/>
  <c r="I56" s="1"/>
  <c r="K56" s="1"/>
  <c r="L56" s="1"/>
  <c r="S56" i="33"/>
  <c r="H56" i="89"/>
  <c r="I56" s="1"/>
  <c r="K56" s="1"/>
  <c r="L56" s="1"/>
  <c r="V56" i="33"/>
  <c r="H56" i="88"/>
  <c r="I56" s="1"/>
  <c r="K56" s="1"/>
  <c r="L56" s="1"/>
  <c r="U56" i="33"/>
  <c r="H29" i="88"/>
  <c r="I29" s="1"/>
  <c r="K29" s="1"/>
  <c r="L29" s="1"/>
  <c r="U29" i="33"/>
  <c r="H29" i="92"/>
  <c r="I29" s="1"/>
  <c r="K29" s="1"/>
  <c r="L29" s="1"/>
  <c r="X29" i="33"/>
  <c r="H29" i="89"/>
  <c r="I29" s="1"/>
  <c r="K29" s="1"/>
  <c r="L29" s="1"/>
  <c r="V29" i="33"/>
  <c r="H29" i="87"/>
  <c r="I29" s="1"/>
  <c r="K29" s="1"/>
  <c r="L29" s="1"/>
  <c r="T29" i="33"/>
  <c r="J29" i="80"/>
  <c r="K29" s="1"/>
  <c r="M29" s="1"/>
  <c r="N29" s="1"/>
  <c r="H32" i="92"/>
  <c r="I32" s="1"/>
  <c r="K32" s="1"/>
  <c r="L32" s="1"/>
  <c r="X32" i="33"/>
  <c r="H32" i="87"/>
  <c r="I32" s="1"/>
  <c r="K32" s="1"/>
  <c r="L32" s="1"/>
  <c r="T32" i="33"/>
  <c r="H32" i="86"/>
  <c r="I32" s="1"/>
  <c r="K32" s="1"/>
  <c r="L32" s="1"/>
  <c r="S32" i="33"/>
  <c r="H69" i="87"/>
  <c r="I69" s="1"/>
  <c r="K69" s="1"/>
  <c r="L69" s="1"/>
  <c r="T69" i="33"/>
  <c r="H69" i="89"/>
  <c r="I69" s="1"/>
  <c r="K69" s="1"/>
  <c r="L69" s="1"/>
  <c r="V69" i="33"/>
  <c r="H48" i="87"/>
  <c r="I48" s="1"/>
  <c r="K48" s="1"/>
  <c r="L48" s="1"/>
  <c r="T48" i="33"/>
  <c r="H48" i="86"/>
  <c r="I48" s="1"/>
  <c r="K48" s="1"/>
  <c r="L48" s="1"/>
  <c r="S48" i="33"/>
  <c r="H48" i="89"/>
  <c r="I48" s="1"/>
  <c r="K48" s="1"/>
  <c r="L48" s="1"/>
  <c r="V48" i="33"/>
  <c r="H48" i="88"/>
  <c r="I48" s="1"/>
  <c r="K48" s="1"/>
  <c r="L48" s="1"/>
  <c r="U48" i="33"/>
  <c r="H67" i="91"/>
  <c r="I67" s="1"/>
  <c r="K67" s="1"/>
  <c r="L67" s="1"/>
  <c r="W67" i="33"/>
  <c r="H67" i="87"/>
  <c r="I67" s="1"/>
  <c r="K67" s="1"/>
  <c r="L67" s="1"/>
  <c r="T67" i="33"/>
  <c r="H67" i="92"/>
  <c r="I67" s="1"/>
  <c r="K67" s="1"/>
  <c r="L67" s="1"/>
  <c r="X67" i="33"/>
  <c r="H67" i="89"/>
  <c r="I67" s="1"/>
  <c r="K67" s="1"/>
  <c r="L67" s="1"/>
  <c r="V67" i="33"/>
  <c r="H10" i="91"/>
  <c r="I10" s="1"/>
  <c r="K10" s="1"/>
  <c r="L10" s="1"/>
  <c r="W10" i="33"/>
  <c r="H10" i="92"/>
  <c r="I10" s="1"/>
  <c r="K10" s="1"/>
  <c r="X10" i="33"/>
  <c r="H10" i="86"/>
  <c r="I10" s="1"/>
  <c r="K10" s="1"/>
  <c r="S10" i="33"/>
  <c r="H10" i="85"/>
  <c r="I10" s="1"/>
  <c r="K10" s="1"/>
  <c r="R10" i="33"/>
  <c r="H57" i="87"/>
  <c r="I57" s="1"/>
  <c r="K57" s="1"/>
  <c r="L57" s="1"/>
  <c r="T57" i="33"/>
  <c r="H57" i="89"/>
  <c r="I57" s="1"/>
  <c r="K57" s="1"/>
  <c r="L57" s="1"/>
  <c r="V57" i="33"/>
  <c r="H57" i="92"/>
  <c r="I57" s="1"/>
  <c r="K57" s="1"/>
  <c r="L57" s="1"/>
  <c r="X57" i="33"/>
  <c r="H57" i="91"/>
  <c r="I57" s="1"/>
  <c r="K57" s="1"/>
  <c r="L57" s="1"/>
  <c r="W57" i="33"/>
  <c r="H44" i="91"/>
  <c r="I44" s="1"/>
  <c r="K44" s="1"/>
  <c r="L44" s="1"/>
  <c r="W44" i="33"/>
  <c r="J41" i="80"/>
  <c r="K41" s="1"/>
  <c r="M41" s="1"/>
  <c r="N41" s="1"/>
  <c r="H44" i="92"/>
  <c r="I44" s="1"/>
  <c r="K44" s="1"/>
  <c r="L44" s="1"/>
  <c r="X44" i="33"/>
  <c r="H71" i="88"/>
  <c r="I71" s="1"/>
  <c r="K71" s="1"/>
  <c r="L71" s="1"/>
  <c r="U71" i="33"/>
  <c r="H71" i="92"/>
  <c r="I71" s="1"/>
  <c r="K71" s="1"/>
  <c r="L71" s="1"/>
  <c r="X71" i="33"/>
  <c r="J68" i="80"/>
  <c r="K68" s="1"/>
  <c r="M68" s="1"/>
  <c r="N68" s="1"/>
  <c r="H71" i="86"/>
  <c r="I71" s="1"/>
  <c r="K71" s="1"/>
  <c r="L71" s="1"/>
  <c r="S71" i="33"/>
  <c r="H19" i="87"/>
  <c r="I19" s="1"/>
  <c r="K19" s="1"/>
  <c r="L19" s="1"/>
  <c r="T19" i="33"/>
  <c r="H19" i="86"/>
  <c r="I19" s="1"/>
  <c r="K19" s="1"/>
  <c r="L19" s="1"/>
  <c r="S19" i="33"/>
  <c r="H19" i="88"/>
  <c r="I19" s="1"/>
  <c r="K19" s="1"/>
  <c r="L19" s="1"/>
  <c r="U19" i="33"/>
  <c r="H31" i="87"/>
  <c r="I31" s="1"/>
  <c r="K31" s="1"/>
  <c r="T31" i="33"/>
  <c r="H31" i="86"/>
  <c r="I31" s="1"/>
  <c r="K31" s="1"/>
  <c r="S31" i="33"/>
  <c r="H20" i="89"/>
  <c r="I20" s="1"/>
  <c r="K20" s="1"/>
  <c r="V20" i="33"/>
  <c r="H31" i="88"/>
  <c r="I31" s="1"/>
  <c r="K31" s="1"/>
  <c r="U31" i="33"/>
  <c r="J28" i="80"/>
  <c r="K28" s="1"/>
  <c r="M28" s="1"/>
  <c r="N28" s="1"/>
  <c r="J17"/>
  <c r="K17" s="1"/>
  <c r="M17" s="1"/>
  <c r="N17" s="1"/>
  <c r="H43" i="86"/>
  <c r="I43" s="1"/>
  <c r="K43" s="1"/>
  <c r="S43" i="33"/>
  <c r="H20" i="86"/>
  <c r="I20" s="1"/>
  <c r="K20" s="1"/>
  <c r="S20" i="33"/>
  <c r="J40" i="76"/>
  <c r="K40" s="1"/>
  <c r="M40" s="1"/>
  <c r="N40" s="1"/>
  <c r="H27" i="86"/>
  <c r="I27" s="1"/>
  <c r="K27" s="1"/>
  <c r="S27" i="33"/>
  <c r="J25" i="80"/>
  <c r="K25" s="1"/>
  <c r="M25" s="1"/>
  <c r="N25" s="1"/>
  <c r="H28" i="86"/>
  <c r="I28" s="1"/>
  <c r="K28" s="1"/>
  <c r="S28" i="33"/>
  <c r="H28" i="92"/>
  <c r="I28" s="1"/>
  <c r="K28" s="1"/>
  <c r="X28" i="33"/>
  <c r="H28" i="89"/>
  <c r="I28" s="1"/>
  <c r="K28" s="1"/>
  <c r="V28" i="33"/>
  <c r="J50" i="80"/>
  <c r="K50" s="1"/>
  <c r="M50" s="1"/>
  <c r="N50" s="1"/>
  <c r="J19" i="76"/>
  <c r="K19" s="1"/>
  <c r="M19" s="1"/>
  <c r="N19" s="1"/>
  <c r="H53" i="85"/>
  <c r="I53" s="1"/>
  <c r="K53" s="1"/>
  <c r="L53" s="1"/>
  <c r="R53" i="33"/>
  <c r="H22" i="91"/>
  <c r="I22" s="1"/>
  <c r="K22" s="1"/>
  <c r="W22" i="33"/>
  <c r="H53" i="92"/>
  <c r="I53" s="1"/>
  <c r="K53" s="1"/>
  <c r="X53" i="33"/>
  <c r="J19" i="80"/>
  <c r="K19" s="1"/>
  <c r="M19" s="1"/>
  <c r="N19" s="1"/>
  <c r="H43" i="89"/>
  <c r="I43" s="1"/>
  <c r="K43" s="1"/>
  <c r="V43" i="33"/>
  <c r="H27" i="92"/>
  <c r="I27" s="1"/>
  <c r="K27" s="1"/>
  <c r="X27" i="33"/>
  <c r="H64" i="86"/>
  <c r="I64" s="1"/>
  <c r="K64" s="1"/>
  <c r="S64" i="33"/>
  <c r="J61" i="80"/>
  <c r="K61" s="1"/>
  <c r="M61" s="1"/>
  <c r="N61" s="1"/>
  <c r="H27" i="87"/>
  <c r="I27" s="1"/>
  <c r="K27" s="1"/>
  <c r="T27" i="33"/>
  <c r="H22" i="85"/>
  <c r="I22" s="1"/>
  <c r="K22" s="1"/>
  <c r="R22" i="33"/>
  <c r="H53" i="87"/>
  <c r="I53" s="1"/>
  <c r="K53" s="1"/>
  <c r="T53" i="33"/>
  <c r="H27" i="85"/>
  <c r="I27" s="1"/>
  <c r="K27" s="1"/>
  <c r="L27" s="1"/>
  <c r="R27" i="33"/>
  <c r="H28" i="91"/>
  <c r="I28" s="1"/>
  <c r="K28" s="1"/>
  <c r="W28" i="33"/>
  <c r="H22" i="87"/>
  <c r="I22" s="1"/>
  <c r="K22" s="1"/>
  <c r="T22" i="33"/>
  <c r="H64" i="87"/>
  <c r="I64" s="1"/>
  <c r="K64" s="1"/>
  <c r="T64" i="33"/>
  <c r="J61" i="76"/>
  <c r="K61" s="1"/>
  <c r="M61" s="1"/>
  <c r="N61" s="1"/>
  <c r="H9" i="86"/>
  <c r="I9" s="1"/>
  <c r="K9" s="1"/>
  <c r="L9" s="1"/>
  <c r="S9" i="33"/>
  <c r="H9" i="89"/>
  <c r="I9" s="1"/>
  <c r="K9" s="1"/>
  <c r="L9" s="1"/>
  <c r="V9" i="33"/>
  <c r="J9" i="90"/>
  <c r="K9" s="1"/>
  <c r="M9" s="1"/>
  <c r="N9" s="1"/>
  <c r="Y9" i="33"/>
  <c r="J42" i="90"/>
  <c r="K42" s="1"/>
  <c r="M42" s="1"/>
  <c r="N42" s="1"/>
  <c r="Y42" i="33"/>
  <c r="J39" i="76"/>
  <c r="K39" s="1"/>
  <c r="M39" s="1"/>
  <c r="N39" s="1"/>
  <c r="H42" i="85"/>
  <c r="I42" s="1"/>
  <c r="K42" s="1"/>
  <c r="L42" s="1"/>
  <c r="R42" i="33"/>
  <c r="H42" i="92"/>
  <c r="I42" s="1"/>
  <c r="K42" s="1"/>
  <c r="L42" s="1"/>
  <c r="X42" i="33"/>
  <c r="H30" i="88"/>
  <c r="I30" s="1"/>
  <c r="K30" s="1"/>
  <c r="L30" s="1"/>
  <c r="U30" i="33"/>
  <c r="H30" i="87"/>
  <c r="I30" s="1"/>
  <c r="K30" s="1"/>
  <c r="L30" s="1"/>
  <c r="T30" i="33"/>
  <c r="H30" i="92"/>
  <c r="I30" s="1"/>
  <c r="K30" s="1"/>
  <c r="L30" s="1"/>
  <c r="X30" i="33"/>
  <c r="J27" i="80"/>
  <c r="K27" s="1"/>
  <c r="M27" s="1"/>
  <c r="N27" s="1"/>
  <c r="I9" i="116"/>
  <c r="J9" s="1"/>
  <c r="L9" s="1"/>
  <c r="M9" s="1"/>
  <c r="M9" i="33"/>
  <c r="I64" i="115"/>
  <c r="J64" s="1"/>
  <c r="L64" s="1"/>
  <c r="L64" i="33"/>
  <c r="I64" i="117"/>
  <c r="J64" s="1"/>
  <c r="L64" s="1"/>
  <c r="N64" i="33"/>
  <c r="H64" i="89"/>
  <c r="I64" s="1"/>
  <c r="K64" s="1"/>
  <c r="L64" s="1"/>
  <c r="V64" i="33"/>
  <c r="I43" i="116"/>
  <c r="J43" s="1"/>
  <c r="L43" s="1"/>
  <c r="M43" i="33"/>
  <c r="H43" i="87"/>
  <c r="I43" s="1"/>
  <c r="K43" s="1"/>
  <c r="L43" s="1"/>
  <c r="T43" i="33"/>
  <c r="I56" i="114"/>
  <c r="J56" s="1"/>
  <c r="L56" s="1"/>
  <c r="M56" s="1"/>
  <c r="K56" i="33"/>
  <c r="I56" i="116"/>
  <c r="J56" s="1"/>
  <c r="L56" s="1"/>
  <c r="M56" s="1"/>
  <c r="M56" i="33"/>
  <c r="I19" i="115"/>
  <c r="J19" s="1"/>
  <c r="L19" s="1"/>
  <c r="L19" i="33"/>
  <c r="I19" i="118"/>
  <c r="J19" s="1"/>
  <c r="L19" s="1"/>
  <c r="O19" i="33"/>
  <c r="I10" i="115"/>
  <c r="J10" s="1"/>
  <c r="L10" s="1"/>
  <c r="L10" i="33"/>
  <c r="I10" i="114"/>
  <c r="J10" s="1"/>
  <c r="L10" s="1"/>
  <c r="K10" i="33"/>
  <c r="I30" i="116"/>
  <c r="J30" s="1"/>
  <c r="L30" s="1"/>
  <c r="M30" i="33"/>
  <c r="I30" i="115"/>
  <c r="J30" s="1"/>
  <c r="L30" s="1"/>
  <c r="L30" i="33"/>
  <c r="H30" i="89"/>
  <c r="I30" s="1"/>
  <c r="K30" s="1"/>
  <c r="L30" s="1"/>
  <c r="V30" i="33"/>
  <c r="I23" i="116"/>
  <c r="J23" s="1"/>
  <c r="L23" s="1"/>
  <c r="M23" i="33"/>
  <c r="I23" i="118"/>
  <c r="J23" s="1"/>
  <c r="L23" s="1"/>
  <c r="O23" i="33"/>
  <c r="I22" i="115"/>
  <c r="J22" s="1"/>
  <c r="L22" s="1"/>
  <c r="L22" i="33"/>
  <c r="I22" i="116"/>
  <c r="J22" s="1"/>
  <c r="L22" s="1"/>
  <c r="M22" s="1"/>
  <c r="M22" i="33"/>
  <c r="H22" i="92"/>
  <c r="I22" s="1"/>
  <c r="K22" s="1"/>
  <c r="L22" s="1"/>
  <c r="X22" i="33"/>
  <c r="I27" i="116"/>
  <c r="J27" s="1"/>
  <c r="L27" s="1"/>
  <c r="M27" i="33"/>
  <c r="I53" i="115"/>
  <c r="J53" s="1"/>
  <c r="L53" s="1"/>
  <c r="M53" s="1"/>
  <c r="L53" i="33"/>
  <c r="I53" i="114"/>
  <c r="J53" s="1"/>
  <c r="L53" s="1"/>
  <c r="M53" s="1"/>
  <c r="K53" i="33"/>
  <c r="I31" i="116"/>
  <c r="J31" s="1"/>
  <c r="L31" s="1"/>
  <c r="M31" i="33"/>
  <c r="I61" i="114"/>
  <c r="J61" s="1"/>
  <c r="L61" s="1"/>
  <c r="K61" i="33"/>
  <c r="I61" i="116"/>
  <c r="J61" s="1"/>
  <c r="L61" s="1"/>
  <c r="M61" i="33"/>
  <c r="I29" i="114"/>
  <c r="J29" s="1"/>
  <c r="L29" s="1"/>
  <c r="K29" i="33"/>
  <c r="I29" i="116"/>
  <c r="J29" s="1"/>
  <c r="L29" s="1"/>
  <c r="M29" i="33"/>
  <c r="I57" i="115"/>
  <c r="J57" s="1"/>
  <c r="L57" s="1"/>
  <c r="M57" s="1"/>
  <c r="L57" i="33"/>
  <c r="I57" i="116"/>
  <c r="J57" s="1"/>
  <c r="L57" s="1"/>
  <c r="M57" s="1"/>
  <c r="M57" i="33"/>
  <c r="I44" i="114"/>
  <c r="J44" s="1"/>
  <c r="L44" s="1"/>
  <c r="M44" s="1"/>
  <c r="K44" i="33"/>
  <c r="I44" i="115"/>
  <c r="J44" s="1"/>
  <c r="L44" s="1"/>
  <c r="L44" i="33"/>
  <c r="I44" i="118"/>
  <c r="J44" s="1"/>
  <c r="L44" s="1"/>
  <c r="O44" i="33"/>
  <c r="I69" i="114"/>
  <c r="J69" s="1"/>
  <c r="L69" s="1"/>
  <c r="K69" i="33"/>
  <c r="I69" i="116"/>
  <c r="J69" s="1"/>
  <c r="L69" s="1"/>
  <c r="M69" i="33"/>
  <c r="I69" i="118"/>
  <c r="J69" s="1"/>
  <c r="L69" s="1"/>
  <c r="O69" i="33"/>
  <c r="I48" i="114"/>
  <c r="J48" s="1"/>
  <c r="L48" s="1"/>
  <c r="K48" i="33"/>
  <c r="I48" i="115"/>
  <c r="J48" s="1"/>
  <c r="L48" s="1"/>
  <c r="L48" i="33"/>
  <c r="I48" i="118"/>
  <c r="J48" s="1"/>
  <c r="L48" s="1"/>
  <c r="M48" s="1"/>
  <c r="O48" i="33"/>
  <c r="I71" i="114"/>
  <c r="J71" s="1"/>
  <c r="L71" s="1"/>
  <c r="M71" s="1"/>
  <c r="K71" i="33"/>
  <c r="I71" i="116"/>
  <c r="J71" s="1"/>
  <c r="L71" s="1"/>
  <c r="M71" i="33"/>
  <c r="I71" i="118"/>
  <c r="J71" s="1"/>
  <c r="L71" s="1"/>
  <c r="M71" s="1"/>
  <c r="O71" i="33"/>
  <c r="I67" i="114"/>
  <c r="J67" s="1"/>
  <c r="L67" s="1"/>
  <c r="M67" s="1"/>
  <c r="K67" i="33"/>
  <c r="I67" i="116"/>
  <c r="J67" s="1"/>
  <c r="L67" s="1"/>
  <c r="M67" i="33"/>
  <c r="I67" i="118"/>
  <c r="J67" s="1"/>
  <c r="L67" s="1"/>
  <c r="M67" s="1"/>
  <c r="O67" i="33"/>
  <c r="H60" i="88"/>
  <c r="I60" s="1"/>
  <c r="K60" s="1"/>
  <c r="L60" s="1"/>
  <c r="U60" i="33"/>
  <c r="H60" i="89"/>
  <c r="I60" s="1"/>
  <c r="K60" s="1"/>
  <c r="L60" s="1"/>
  <c r="V60" i="33"/>
  <c r="H34" i="91"/>
  <c r="I34" s="1"/>
  <c r="K34" s="1"/>
  <c r="L34" s="1"/>
  <c r="W34" i="33"/>
  <c r="H34" i="86"/>
  <c r="I34" s="1"/>
  <c r="K34" s="1"/>
  <c r="L34" s="1"/>
  <c r="S34" i="33"/>
  <c r="I60" i="116"/>
  <c r="J60" s="1"/>
  <c r="L60" s="1"/>
  <c r="M60" i="33"/>
  <c r="H60" i="85"/>
  <c r="I60" s="1"/>
  <c r="K60" s="1"/>
  <c r="L60" s="1"/>
  <c r="R60" i="33"/>
  <c r="J57" i="80"/>
  <c r="K57" s="1"/>
  <c r="M57" s="1"/>
  <c r="N57" s="1"/>
  <c r="J31"/>
  <c r="K31" s="1"/>
  <c r="M31" s="1"/>
  <c r="N31" s="1"/>
  <c r="D9" i="31"/>
  <c r="E9" s="1"/>
  <c r="H9" s="1"/>
  <c r="J9" s="1"/>
  <c r="D12"/>
  <c r="E12" s="1"/>
  <c r="H12" s="1"/>
  <c r="J12" s="1"/>
  <c r="J57" i="76"/>
  <c r="K57" s="1"/>
  <c r="M57" s="1"/>
  <c r="N57" s="1"/>
  <c r="M74" i="113"/>
  <c r="M47" i="119"/>
  <c r="M47" i="113"/>
  <c r="M33" i="117"/>
  <c r="M51"/>
  <c r="M46" i="119"/>
  <c r="M65" i="113"/>
  <c r="M21"/>
  <c r="M72" i="119"/>
  <c r="M54" i="120"/>
  <c r="M13" i="117"/>
  <c r="M36" i="119"/>
  <c r="M75" i="113"/>
  <c r="M35"/>
  <c r="M14" i="117"/>
  <c r="M37" i="119"/>
  <c r="M58" i="120"/>
  <c r="M8" i="117"/>
  <c r="M51" i="118"/>
  <c r="M65"/>
  <c r="M24" i="114"/>
  <c r="M41" i="113"/>
  <c r="M49"/>
  <c r="M54" i="117"/>
  <c r="M25" i="113"/>
  <c r="M52" i="117"/>
  <c r="M11" i="113"/>
  <c r="M35" i="119"/>
  <c r="M37" i="117"/>
  <c r="M58" i="113"/>
  <c r="M47" i="117"/>
  <c r="M70" i="119"/>
  <c r="M33" i="113"/>
  <c r="M51"/>
  <c r="M46" i="117"/>
  <c r="M21"/>
  <c r="M63" i="113"/>
  <c r="M49" i="120"/>
  <c r="M52"/>
  <c r="M13" i="113"/>
  <c r="M68" i="119"/>
  <c r="M35" i="117"/>
  <c r="M26"/>
  <c r="M14" i="114"/>
  <c r="M55" i="120"/>
  <c r="M45" i="119"/>
  <c r="M51" i="120"/>
  <c r="M18"/>
  <c r="M21" i="114"/>
  <c r="M63" i="118"/>
  <c r="M38" i="113"/>
  <c r="M41" i="117"/>
  <c r="M49"/>
  <c r="M59" i="113"/>
  <c r="M25" i="117"/>
  <c r="M66" i="119"/>
  <c r="M11" i="117"/>
  <c r="M36"/>
  <c r="M14" i="120"/>
  <c r="M37" i="113"/>
  <c r="M55" i="119"/>
  <c r="I34" i="114"/>
  <c r="J34" s="1"/>
  <c r="L34" s="1"/>
  <c r="I34" i="117"/>
  <c r="J34" s="1"/>
  <c r="L34" s="1"/>
  <c r="M34" i="119"/>
  <c r="M34" i="120"/>
  <c r="I9" i="113"/>
  <c r="J9" s="1"/>
  <c r="L9" s="1"/>
  <c r="I9" i="117"/>
  <c r="J9" s="1"/>
  <c r="L9" s="1"/>
  <c r="M9" i="119"/>
  <c r="I64" i="113"/>
  <c r="J64" s="1"/>
  <c r="L64" s="1"/>
  <c r="M64" i="117"/>
  <c r="M64" i="119"/>
  <c r="I28" i="114"/>
  <c r="J28" s="1"/>
  <c r="L28" s="1"/>
  <c r="I28" i="117"/>
  <c r="J28" s="1"/>
  <c r="L28" s="1"/>
  <c r="M28" i="119"/>
  <c r="M28" i="120"/>
  <c r="I43" i="113"/>
  <c r="J43" s="1"/>
  <c r="L43" s="1"/>
  <c r="I43" i="117"/>
  <c r="J43" s="1"/>
  <c r="L43" s="1"/>
  <c r="M43" i="119"/>
  <c r="I20" i="114"/>
  <c r="J20" s="1"/>
  <c r="L20" s="1"/>
  <c r="I20" i="117"/>
  <c r="J20" s="1"/>
  <c r="L20" s="1"/>
  <c r="I20" i="119"/>
  <c r="J20" s="1"/>
  <c r="L20" s="1"/>
  <c r="M20" i="120"/>
  <c r="I16" i="114"/>
  <c r="J16" s="1"/>
  <c r="L16" s="1"/>
  <c r="I16" i="117"/>
  <c r="J16" s="1"/>
  <c r="L16" s="1"/>
  <c r="M16" i="119"/>
  <c r="M16" i="120"/>
  <c r="I56" i="118"/>
  <c r="J56" s="1"/>
  <c r="L56" s="1"/>
  <c r="I56" i="120"/>
  <c r="J56" s="1"/>
  <c r="L56" s="1"/>
  <c r="I19" i="114"/>
  <c r="J19" s="1"/>
  <c r="L19" s="1"/>
  <c r="M19" i="119"/>
  <c r="M10"/>
  <c r="I10" i="118"/>
  <c r="J10" s="1"/>
  <c r="L10" s="1"/>
  <c r="M47" i="120"/>
  <c r="M18" i="117"/>
  <c r="M18" i="114"/>
  <c r="M46" i="120"/>
  <c r="M24" i="117"/>
  <c r="M38" i="119"/>
  <c r="M38" i="117"/>
  <c r="M54" i="115"/>
  <c r="M54" i="113"/>
  <c r="M66"/>
  <c r="M52"/>
  <c r="M62" i="114"/>
  <c r="M13"/>
  <c r="M36" i="118"/>
  <c r="M36" i="114"/>
  <c r="M35"/>
  <c r="M26" i="118"/>
  <c r="M26" i="113"/>
  <c r="M14"/>
  <c r="I30"/>
  <c r="J30" s="1"/>
  <c r="L30" s="1"/>
  <c r="I30" i="118"/>
  <c r="J30" s="1"/>
  <c r="L30" s="1"/>
  <c r="I42" i="116"/>
  <c r="J42" s="1"/>
  <c r="L42" s="1"/>
  <c r="I42" i="115"/>
  <c r="J42" s="1"/>
  <c r="L42" s="1"/>
  <c r="I42" i="118"/>
  <c r="J42" s="1"/>
  <c r="L42" s="1"/>
  <c r="M42" i="120"/>
  <c r="I23" i="113"/>
  <c r="J23" s="1"/>
  <c r="L23" s="1"/>
  <c r="I23" i="117"/>
  <c r="J23" s="1"/>
  <c r="L23" s="1"/>
  <c r="I22" i="113"/>
  <c r="J22" s="1"/>
  <c r="L22" s="1"/>
  <c r="I22" i="118"/>
  <c r="J22" s="1"/>
  <c r="L22" s="1"/>
  <c r="I27" i="114"/>
  <c r="J27" s="1"/>
  <c r="L27" s="1"/>
  <c r="M27" i="119"/>
  <c r="M27" i="120"/>
  <c r="I53" i="118"/>
  <c r="J53" s="1"/>
  <c r="L53" s="1"/>
  <c r="I53" i="120"/>
  <c r="J53" s="1"/>
  <c r="L53" s="1"/>
  <c r="I31" i="114"/>
  <c r="J31" s="1"/>
  <c r="L31" s="1"/>
  <c r="M31" i="119"/>
  <c r="M31" i="120"/>
  <c r="I61" i="118"/>
  <c r="J61" s="1"/>
  <c r="L61" s="1"/>
  <c r="M61" i="120"/>
  <c r="I32" i="114"/>
  <c r="J32" s="1"/>
  <c r="L32" s="1"/>
  <c r="I32" i="117"/>
  <c r="J32" s="1"/>
  <c r="L32" s="1"/>
  <c r="M32" i="119"/>
  <c r="M32" i="120"/>
  <c r="M29" i="119"/>
  <c r="M29" i="120"/>
  <c r="I57" i="118"/>
  <c r="J57" s="1"/>
  <c r="L57" s="1"/>
  <c r="I57" i="120"/>
  <c r="J57" s="1"/>
  <c r="L57" s="1"/>
  <c r="I12" i="114"/>
  <c r="J12" s="1"/>
  <c r="L12" s="1"/>
  <c r="I12" i="117"/>
  <c r="J12" s="1"/>
  <c r="L12" s="1"/>
  <c r="M12" i="119"/>
  <c r="I12" i="118"/>
  <c r="J12" s="1"/>
  <c r="L12" s="1"/>
  <c r="M44" i="120"/>
  <c r="M69"/>
  <c r="I48"/>
  <c r="J48" s="1"/>
  <c r="L48" s="1"/>
  <c r="M71"/>
  <c r="M67"/>
  <c r="D15" i="118"/>
  <c r="E15" s="1"/>
  <c r="H15" s="1"/>
  <c r="D15" i="120"/>
  <c r="E15" s="1"/>
  <c r="H15" s="1"/>
  <c r="I15" s="1"/>
  <c r="J15" s="1"/>
  <c r="L15" s="1"/>
  <c r="D15" i="119"/>
  <c r="E15" s="1"/>
  <c r="H15" s="1"/>
  <c r="D15" i="116"/>
  <c r="E15" s="1"/>
  <c r="H15" s="1"/>
  <c r="D15" i="115"/>
  <c r="E15" s="1"/>
  <c r="H15" s="1"/>
  <c r="D15" i="117"/>
  <c r="E15" s="1"/>
  <c r="H15" s="1"/>
  <c r="N15" i="33" s="1"/>
  <c r="D15" i="114"/>
  <c r="E15" s="1"/>
  <c r="H15" s="1"/>
  <c r="K15" i="33" s="1"/>
  <c r="D15" i="113"/>
  <c r="E15" s="1"/>
  <c r="H15" s="1"/>
  <c r="J15" i="33" s="1"/>
  <c r="M55" i="117"/>
  <c r="M55" i="113"/>
  <c r="M58" i="117"/>
  <c r="M45"/>
  <c r="M45" i="113"/>
  <c r="M70"/>
  <c r="M8"/>
  <c r="M18" i="118"/>
  <c r="M18" i="113"/>
  <c r="M46"/>
  <c r="M24" i="118"/>
  <c r="M24" i="113"/>
  <c r="M72"/>
  <c r="M38" i="118"/>
  <c r="M38" i="114"/>
  <c r="M49" i="118"/>
  <c r="M59"/>
  <c r="M54"/>
  <c r="M66"/>
  <c r="M52"/>
  <c r="M62"/>
  <c r="M76" i="114"/>
  <c r="V76" s="1"/>
  <c r="U76"/>
  <c r="M62" i="113"/>
  <c r="M36"/>
  <c r="M68"/>
  <c r="M75" i="119"/>
  <c r="M73"/>
  <c r="M73" i="113"/>
  <c r="M26" i="114"/>
  <c r="M14" i="118"/>
  <c r="M37" i="114"/>
  <c r="I34" i="113"/>
  <c r="J34" s="1"/>
  <c r="L34" s="1"/>
  <c r="I34" i="118"/>
  <c r="J34" s="1"/>
  <c r="L34" s="1"/>
  <c r="M9" i="120"/>
  <c r="I64" i="118"/>
  <c r="J64" s="1"/>
  <c r="L64" s="1"/>
  <c r="M64" i="120"/>
  <c r="I28" i="113"/>
  <c r="J28" s="1"/>
  <c r="L28" s="1"/>
  <c r="I28" i="118"/>
  <c r="J28" s="1"/>
  <c r="L28" s="1"/>
  <c r="I43" i="114"/>
  <c r="J43" s="1"/>
  <c r="L43" s="1"/>
  <c r="M43" i="120"/>
  <c r="I20" i="113"/>
  <c r="J20" s="1"/>
  <c r="L20" s="1"/>
  <c r="I20" i="118"/>
  <c r="J20" s="1"/>
  <c r="L20" s="1"/>
  <c r="I16" i="113"/>
  <c r="J16" s="1"/>
  <c r="L16" s="1"/>
  <c r="I16" i="118"/>
  <c r="J16" s="1"/>
  <c r="L16" s="1"/>
  <c r="I56" i="113"/>
  <c r="J56" s="1"/>
  <c r="L56" s="1"/>
  <c r="I56" i="117"/>
  <c r="J56" s="1"/>
  <c r="L56" s="1"/>
  <c r="I56" i="119"/>
  <c r="J56" s="1"/>
  <c r="L56" s="1"/>
  <c r="I19" i="113"/>
  <c r="J19" s="1"/>
  <c r="L19" s="1"/>
  <c r="I19" i="117"/>
  <c r="J19" s="1"/>
  <c r="L19" s="1"/>
  <c r="M19" i="120"/>
  <c r="I10" i="113"/>
  <c r="J10" s="1"/>
  <c r="L10" s="1"/>
  <c r="I10" i="117"/>
  <c r="J10" s="1"/>
  <c r="L10" s="1"/>
  <c r="M10" i="120"/>
  <c r="M55" i="118"/>
  <c r="M58"/>
  <c r="M58" i="115"/>
  <c r="M51"/>
  <c r="I30" i="114"/>
  <c r="J30" s="1"/>
  <c r="L30" s="1"/>
  <c r="I30" i="117"/>
  <c r="J30" s="1"/>
  <c r="L30" s="1"/>
  <c r="I30" i="119"/>
  <c r="J30" s="1"/>
  <c r="L30" s="1"/>
  <c r="M30" i="120"/>
  <c r="I42" i="113"/>
  <c r="J42" s="1"/>
  <c r="L42" s="1"/>
  <c r="M42" i="119"/>
  <c r="M23"/>
  <c r="M23" i="120"/>
  <c r="I22" i="117"/>
  <c r="J22" s="1"/>
  <c r="L22" s="1"/>
  <c r="M22" i="119"/>
  <c r="I22" i="120"/>
  <c r="J22" s="1"/>
  <c r="L22" s="1"/>
  <c r="I27" i="113"/>
  <c r="J27" s="1"/>
  <c r="L27" s="1"/>
  <c r="I27" i="117"/>
  <c r="J27" s="1"/>
  <c r="L27" s="1"/>
  <c r="I53" i="113"/>
  <c r="J53" s="1"/>
  <c r="L53" s="1"/>
  <c r="I53" i="117"/>
  <c r="J53" s="1"/>
  <c r="L53" s="1"/>
  <c r="M53" i="119"/>
  <c r="I31" i="113"/>
  <c r="J31" s="1"/>
  <c r="L31" s="1"/>
  <c r="I31" i="117"/>
  <c r="J31" s="1"/>
  <c r="L31" s="1"/>
  <c r="I61" i="113"/>
  <c r="J61" s="1"/>
  <c r="L61" s="1"/>
  <c r="M61" i="119"/>
  <c r="I32" i="113"/>
  <c r="J32" s="1"/>
  <c r="L32" s="1"/>
  <c r="I32" i="115"/>
  <c r="J32" s="1"/>
  <c r="L32" s="1"/>
  <c r="I32" i="118"/>
  <c r="J32" s="1"/>
  <c r="L32" s="1"/>
  <c r="I29" i="113"/>
  <c r="J29" s="1"/>
  <c r="L29" s="1"/>
  <c r="I29" i="117"/>
  <c r="J29" s="1"/>
  <c r="L29" s="1"/>
  <c r="I57" i="113"/>
  <c r="J57" s="1"/>
  <c r="L57" s="1"/>
  <c r="I57" i="117"/>
  <c r="J57" s="1"/>
  <c r="L57" s="1"/>
  <c r="M57" i="119"/>
  <c r="I12" i="113"/>
  <c r="J12" s="1"/>
  <c r="L12" s="1"/>
  <c r="M12" i="120"/>
  <c r="I44" i="113"/>
  <c r="J44" s="1"/>
  <c r="L44" s="1"/>
  <c r="I44" i="117"/>
  <c r="J44" s="1"/>
  <c r="L44" s="1"/>
  <c r="I44" i="116"/>
  <c r="J44" s="1"/>
  <c r="L44" s="1"/>
  <c r="I44" i="119"/>
  <c r="J44" s="1"/>
  <c r="L44" s="1"/>
  <c r="I69" i="113"/>
  <c r="J69" s="1"/>
  <c r="L69" s="1"/>
  <c r="I69" i="119"/>
  <c r="J69" s="1"/>
  <c r="L69" s="1"/>
  <c r="I48" i="113"/>
  <c r="J48" s="1"/>
  <c r="L48" s="1"/>
  <c r="I48" i="117"/>
  <c r="J48" s="1"/>
  <c r="L48" s="1"/>
  <c r="M48" i="119"/>
  <c r="I71" i="113"/>
  <c r="J71" s="1"/>
  <c r="L71" s="1"/>
  <c r="I71" i="119"/>
  <c r="J71" s="1"/>
  <c r="L71" s="1"/>
  <c r="I67" i="113"/>
  <c r="J67" s="1"/>
  <c r="L67" s="1"/>
  <c r="M67" i="119"/>
  <c r="I42" i="99"/>
  <c r="N42" s="1"/>
  <c r="J27" i="76"/>
  <c r="K27" s="1"/>
  <c r="M27" s="1"/>
  <c r="N27" s="1"/>
  <c r="AV43" i="1"/>
  <c r="L74" i="85"/>
  <c r="L13"/>
  <c r="L25"/>
  <c r="L46"/>
  <c r="D41" i="31"/>
  <c r="E41" s="1"/>
  <c r="H41" s="1"/>
  <c r="J41" s="1"/>
  <c r="D34"/>
  <c r="E34" s="1"/>
  <c r="H34" s="1"/>
  <c r="J34" s="1"/>
  <c r="D58"/>
  <c r="E58" s="1"/>
  <c r="H58" s="1"/>
  <c r="J58" s="1"/>
  <c r="D30"/>
  <c r="E30" s="1"/>
  <c r="H30" s="1"/>
  <c r="J30" s="1"/>
  <c r="Z9" i="33"/>
  <c r="L33" i="85"/>
  <c r="L49"/>
  <c r="L35"/>
  <c r="D39" i="31"/>
  <c r="E39" s="1"/>
  <c r="H39" s="1"/>
  <c r="J39" s="1"/>
  <c r="D7"/>
  <c r="E7" s="1"/>
  <c r="H7" s="1"/>
  <c r="D68"/>
  <c r="E68" s="1"/>
  <c r="H68" s="1"/>
  <c r="J68" s="1"/>
  <c r="D65"/>
  <c r="E65" s="1"/>
  <c r="H65" s="1"/>
  <c r="J65" s="1"/>
  <c r="D19"/>
  <c r="E19" s="1"/>
  <c r="H19" s="1"/>
  <c r="J19" s="1"/>
  <c r="D66"/>
  <c r="E66" s="1"/>
  <c r="H66" s="1"/>
  <c r="J66" s="1"/>
  <c r="D48"/>
  <c r="E48" s="1"/>
  <c r="H48" s="1"/>
  <c r="J48" s="1"/>
  <c r="D27"/>
  <c r="E27" s="1"/>
  <c r="H27" s="1"/>
  <c r="J27" s="1"/>
  <c r="D33"/>
  <c r="E33" s="1"/>
  <c r="H33" s="1"/>
  <c r="J33" s="1"/>
  <c r="D37"/>
  <c r="E37" s="1"/>
  <c r="H37" s="1"/>
  <c r="J37" s="1"/>
  <c r="D20"/>
  <c r="E20" s="1"/>
  <c r="H20" s="1"/>
  <c r="J20" s="1"/>
  <c r="L11" i="85"/>
  <c r="L21"/>
  <c r="L68"/>
  <c r="L8" i="88"/>
  <c r="L26" i="86"/>
  <c r="L8"/>
  <c r="D61" i="31"/>
  <c r="E61" s="1"/>
  <c r="H61" s="1"/>
  <c r="J61" s="1"/>
  <c r="L36" i="85"/>
  <c r="L66"/>
  <c r="L8" i="92"/>
  <c r="L65" i="85"/>
  <c r="L14"/>
  <c r="L72"/>
  <c r="L41"/>
  <c r="L63"/>
  <c r="D14" i="31"/>
  <c r="E14" s="1"/>
  <c r="H14" s="1"/>
  <c r="J14" s="1"/>
  <c r="D31"/>
  <c r="E31" s="1"/>
  <c r="H31" s="1"/>
  <c r="J31" s="1"/>
  <c r="D62"/>
  <c r="E62" s="1"/>
  <c r="H62" s="1"/>
  <c r="J62" s="1"/>
  <c r="D17"/>
  <c r="E17" s="1"/>
  <c r="H17" s="1"/>
  <c r="J17" s="1"/>
  <c r="D47"/>
  <c r="E47" s="1"/>
  <c r="H47" s="1"/>
  <c r="J47" s="1"/>
  <c r="D29"/>
  <c r="E29" s="1"/>
  <c r="H29" s="1"/>
  <c r="J29" s="1"/>
  <c r="D64"/>
  <c r="E64" s="1"/>
  <c r="H64" s="1"/>
  <c r="J64" s="1"/>
  <c r="D59"/>
  <c r="E59" s="1"/>
  <c r="H59" s="1"/>
  <c r="J59" s="1"/>
  <c r="D35"/>
  <c r="E35" s="1"/>
  <c r="H35" s="1"/>
  <c r="J35" s="1"/>
  <c r="D15"/>
  <c r="E15" s="1"/>
  <c r="H15" s="1"/>
  <c r="J15" s="1"/>
  <c r="D53"/>
  <c r="E53" s="1"/>
  <c r="H53" s="1"/>
  <c r="J53" s="1"/>
  <c r="D42"/>
  <c r="E42" s="1"/>
  <c r="H42" s="1"/>
  <c r="J42" s="1"/>
  <c r="D21"/>
  <c r="E21" s="1"/>
  <c r="H21" s="1"/>
  <c r="J21" s="1"/>
  <c r="L26" i="85"/>
  <c r="L51"/>
  <c r="L47"/>
  <c r="L70"/>
  <c r="L58"/>
  <c r="L26" i="87"/>
  <c r="L26" i="92"/>
  <c r="L47" i="87"/>
  <c r="L34"/>
  <c r="L73" i="92"/>
  <c r="D38" i="31"/>
  <c r="E38" s="1"/>
  <c r="H38" s="1"/>
  <c r="J38" s="1"/>
  <c r="L37" i="85"/>
  <c r="L8" i="87"/>
  <c r="L26" i="88"/>
  <c r="L55" i="85"/>
  <c r="L62"/>
  <c r="L45"/>
  <c r="L24"/>
  <c r="D18" i="31"/>
  <c r="E18" s="1"/>
  <c r="H18" s="1"/>
  <c r="J18" s="1"/>
  <c r="D36"/>
  <c r="E36" s="1"/>
  <c r="H36" s="1"/>
  <c r="J36" s="1"/>
  <c r="D51"/>
  <c r="E51" s="1"/>
  <c r="H51" s="1"/>
  <c r="J51" s="1"/>
  <c r="D45"/>
  <c r="E45" s="1"/>
  <c r="H45" s="1"/>
  <c r="J45" s="1"/>
  <c r="D26"/>
  <c r="E26" s="1"/>
  <c r="H26" s="1"/>
  <c r="J26" s="1"/>
  <c r="D32"/>
  <c r="E32" s="1"/>
  <c r="H32" s="1"/>
  <c r="J32" s="1"/>
  <c r="D50"/>
  <c r="E50" s="1"/>
  <c r="H50" s="1"/>
  <c r="J50" s="1"/>
  <c r="D13"/>
  <c r="E13" s="1"/>
  <c r="H13" s="1"/>
  <c r="J13" s="1"/>
  <c r="D43"/>
  <c r="E43" s="1"/>
  <c r="H43" s="1"/>
  <c r="J43" s="1"/>
  <c r="D57"/>
  <c r="E57" s="1"/>
  <c r="H57" s="1"/>
  <c r="J57" s="1"/>
  <c r="D55"/>
  <c r="E55" s="1"/>
  <c r="H55" s="1"/>
  <c r="J55" s="1"/>
  <c r="D52"/>
  <c r="E52" s="1"/>
  <c r="H52" s="1"/>
  <c r="J52" s="1"/>
  <c r="D56"/>
  <c r="E56" s="1"/>
  <c r="H56" s="1"/>
  <c r="J56" s="1"/>
  <c r="D40"/>
  <c r="E40" s="1"/>
  <c r="L59" i="85"/>
  <c r="L73"/>
  <c r="L18"/>
  <c r="L52"/>
  <c r="L75"/>
  <c r="L8" i="91"/>
  <c r="L8" i="89"/>
  <c r="L60" i="87"/>
  <c r="L26" i="91"/>
  <c r="R7" i="67"/>
  <c r="M25" i="90"/>
  <c r="N25" s="1"/>
  <c r="I46" i="101"/>
  <c r="M38" i="90"/>
  <c r="N38" s="1"/>
  <c r="M51"/>
  <c r="N51" s="1"/>
  <c r="M26"/>
  <c r="N26" s="1"/>
  <c r="M59"/>
  <c r="N59" s="1"/>
  <c r="M52"/>
  <c r="N52" s="1"/>
  <c r="M66"/>
  <c r="N66" s="1"/>
  <c r="T23" i="67"/>
  <c r="J23"/>
  <c r="K23" s="1"/>
  <c r="W23" s="1"/>
  <c r="AQ43" i="1"/>
  <c r="M47" i="90"/>
  <c r="N47" s="1"/>
  <c r="M21"/>
  <c r="N21" s="1"/>
  <c r="M55"/>
  <c r="N55" s="1"/>
  <c r="M58"/>
  <c r="N58" s="1"/>
  <c r="M70"/>
  <c r="N70" s="1"/>
  <c r="M74"/>
  <c r="N74" s="1"/>
  <c r="M41"/>
  <c r="N41" s="1"/>
  <c r="M36"/>
  <c r="N36" s="1"/>
  <c r="M14"/>
  <c r="N14" s="1"/>
  <c r="M46"/>
  <c r="N46" s="1"/>
  <c r="M75"/>
  <c r="N75" s="1"/>
  <c r="M11"/>
  <c r="N11" s="1"/>
  <c r="M73"/>
  <c r="N73" s="1"/>
  <c r="K42" i="67"/>
  <c r="W42" s="1"/>
  <c r="AX10" i="1"/>
  <c r="AV10"/>
  <c r="H9" i="85"/>
  <c r="I9" s="1"/>
  <c r="K9" s="1"/>
  <c r="J6" i="76"/>
  <c r="K6" s="1"/>
  <c r="M6" s="1"/>
  <c r="AQ10" i="1"/>
  <c r="J16" i="90"/>
  <c r="K16" s="1"/>
  <c r="J32"/>
  <c r="K32" s="1"/>
  <c r="J56"/>
  <c r="K56" s="1"/>
  <c r="M56" s="1"/>
  <c r="N56" s="1"/>
  <c r="J20"/>
  <c r="J28"/>
  <c r="K28" s="1"/>
  <c r="J53"/>
  <c r="J22"/>
  <c r="K22" s="1"/>
  <c r="J64"/>
  <c r="J61"/>
  <c r="K61" s="1"/>
  <c r="M61" s="1"/>
  <c r="N61" s="1"/>
  <c r="J67"/>
  <c r="K67" s="1"/>
  <c r="M67" s="1"/>
  <c r="N67" s="1"/>
  <c r="J31"/>
  <c r="K31" s="1"/>
  <c r="J43"/>
  <c r="J69"/>
  <c r="K69" s="1"/>
  <c r="M69" s="1"/>
  <c r="N69" s="1"/>
  <c r="J48"/>
  <c r="K48" s="1"/>
  <c r="M48" s="1"/>
  <c r="N48" s="1"/>
  <c r="J27"/>
  <c r="K27" s="1"/>
  <c r="J29"/>
  <c r="K29" s="1"/>
  <c r="J10"/>
  <c r="J57"/>
  <c r="K57" s="1"/>
  <c r="M57" s="1"/>
  <c r="N57" s="1"/>
  <c r="J44"/>
  <c r="K44" s="1"/>
  <c r="M44" s="1"/>
  <c r="N44" s="1"/>
  <c r="J71"/>
  <c r="K71" s="1"/>
  <c r="M71" s="1"/>
  <c r="N71" s="1"/>
  <c r="J19"/>
  <c r="K19" s="1"/>
  <c r="M19" s="1"/>
  <c r="N19" s="1"/>
  <c r="K8"/>
  <c r="K18"/>
  <c r="K68"/>
  <c r="AX44" i="1"/>
  <c r="AX73"/>
  <c r="AV73"/>
  <c r="AV44"/>
  <c r="I46" i="98"/>
  <c r="N46" s="1"/>
  <c r="I34" i="99"/>
  <c r="N34" s="1"/>
  <c r="M34"/>
  <c r="M34" i="98"/>
  <c r="I34"/>
  <c r="N34" s="1"/>
  <c r="Z23" i="33"/>
  <c r="M23" i="99"/>
  <c r="I23"/>
  <c r="N23" s="1"/>
  <c r="D15" i="98"/>
  <c r="D15" i="99"/>
  <c r="AF8" i="1"/>
  <c r="AE77"/>
  <c r="E37" i="81" s="1"/>
  <c r="G37" s="1"/>
  <c r="I45" i="98"/>
  <c r="N45" s="1"/>
  <c r="D14" i="67"/>
  <c r="E14" s="1"/>
  <c r="F14" s="1"/>
  <c r="G14" s="1"/>
  <c r="AV64" i="1"/>
  <c r="AG8"/>
  <c r="AK8" s="1"/>
  <c r="AL8" s="1"/>
  <c r="J50" i="76"/>
  <c r="K50" s="1"/>
  <c r="M50" s="1"/>
  <c r="AQ64" i="1"/>
  <c r="M22" i="98"/>
  <c r="M21"/>
  <c r="I64"/>
  <c r="N64" s="1"/>
  <c r="I41"/>
  <c r="N41" s="1"/>
  <c r="AX29" i="1"/>
  <c r="M18" i="98"/>
  <c r="M36"/>
  <c r="I36"/>
  <c r="N36" s="1"/>
  <c r="M64"/>
  <c r="AQ29" i="1"/>
  <c r="I21" i="98"/>
  <c r="N21" s="1"/>
  <c r="I70"/>
  <c r="N70" s="1"/>
  <c r="I66"/>
  <c r="N66" s="1"/>
  <c r="M70"/>
  <c r="M45"/>
  <c r="I22"/>
  <c r="N22" s="1"/>
  <c r="M41"/>
  <c r="I18"/>
  <c r="N18" s="1"/>
  <c r="M46"/>
  <c r="L23" i="46"/>
  <c r="N23" s="1"/>
  <c r="N11" i="76"/>
  <c r="Z47" i="33"/>
  <c r="I47" i="99"/>
  <c r="N47" s="1"/>
  <c r="M47"/>
  <c r="J58" i="76"/>
  <c r="K58" s="1"/>
  <c r="M58" s="1"/>
  <c r="T31" i="67"/>
  <c r="W31"/>
  <c r="E44" i="99"/>
  <c r="H44" s="1"/>
  <c r="E44" i="98"/>
  <c r="H44" s="1"/>
  <c r="D44" i="67"/>
  <c r="E44" s="1"/>
  <c r="F44" s="1"/>
  <c r="G44" s="1"/>
  <c r="J44" s="1"/>
  <c r="K44" s="1"/>
  <c r="N70" i="76"/>
  <c r="N32"/>
  <c r="AA20" i="33"/>
  <c r="M20" i="98"/>
  <c r="I20"/>
  <c r="N20" s="1"/>
  <c r="J13" i="76"/>
  <c r="K13" s="1"/>
  <c r="M13" s="1"/>
  <c r="Z45" i="33"/>
  <c r="I45" i="99"/>
  <c r="N45" s="1"/>
  <c r="M45"/>
  <c r="Z70" i="33"/>
  <c r="I70" i="99"/>
  <c r="N70" s="1"/>
  <c r="M70"/>
  <c r="E67"/>
  <c r="H67" s="1"/>
  <c r="E67" i="98"/>
  <c r="H67" s="1"/>
  <c r="D67" i="67"/>
  <c r="E67" s="1"/>
  <c r="F67" s="1"/>
  <c r="G67" s="1"/>
  <c r="J67" s="1"/>
  <c r="K67" s="1"/>
  <c r="W36"/>
  <c r="T36"/>
  <c r="AA75" i="33"/>
  <c r="M75" i="98"/>
  <c r="I75"/>
  <c r="N75" s="1"/>
  <c r="J29" i="76"/>
  <c r="K29" s="1"/>
  <c r="M29" s="1"/>
  <c r="AA65" i="33"/>
  <c r="M65" i="98"/>
  <c r="I65"/>
  <c r="N65" s="1"/>
  <c r="AV58" i="1"/>
  <c r="AX58"/>
  <c r="Z33" i="33"/>
  <c r="M33" i="99"/>
  <c r="I33"/>
  <c r="N33" s="1"/>
  <c r="W18" i="67"/>
  <c r="T18"/>
  <c r="N51" i="76"/>
  <c r="N72"/>
  <c r="AQ30" i="1"/>
  <c r="AV30"/>
  <c r="AX30"/>
  <c r="Z49" i="33"/>
  <c r="M49" i="99"/>
  <c r="I49"/>
  <c r="N49" s="1"/>
  <c r="J41" i="76"/>
  <c r="K41" s="1"/>
  <c r="M41" s="1"/>
  <c r="Z53" i="33"/>
  <c r="M53" i="99"/>
  <c r="I53"/>
  <c r="N53" s="1"/>
  <c r="E56"/>
  <c r="H56" s="1"/>
  <c r="E56" i="98"/>
  <c r="H56" s="1"/>
  <c r="D56" i="67"/>
  <c r="E56" s="1"/>
  <c r="F56" s="1"/>
  <c r="G56" s="1"/>
  <c r="J56" s="1"/>
  <c r="K56" s="1"/>
  <c r="AA73" i="33"/>
  <c r="M73" i="98"/>
  <c r="I73"/>
  <c r="N73" s="1"/>
  <c r="AA74" i="33"/>
  <c r="I74" i="98"/>
  <c r="N74" s="1"/>
  <c r="M74"/>
  <c r="M66"/>
  <c r="AA35" i="33"/>
  <c r="M35" i="98"/>
  <c r="I35"/>
  <c r="N35" s="1"/>
  <c r="H61" i="85"/>
  <c r="I61" s="1"/>
  <c r="K61" s="1"/>
  <c r="H16"/>
  <c r="I16" s="1"/>
  <c r="K16" s="1"/>
  <c r="J53" i="76"/>
  <c r="K53" s="1"/>
  <c r="M53" s="1"/>
  <c r="H29" i="85"/>
  <c r="I29" s="1"/>
  <c r="K29" s="1"/>
  <c r="N63" i="80"/>
  <c r="W54" i="67"/>
  <c r="T54"/>
  <c r="Z75" i="33"/>
  <c r="M75" i="99"/>
  <c r="I75"/>
  <c r="N75" s="1"/>
  <c r="AQ58" i="1"/>
  <c r="Z18" i="33"/>
  <c r="I18" i="99"/>
  <c r="N18" s="1"/>
  <c r="M18"/>
  <c r="H69" i="85"/>
  <c r="I69" s="1"/>
  <c r="K69" s="1"/>
  <c r="T66" i="67"/>
  <c r="W66"/>
  <c r="Z11" i="33"/>
  <c r="M11" i="99"/>
  <c r="I11"/>
  <c r="N11" s="1"/>
  <c r="H67" i="85"/>
  <c r="I67" s="1"/>
  <c r="K67" s="1"/>
  <c r="W22" i="67"/>
  <c r="T22"/>
  <c r="O35" i="46"/>
  <c r="E48" i="99"/>
  <c r="H48" s="1"/>
  <c r="E48" i="98"/>
  <c r="H48" s="1"/>
  <c r="D48" i="67"/>
  <c r="E48" s="1"/>
  <c r="F48" s="1"/>
  <c r="G48" s="1"/>
  <c r="J48" s="1"/>
  <c r="K48" s="1"/>
  <c r="AQ57" i="1"/>
  <c r="AV57"/>
  <c r="AX57"/>
  <c r="N33" i="76"/>
  <c r="Z74" i="33"/>
  <c r="M74" i="99"/>
  <c r="I74"/>
  <c r="N74" s="1"/>
  <c r="M25" i="98"/>
  <c r="M51"/>
  <c r="I58"/>
  <c r="N58" s="1"/>
  <c r="T35" i="67"/>
  <c r="W35"/>
  <c r="T47"/>
  <c r="W47"/>
  <c r="T62"/>
  <c r="W62"/>
  <c r="Z31" i="33"/>
  <c r="M31" i="99"/>
  <c r="I31"/>
  <c r="N31" s="1"/>
  <c r="N15" i="76"/>
  <c r="J12" i="90"/>
  <c r="K12" s="1"/>
  <c r="M12" s="1"/>
  <c r="N12" s="1"/>
  <c r="H56" i="85"/>
  <c r="I56" s="1"/>
  <c r="K56" s="1"/>
  <c r="N55" i="76"/>
  <c r="AV68" i="1"/>
  <c r="AX68"/>
  <c r="AA63" i="33"/>
  <c r="I63" i="98"/>
  <c r="N63" s="1"/>
  <c r="M63"/>
  <c r="N8" i="76"/>
  <c r="J26"/>
  <c r="K26" s="1"/>
  <c r="M26" s="1"/>
  <c r="F81" i="25"/>
  <c r="E77" i="83"/>
  <c r="E93" i="81"/>
  <c r="E76" i="84"/>
  <c r="AQ17" i="1"/>
  <c r="AV17"/>
  <c r="AX17"/>
  <c r="Z55" i="33"/>
  <c r="I55" i="99"/>
  <c r="N55" s="1"/>
  <c r="M55"/>
  <c r="Z54" i="33"/>
  <c r="M54" i="99"/>
  <c r="I54"/>
  <c r="N54" s="1"/>
  <c r="T58" i="67"/>
  <c r="W58"/>
  <c r="E57" i="99"/>
  <c r="H57" s="1"/>
  <c r="E57" i="98"/>
  <c r="H57" s="1"/>
  <c r="D57" i="67"/>
  <c r="E57" s="1"/>
  <c r="F57" s="1"/>
  <c r="G57" s="1"/>
  <c r="J57" s="1"/>
  <c r="K57" s="1"/>
  <c r="T33"/>
  <c r="W33"/>
  <c r="N10" i="76"/>
  <c r="E12" i="99"/>
  <c r="H12" s="1"/>
  <c r="E12" i="98"/>
  <c r="H12" s="1"/>
  <c r="D12" i="67"/>
  <c r="E12" s="1"/>
  <c r="F12" s="1"/>
  <c r="G12" s="1"/>
  <c r="J12" s="1"/>
  <c r="K12" s="1"/>
  <c r="N18" i="76"/>
  <c r="J45"/>
  <c r="K45" s="1"/>
  <c r="M45" s="1"/>
  <c r="N52"/>
  <c r="E71" i="99"/>
  <c r="H71" s="1"/>
  <c r="E71" i="98"/>
  <c r="H71" s="1"/>
  <c r="D71" i="67"/>
  <c r="E71" s="1"/>
  <c r="F71" s="1"/>
  <c r="G71" s="1"/>
  <c r="J71" s="1"/>
  <c r="K71" s="1"/>
  <c r="Z27" i="33"/>
  <c r="M27" i="99"/>
  <c r="I27"/>
  <c r="N27" s="1"/>
  <c r="Z66" i="33"/>
  <c r="M66" i="99"/>
  <c r="I66"/>
  <c r="N66" s="1"/>
  <c r="E19"/>
  <c r="H19" s="1"/>
  <c r="E19" i="98"/>
  <c r="H19" s="1"/>
  <c r="D19" i="67"/>
  <c r="E19" s="1"/>
  <c r="F19" s="1"/>
  <c r="G19" s="1"/>
  <c r="J19" s="1"/>
  <c r="K19" s="1"/>
  <c r="W30"/>
  <c r="T30"/>
  <c r="T46"/>
  <c r="W46"/>
  <c r="E32" i="99"/>
  <c r="H32" s="1"/>
  <c r="E32" i="98"/>
  <c r="H32" s="1"/>
  <c r="D32" i="67"/>
  <c r="E32" s="1"/>
  <c r="F32" s="1"/>
  <c r="G32" s="1"/>
  <c r="J32" s="1"/>
  <c r="K32" s="1"/>
  <c r="Z8" i="33"/>
  <c r="M8" i="99"/>
  <c r="I8"/>
  <c r="N8" s="1"/>
  <c r="AA68" i="33"/>
  <c r="M68" i="98"/>
  <c r="I68"/>
  <c r="N68" s="1"/>
  <c r="Z37" i="33"/>
  <c r="M37" i="99"/>
  <c r="I37"/>
  <c r="N37" s="1"/>
  <c r="N22" i="76"/>
  <c r="E29" i="99"/>
  <c r="H29" s="1"/>
  <c r="E29" i="98"/>
  <c r="H29" s="1"/>
  <c r="D29" i="67"/>
  <c r="E29" s="1"/>
  <c r="F29" s="1"/>
  <c r="G29" s="1"/>
  <c r="J29" s="1"/>
  <c r="K29" s="1"/>
  <c r="Z25" i="33"/>
  <c r="M25" i="99"/>
  <c r="I25"/>
  <c r="N25" s="1"/>
  <c r="J54" i="76"/>
  <c r="K54" s="1"/>
  <c r="M54" s="1"/>
  <c r="T49" i="67"/>
  <c r="W49"/>
  <c r="H59" i="81"/>
  <c r="G59"/>
  <c r="T53" i="67"/>
  <c r="W53"/>
  <c r="H71" i="85"/>
  <c r="I71" s="1"/>
  <c r="K71" s="1"/>
  <c r="AA59" i="33"/>
  <c r="I59" i="98"/>
  <c r="N59" s="1"/>
  <c r="M59"/>
  <c r="AA72" i="33"/>
  <c r="M72" i="98"/>
  <c r="I72"/>
  <c r="N72" s="1"/>
  <c r="J16" i="76"/>
  <c r="K16" s="1"/>
  <c r="M16" s="1"/>
  <c r="AQ11" i="1"/>
  <c r="AV11"/>
  <c r="AX11"/>
  <c r="E61" i="99"/>
  <c r="H61" s="1"/>
  <c r="E61" i="98"/>
  <c r="H61" s="1"/>
  <c r="D61" i="67"/>
  <c r="E61" s="1"/>
  <c r="F61" s="1"/>
  <c r="G61" s="1"/>
  <c r="J61" s="1"/>
  <c r="K61" s="1"/>
  <c r="T28"/>
  <c r="W28"/>
  <c r="Z51" i="33"/>
  <c r="I51" i="99"/>
  <c r="N51" s="1"/>
  <c r="M51"/>
  <c r="N60" i="76"/>
  <c r="E69" i="99"/>
  <c r="H69" s="1"/>
  <c r="E69" i="98"/>
  <c r="H69" s="1"/>
  <c r="D69" i="67"/>
  <c r="E69" s="1"/>
  <c r="F69" s="1"/>
  <c r="G69" s="1"/>
  <c r="J69" s="1"/>
  <c r="K69" s="1"/>
  <c r="Z62" i="33"/>
  <c r="M62" i="99"/>
  <c r="I62"/>
  <c r="N62" s="1"/>
  <c r="N67" i="76"/>
  <c r="N43"/>
  <c r="W24" i="67"/>
  <c r="T24"/>
  <c r="Z63" i="33"/>
  <c r="I63" i="99"/>
  <c r="N63" s="1"/>
  <c r="M63"/>
  <c r="N42" i="76"/>
  <c r="Z64" i="33"/>
  <c r="M64" i="99"/>
  <c r="I64"/>
  <c r="N64" s="1"/>
  <c r="T55" i="67"/>
  <c r="W55"/>
  <c r="AA43" i="33"/>
  <c r="I43" i="98"/>
  <c r="N43" s="1"/>
  <c r="M43"/>
  <c r="AA54" i="33"/>
  <c r="I54" i="98"/>
  <c r="N54" s="1"/>
  <c r="M54"/>
  <c r="Z21" i="33"/>
  <c r="I21" i="99"/>
  <c r="N21" s="1"/>
  <c r="M21"/>
  <c r="AA13" i="33"/>
  <c r="M13" i="98"/>
  <c r="I13"/>
  <c r="N13" s="1"/>
  <c r="AA52" i="33"/>
  <c r="M52" i="98"/>
  <c r="I52"/>
  <c r="N52" s="1"/>
  <c r="W27" i="67"/>
  <c r="T27"/>
  <c r="AA11" i="33"/>
  <c r="I11" i="98"/>
  <c r="N11" s="1"/>
  <c r="M11"/>
  <c r="AX20" i="1"/>
  <c r="AV20"/>
  <c r="Z30" i="33"/>
  <c r="M30" i="99"/>
  <c r="I30"/>
  <c r="N30" s="1"/>
  <c r="J64" i="76"/>
  <c r="K64" s="1"/>
  <c r="M64" s="1"/>
  <c r="N48"/>
  <c r="AX33" i="1"/>
  <c r="AV33"/>
  <c r="T8" i="67"/>
  <c r="W8"/>
  <c r="Z28" i="33"/>
  <c r="I28" i="99"/>
  <c r="N28" s="1"/>
  <c r="M28"/>
  <c r="W51" i="67"/>
  <c r="T51"/>
  <c r="N71" i="76"/>
  <c r="AA31" i="33"/>
  <c r="I31" i="98"/>
  <c r="N31" s="1"/>
  <c r="M31"/>
  <c r="AV45" i="1"/>
  <c r="AX45"/>
  <c r="Z20" i="33"/>
  <c r="I20" i="99"/>
  <c r="N20" s="1"/>
  <c r="M20"/>
  <c r="Z24" i="33"/>
  <c r="I24" i="99"/>
  <c r="N24" s="1"/>
  <c r="M24"/>
  <c r="Z36" i="33"/>
  <c r="M36" i="99"/>
  <c r="I36"/>
  <c r="N36" s="1"/>
  <c r="AA55" i="33"/>
  <c r="I55" i="98"/>
  <c r="N55" s="1"/>
  <c r="M55"/>
  <c r="Z43" i="33"/>
  <c r="M43" i="99"/>
  <c r="I43"/>
  <c r="N43" s="1"/>
  <c r="H32" i="85"/>
  <c r="I32" s="1"/>
  <c r="K32" s="1"/>
  <c r="Z65" i="33"/>
  <c r="M65" i="99"/>
  <c r="I65"/>
  <c r="N65" s="1"/>
  <c r="Z13" i="33"/>
  <c r="I13" i="99"/>
  <c r="N13" s="1"/>
  <c r="M13"/>
  <c r="J66" i="76"/>
  <c r="K66" s="1"/>
  <c r="M66" s="1"/>
  <c r="H48" i="85"/>
  <c r="I48" s="1"/>
  <c r="K48" s="1"/>
  <c r="Z52" i="33"/>
  <c r="M52" i="99"/>
  <c r="I52"/>
  <c r="N52" s="1"/>
  <c r="AA27" i="33"/>
  <c r="I27" i="98"/>
  <c r="N27" s="1"/>
  <c r="M27"/>
  <c r="AQ20" i="1"/>
  <c r="AA8" i="33"/>
  <c r="I8" i="98"/>
  <c r="N8" s="1"/>
  <c r="M8"/>
  <c r="W68" i="67"/>
  <c r="T68"/>
  <c r="AA37" i="33"/>
  <c r="I37" i="98"/>
  <c r="N37" s="1"/>
  <c r="M37"/>
  <c r="T25" i="67"/>
  <c r="W25"/>
  <c r="N65" i="76"/>
  <c r="T59" i="67"/>
  <c r="W59"/>
  <c r="H19" i="85"/>
  <c r="I19" s="1"/>
  <c r="K19" s="1"/>
  <c r="Z73" i="33"/>
  <c r="M73" i="99"/>
  <c r="I73"/>
  <c r="N73" s="1"/>
  <c r="E10"/>
  <c r="H10" s="1"/>
  <c r="D10" i="67"/>
  <c r="E10" s="1"/>
  <c r="F10" s="1"/>
  <c r="G10" s="1"/>
  <c r="J10" s="1"/>
  <c r="K10" s="1"/>
  <c r="E10" i="98"/>
  <c r="H10" s="1"/>
  <c r="I25"/>
  <c r="N25" s="1"/>
  <c r="I51"/>
  <c r="N51" s="1"/>
  <c r="M58"/>
  <c r="N59" i="76"/>
  <c r="Z35" i="33"/>
  <c r="I35" i="99"/>
  <c r="N35" s="1"/>
  <c r="M35"/>
  <c r="AA47" i="33"/>
  <c r="I47" i="98"/>
  <c r="N47" s="1"/>
  <c r="M47"/>
  <c r="AA62" i="33"/>
  <c r="M62" i="98"/>
  <c r="I62"/>
  <c r="N62" s="1"/>
  <c r="J9" i="76"/>
  <c r="K9" s="1"/>
  <c r="M9" s="1"/>
  <c r="N21"/>
  <c r="T20" i="67"/>
  <c r="W20"/>
  <c r="T45"/>
  <c r="W45"/>
  <c r="T70"/>
  <c r="W70"/>
  <c r="N38" i="76"/>
  <c r="AQ68" i="1"/>
  <c r="AA24" i="33"/>
  <c r="I24" i="98"/>
  <c r="N24" s="1"/>
  <c r="M24"/>
  <c r="W63" i="67"/>
  <c r="T63"/>
  <c r="N49" i="76"/>
  <c r="G26" i="81"/>
  <c r="H26"/>
  <c r="E16" i="99"/>
  <c r="H16" s="1"/>
  <c r="E16" i="98"/>
  <c r="H16" s="1"/>
  <c r="D16" i="67"/>
  <c r="E16" s="1"/>
  <c r="F16" s="1"/>
  <c r="G16" s="1"/>
  <c r="J16" s="1"/>
  <c r="K16" s="1"/>
  <c r="N44" i="76"/>
  <c r="G57" i="81"/>
  <c r="H57"/>
  <c r="Z41" i="33"/>
  <c r="I41" i="99"/>
  <c r="N41" s="1"/>
  <c r="M41"/>
  <c r="W75" i="67"/>
  <c r="T75"/>
  <c r="W65"/>
  <c r="T65"/>
  <c r="W21"/>
  <c r="T21"/>
  <c r="Z58" i="33"/>
  <c r="I58" i="99"/>
  <c r="N58" s="1"/>
  <c r="M58"/>
  <c r="AA33" i="33"/>
  <c r="I33" i="98"/>
  <c r="N33" s="1"/>
  <c r="M33"/>
  <c r="AQ13" i="1"/>
  <c r="AV13"/>
  <c r="AX13"/>
  <c r="N30" i="76"/>
  <c r="T13" i="67"/>
  <c r="W13"/>
  <c r="AQ72" i="1"/>
  <c r="AV72"/>
  <c r="AX72"/>
  <c r="W52" i="67"/>
  <c r="T52"/>
  <c r="N62" i="76"/>
  <c r="N34"/>
  <c r="T11" i="67"/>
  <c r="W11"/>
  <c r="AA30" i="33"/>
  <c r="I30" i="98"/>
  <c r="N30" s="1"/>
  <c r="M30"/>
  <c r="Z46" i="33"/>
  <c r="M46" i="99"/>
  <c r="I46"/>
  <c r="N46" s="1"/>
  <c r="N46" i="76"/>
  <c r="Z68" i="33"/>
  <c r="M68" i="99"/>
  <c r="I68"/>
  <c r="N68" s="1"/>
  <c r="J7" i="76"/>
  <c r="K7" s="1"/>
  <c r="M7" s="1"/>
  <c r="N69"/>
  <c r="Z22" i="33"/>
  <c r="I22" i="99"/>
  <c r="N22" s="1"/>
  <c r="M22"/>
  <c r="H57" i="85"/>
  <c r="I57" s="1"/>
  <c r="K57" s="1"/>
  <c r="Z14" i="33"/>
  <c r="I14" i="99"/>
  <c r="N14" s="1"/>
  <c r="M14"/>
  <c r="AA49" i="33"/>
  <c r="M49" i="98"/>
  <c r="I49"/>
  <c r="N49" s="1"/>
  <c r="H44" i="85"/>
  <c r="I44" s="1"/>
  <c r="K44" s="1"/>
  <c r="AA53" i="33"/>
  <c r="M53" i="98"/>
  <c r="I53"/>
  <c r="N53" s="1"/>
  <c r="AX49" i="1"/>
  <c r="AV49"/>
  <c r="J68" i="76"/>
  <c r="K68" s="1"/>
  <c r="M68" s="1"/>
  <c r="Z59" i="33"/>
  <c r="I59" i="99"/>
  <c r="N59" s="1"/>
  <c r="M59"/>
  <c r="Z72" i="33"/>
  <c r="M72" i="99"/>
  <c r="I72"/>
  <c r="N72" s="1"/>
  <c r="W73" i="67"/>
  <c r="T73"/>
  <c r="N56" i="76"/>
  <c r="AV62" i="1"/>
  <c r="AX62"/>
  <c r="AA28" i="33"/>
  <c r="M28" i="98"/>
  <c r="I28"/>
  <c r="N28" s="1"/>
  <c r="T74" i="67"/>
  <c r="W74"/>
  <c r="AQ70" i="1"/>
  <c r="AV70"/>
  <c r="AX70"/>
  <c r="L15" i="99"/>
  <c r="AB14" i="72" s="1"/>
  <c r="F14" i="100"/>
  <c r="AB6" i="72"/>
  <c r="K76" i="99"/>
  <c r="K15" i="98"/>
  <c r="M42"/>
  <c r="I42"/>
  <c r="N42" s="1"/>
  <c r="I23"/>
  <c r="M23"/>
  <c r="I23" i="90"/>
  <c r="Y23" i="33" s="1"/>
  <c r="D15" i="86"/>
  <c r="E15" s="1"/>
  <c r="G15" s="1"/>
  <c r="D15" i="87"/>
  <c r="E15" s="1"/>
  <c r="G15" s="1"/>
  <c r="D15" i="89"/>
  <c r="E15" s="1"/>
  <c r="G15" s="1"/>
  <c r="D15" i="92"/>
  <c r="E15" s="1"/>
  <c r="G15" s="1"/>
  <c r="D15" i="88"/>
  <c r="E15" s="1"/>
  <c r="G15" s="1"/>
  <c r="F15" i="90"/>
  <c r="G15" s="1"/>
  <c r="D15" i="91"/>
  <c r="E15" s="1"/>
  <c r="G15" s="1"/>
  <c r="D15" i="85"/>
  <c r="E15" s="1"/>
  <c r="G15" s="1"/>
  <c r="R15" i="33" s="1"/>
  <c r="H23" i="85"/>
  <c r="I23" s="1"/>
  <c r="K23" s="1"/>
  <c r="AD75" i="72"/>
  <c r="O16" i="46"/>
  <c r="C15" i="33"/>
  <c r="AP16" i="1"/>
  <c r="BA16"/>
  <c r="AW16"/>
  <c r="D12" i="80"/>
  <c r="E12" s="1"/>
  <c r="H12" s="1"/>
  <c r="D28" i="46"/>
  <c r="E28" s="1"/>
  <c r="D12" i="76"/>
  <c r="E12" s="1"/>
  <c r="H12" s="1"/>
  <c r="D29" i="46"/>
  <c r="E29" s="1"/>
  <c r="H29" s="1"/>
  <c r="D26"/>
  <c r="E26" s="1"/>
  <c r="H26" s="1"/>
  <c r="J20" i="80"/>
  <c r="K20" s="1"/>
  <c r="M20" s="1"/>
  <c r="J20" i="76"/>
  <c r="K20" s="1"/>
  <c r="M20" s="1"/>
  <c r="AB75" i="100"/>
  <c r="P76" i="67"/>
  <c r="BG8" i="1"/>
  <c r="BG77" s="1"/>
  <c r="BE77"/>
  <c r="J17" i="46"/>
  <c r="I17"/>
  <c r="H10"/>
  <c r="E18"/>
  <c r="Q40" i="101" l="1"/>
  <c r="P43"/>
  <c r="R43" s="1"/>
  <c r="O43"/>
  <c r="Q43" s="1"/>
  <c r="H40"/>
  <c r="E33"/>
  <c r="H33" s="1"/>
  <c r="E16"/>
  <c r="H16" s="1"/>
  <c r="AB45" i="33"/>
  <c r="AB39"/>
  <c r="AC39" s="1"/>
  <c r="AI39" s="1"/>
  <c r="AJ39" s="1"/>
  <c r="H43" i="101"/>
  <c r="D19"/>
  <c r="I19" s="1"/>
  <c r="K19" s="1"/>
  <c r="L19" s="1"/>
  <c r="AH15" i="33"/>
  <c r="AD38"/>
  <c r="AI38"/>
  <c r="AJ38" s="1"/>
  <c r="AD40"/>
  <c r="C39" i="72" s="1"/>
  <c r="AI40" i="33"/>
  <c r="AJ40" s="1"/>
  <c r="AF39"/>
  <c r="AD26"/>
  <c r="C25" i="72" s="1"/>
  <c r="AI26" i="33"/>
  <c r="AJ26" s="1"/>
  <c r="AC21"/>
  <c r="AI21" s="1"/>
  <c r="AJ21" s="1"/>
  <c r="AA14"/>
  <c r="T41" i="67"/>
  <c r="T34"/>
  <c r="AD39" i="33"/>
  <c r="C38" i="72" s="1"/>
  <c r="AC36" i="33"/>
  <c r="AC45"/>
  <c r="I14" i="98"/>
  <c r="N14" s="1"/>
  <c r="AC25" i="33"/>
  <c r="AC51"/>
  <c r="I12" i="76"/>
  <c r="P15" i="33" s="1"/>
  <c r="T37" i="67"/>
  <c r="T43"/>
  <c r="AC13" i="33"/>
  <c r="AC70"/>
  <c r="AC46"/>
  <c r="AC58"/>
  <c r="AC52"/>
  <c r="AC18"/>
  <c r="T64" i="67"/>
  <c r="I12" i="80"/>
  <c r="Q15" i="33" s="1"/>
  <c r="AC68"/>
  <c r="AC66"/>
  <c r="T72" i="67"/>
  <c r="AC59" i="33"/>
  <c r="AC74"/>
  <c r="R12" i="101"/>
  <c r="S12" s="1"/>
  <c r="R40"/>
  <c r="R24"/>
  <c r="S24" s="1"/>
  <c r="R34"/>
  <c r="S34" s="1"/>
  <c r="R28"/>
  <c r="S28" s="1"/>
  <c r="R22"/>
  <c r="S22" s="1"/>
  <c r="R26"/>
  <c r="S26" s="1"/>
  <c r="R32"/>
  <c r="S32" s="1"/>
  <c r="R74"/>
  <c r="S74" s="1"/>
  <c r="R63"/>
  <c r="S63" s="1"/>
  <c r="R57"/>
  <c r="S57" s="1"/>
  <c r="R78"/>
  <c r="S78" s="1"/>
  <c r="R62"/>
  <c r="S62" s="1"/>
  <c r="R69"/>
  <c r="S69" s="1"/>
  <c r="R58"/>
  <c r="S58" s="1"/>
  <c r="R59"/>
  <c r="S59" s="1"/>
  <c r="R67"/>
  <c r="S67" s="1"/>
  <c r="R50"/>
  <c r="S50" s="1"/>
  <c r="R77"/>
  <c r="S77" s="1"/>
  <c r="R72"/>
  <c r="S72" s="1"/>
  <c r="R70"/>
  <c r="S70" s="1"/>
  <c r="R56"/>
  <c r="S56" s="1"/>
  <c r="R55"/>
  <c r="S55" s="1"/>
  <c r="R79"/>
  <c r="S79" s="1"/>
  <c r="R66"/>
  <c r="S66" s="1"/>
  <c r="R51"/>
  <c r="S51" s="1"/>
  <c r="R53"/>
  <c r="S53" s="1"/>
  <c r="R27"/>
  <c r="S27" s="1"/>
  <c r="R49"/>
  <c r="S49" s="1"/>
  <c r="R15"/>
  <c r="S15" s="1"/>
  <c r="R31"/>
  <c r="S31" s="1"/>
  <c r="R17"/>
  <c r="S17" s="1"/>
  <c r="R29"/>
  <c r="S29" s="1"/>
  <c r="R25"/>
  <c r="S25" s="1"/>
  <c r="R35"/>
  <c r="S35" s="1"/>
  <c r="R39"/>
  <c r="S39" s="1"/>
  <c r="R37"/>
  <c r="S37" s="1"/>
  <c r="AB50" i="33"/>
  <c r="AC50" s="1"/>
  <c r="AI50" s="1"/>
  <c r="AJ50" s="1"/>
  <c r="H54" i="101"/>
  <c r="I76"/>
  <c r="K76" s="1"/>
  <c r="L76" s="1"/>
  <c r="E76"/>
  <c r="AB69" i="33"/>
  <c r="H73" i="101"/>
  <c r="AB56" i="33"/>
  <c r="H60" i="101"/>
  <c r="AB71" i="33"/>
  <c r="H75" i="101"/>
  <c r="AB67" i="33"/>
  <c r="H71" i="101"/>
  <c r="P65"/>
  <c r="O65"/>
  <c r="Q65" s="1"/>
  <c r="P52"/>
  <c r="O52"/>
  <c r="Q52" s="1"/>
  <c r="P61"/>
  <c r="O61"/>
  <c r="Q61" s="1"/>
  <c r="P48"/>
  <c r="O48"/>
  <c r="Q48" s="1"/>
  <c r="P54"/>
  <c r="O54"/>
  <c r="Q54" s="1"/>
  <c r="P73"/>
  <c r="O73"/>
  <c r="Q73" s="1"/>
  <c r="P60"/>
  <c r="O60"/>
  <c r="Q60" s="1"/>
  <c r="P75"/>
  <c r="O75"/>
  <c r="Q75" s="1"/>
  <c r="P71"/>
  <c r="O71"/>
  <c r="Q71" s="1"/>
  <c r="I68"/>
  <c r="K68" s="1"/>
  <c r="L68" s="1"/>
  <c r="E68"/>
  <c r="AB61" i="33"/>
  <c r="H65" i="101"/>
  <c r="AB48" i="33"/>
  <c r="H52" i="101"/>
  <c r="AB57" i="33"/>
  <c r="H61" i="101"/>
  <c r="AB44" i="33"/>
  <c r="H48" i="101"/>
  <c r="I47"/>
  <c r="K47" s="1"/>
  <c r="L47" s="1"/>
  <c r="E47"/>
  <c r="E19"/>
  <c r="AB17" i="33"/>
  <c r="AC17" s="1"/>
  <c r="AI17" s="1"/>
  <c r="AJ17" s="1"/>
  <c r="H21" i="101"/>
  <c r="I41"/>
  <c r="K41" s="1"/>
  <c r="L41" s="1"/>
  <c r="E41"/>
  <c r="I18"/>
  <c r="K18" s="1"/>
  <c r="L18" s="1"/>
  <c r="E18"/>
  <c r="AB32" i="33"/>
  <c r="H36" i="101"/>
  <c r="AB16" i="33"/>
  <c r="H20" i="101"/>
  <c r="J9" i="67"/>
  <c r="K9" s="1"/>
  <c r="W9" s="1"/>
  <c r="T9"/>
  <c r="O14" i="101"/>
  <c r="Q14" s="1"/>
  <c r="P14"/>
  <c r="P33"/>
  <c r="O33"/>
  <c r="P23"/>
  <c r="O23"/>
  <c r="Q23" s="1"/>
  <c r="O16"/>
  <c r="P16"/>
  <c r="P21"/>
  <c r="O21"/>
  <c r="Q21" s="1"/>
  <c r="O36"/>
  <c r="Q36" s="1"/>
  <c r="P36"/>
  <c r="O20"/>
  <c r="Q20" s="1"/>
  <c r="P20"/>
  <c r="I45"/>
  <c r="K45" s="1"/>
  <c r="L45" s="1"/>
  <c r="E45"/>
  <c r="I38"/>
  <c r="K38" s="1"/>
  <c r="L38" s="1"/>
  <c r="E38"/>
  <c r="I13"/>
  <c r="K13" s="1"/>
  <c r="L13" s="1"/>
  <c r="E13"/>
  <c r="AB10" i="33"/>
  <c r="H14" i="101"/>
  <c r="AB29" i="33"/>
  <c r="AB19"/>
  <c r="H23" i="101"/>
  <c r="H40" i="31"/>
  <c r="E69"/>
  <c r="E70" s="1"/>
  <c r="E72" s="1"/>
  <c r="H46" i="101"/>
  <c r="AC73" i="33"/>
  <c r="AC65"/>
  <c r="AC75"/>
  <c r="AI75" s="1"/>
  <c r="AJ75" s="1"/>
  <c r="M69" i="116"/>
  <c r="M10" i="115"/>
  <c r="M48" i="114"/>
  <c r="M69"/>
  <c r="M29" i="116"/>
  <c r="M19" i="115"/>
  <c r="M43" i="116"/>
  <c r="AC63" i="33"/>
  <c r="AC54"/>
  <c r="AI54" s="1"/>
  <c r="AJ54" s="1"/>
  <c r="M71" i="116"/>
  <c r="M69" i="118"/>
  <c r="M44"/>
  <c r="M29" i="114"/>
  <c r="M61"/>
  <c r="M27" i="116"/>
  <c r="M30"/>
  <c r="AC53" i="33"/>
  <c r="M23" i="118"/>
  <c r="AC62" i="33"/>
  <c r="AI62" s="1"/>
  <c r="AJ62" s="1"/>
  <c r="M67" i="116"/>
  <c r="M48" i="115"/>
  <c r="M44"/>
  <c r="M61" i="116"/>
  <c r="M31"/>
  <c r="M22" i="115"/>
  <c r="M23" i="116"/>
  <c r="M10" i="114"/>
  <c r="M19" i="118"/>
  <c r="M64" i="115"/>
  <c r="M67" i="117"/>
  <c r="M48" i="116"/>
  <c r="M69" i="115"/>
  <c r="M29" i="118"/>
  <c r="M32" i="116"/>
  <c r="M31" i="115"/>
  <c r="M22" i="114"/>
  <c r="M23"/>
  <c r="M42" i="117"/>
  <c r="M10" i="116"/>
  <c r="M56" i="115"/>
  <c r="M20"/>
  <c r="M43"/>
  <c r="M9" i="118"/>
  <c r="M9" i="114"/>
  <c r="M34" i="115"/>
  <c r="M30"/>
  <c r="AC60" i="33"/>
  <c r="AC27"/>
  <c r="AC35"/>
  <c r="AC28"/>
  <c r="AC30"/>
  <c r="AC11"/>
  <c r="AC49"/>
  <c r="AC31"/>
  <c r="AC22"/>
  <c r="AC20"/>
  <c r="J12" i="80"/>
  <c r="K12" s="1"/>
  <c r="M12" s="1"/>
  <c r="N12" s="1"/>
  <c r="H15" i="92"/>
  <c r="I15" s="1"/>
  <c r="K15" s="1"/>
  <c r="L15" s="1"/>
  <c r="X15" i="33"/>
  <c r="H15" i="87"/>
  <c r="I15" s="1"/>
  <c r="K15" s="1"/>
  <c r="L15" s="1"/>
  <c r="T15" i="33"/>
  <c r="I15" i="116"/>
  <c r="J15" s="1"/>
  <c r="L15" s="1"/>
  <c r="M15" i="33"/>
  <c r="M60" i="116"/>
  <c r="AC24" i="33"/>
  <c r="AC55"/>
  <c r="H15" i="91"/>
  <c r="I15" s="1"/>
  <c r="K15" s="1"/>
  <c r="L15" s="1"/>
  <c r="W15" i="33"/>
  <c r="H15" i="88"/>
  <c r="I15" s="1"/>
  <c r="K15" s="1"/>
  <c r="L15" s="1"/>
  <c r="U15" i="33"/>
  <c r="H15" i="89"/>
  <c r="I15" s="1"/>
  <c r="K15" s="1"/>
  <c r="L15" s="1"/>
  <c r="V15" i="33"/>
  <c r="H15" i="86"/>
  <c r="I15" s="1"/>
  <c r="K15" s="1"/>
  <c r="L15" s="1"/>
  <c r="S15" i="33"/>
  <c r="I15" i="115"/>
  <c r="J15" s="1"/>
  <c r="L15" s="1"/>
  <c r="L15" i="33"/>
  <c r="I15" i="118"/>
  <c r="J15" s="1"/>
  <c r="L15" s="1"/>
  <c r="O15" i="33"/>
  <c r="M60" i="117"/>
  <c r="M60" i="114"/>
  <c r="AC8" i="33"/>
  <c r="AI8" s="1"/>
  <c r="AJ8" s="1"/>
  <c r="AC33"/>
  <c r="AI33" s="1"/>
  <c r="AJ33" s="1"/>
  <c r="AC47"/>
  <c r="M71" i="113"/>
  <c r="M48"/>
  <c r="M69"/>
  <c r="M44" i="117"/>
  <c r="M57" i="113"/>
  <c r="M29"/>
  <c r="M31" i="117"/>
  <c r="M30" i="114"/>
  <c r="M56" i="113"/>
  <c r="M12" i="114"/>
  <c r="M32" i="117"/>
  <c r="M22" i="113"/>
  <c r="M23"/>
  <c r="M42" i="118"/>
  <c r="M56" i="120"/>
  <c r="M43" i="117"/>
  <c r="M28"/>
  <c r="M9"/>
  <c r="M34"/>
  <c r="M48"/>
  <c r="M69" i="119"/>
  <c r="M44"/>
  <c r="M57" i="117"/>
  <c r="M29"/>
  <c r="M61" i="113"/>
  <c r="M42"/>
  <c r="M10"/>
  <c r="M16" i="118"/>
  <c r="M12" i="117"/>
  <c r="M57" i="120"/>
  <c r="M53"/>
  <c r="M23" i="117"/>
  <c r="M10" i="118"/>
  <c r="M20" i="114"/>
  <c r="M43" i="113"/>
  <c r="M28" i="114"/>
  <c r="M9" i="113"/>
  <c r="M44" i="116"/>
  <c r="M44" i="113"/>
  <c r="M12"/>
  <c r="M32" i="118"/>
  <c r="M32" i="115"/>
  <c r="M32" i="113"/>
  <c r="I15" i="114"/>
  <c r="J15" s="1"/>
  <c r="L15" s="1"/>
  <c r="I15" i="119"/>
  <c r="J15" s="1"/>
  <c r="L15" s="1"/>
  <c r="M15" i="118"/>
  <c r="M48" i="120"/>
  <c r="M42" i="115"/>
  <c r="M42" i="116"/>
  <c r="M30" i="118"/>
  <c r="M30" i="113"/>
  <c r="M16" i="117"/>
  <c r="M16" i="114"/>
  <c r="M20" i="119"/>
  <c r="M20" i="117"/>
  <c r="D7" i="118"/>
  <c r="E7" s="1"/>
  <c r="D7" i="120"/>
  <c r="E7" s="1"/>
  <c r="D7" i="119"/>
  <c r="E7" s="1"/>
  <c r="D7" i="116"/>
  <c r="E7" s="1"/>
  <c r="D7" i="115"/>
  <c r="E7" s="1"/>
  <c r="D7" i="114"/>
  <c r="E7" s="1"/>
  <c r="D7" i="117"/>
  <c r="E7" s="1"/>
  <c r="D7" i="113"/>
  <c r="E7" s="1"/>
  <c r="M67"/>
  <c r="M71" i="119"/>
  <c r="M31" i="113"/>
  <c r="M53" i="117"/>
  <c r="M53" i="113"/>
  <c r="M27" i="117"/>
  <c r="M27" i="113"/>
  <c r="M22" i="120"/>
  <c r="M22" i="117"/>
  <c r="M30" i="119"/>
  <c r="M30" i="117"/>
  <c r="M10"/>
  <c r="M19"/>
  <c r="M19" i="113"/>
  <c r="M56" i="119"/>
  <c r="M56" i="117"/>
  <c r="M16" i="113"/>
  <c r="M20" i="118"/>
  <c r="M20" i="113"/>
  <c r="M43" i="114"/>
  <c r="M28" i="118"/>
  <c r="M28" i="113"/>
  <c r="M64" i="118"/>
  <c r="M34"/>
  <c r="M34" i="113"/>
  <c r="I15"/>
  <c r="J15" s="1"/>
  <c r="L15" s="1"/>
  <c r="I15" i="117"/>
  <c r="J15" s="1"/>
  <c r="L15" s="1"/>
  <c r="M15" i="116"/>
  <c r="M15" i="120"/>
  <c r="M12" i="118"/>
  <c r="M57"/>
  <c r="M32" i="114"/>
  <c r="M61" i="118"/>
  <c r="M31" i="114"/>
  <c r="M53" i="118"/>
  <c r="M27" i="114"/>
  <c r="M22" i="118"/>
  <c r="M19" i="114"/>
  <c r="M56" i="118"/>
  <c r="M64" i="113"/>
  <c r="M34" i="114"/>
  <c r="AF75" i="33"/>
  <c r="AF38"/>
  <c r="C37" i="100" s="1"/>
  <c r="AF33" i="33"/>
  <c r="L44" i="85"/>
  <c r="L29"/>
  <c r="L22" i="91"/>
  <c r="L20" i="86"/>
  <c r="L53" i="92"/>
  <c r="L64" i="88"/>
  <c r="L31"/>
  <c r="L53" i="89"/>
  <c r="L20" i="88"/>
  <c r="L57" i="85"/>
  <c r="L28"/>
  <c r="L20" i="92"/>
  <c r="L28" i="86"/>
  <c r="L10"/>
  <c r="L22" i="88"/>
  <c r="L28" i="87"/>
  <c r="L22" i="86"/>
  <c r="L20" i="91"/>
  <c r="L43" i="92"/>
  <c r="L28" i="91"/>
  <c r="L53" i="88"/>
  <c r="L20" i="89"/>
  <c r="L16" i="85"/>
  <c r="L64"/>
  <c r="L64" i="92"/>
  <c r="L64" i="86"/>
  <c r="L10" i="92"/>
  <c r="L27" i="89"/>
  <c r="L23" i="85"/>
  <c r="L19"/>
  <c r="L48"/>
  <c r="L67"/>
  <c r="L69"/>
  <c r="L10"/>
  <c r="L53" i="86"/>
  <c r="L27"/>
  <c r="L27" i="88"/>
  <c r="L53" i="91"/>
  <c r="L28" i="92"/>
  <c r="L31" i="89"/>
  <c r="L22" i="87"/>
  <c r="L31" i="92"/>
  <c r="L64" i="91"/>
  <c r="L28" i="89"/>
  <c r="L27" i="92"/>
  <c r="L32" i="85"/>
  <c r="L9"/>
  <c r="L64" i="87"/>
  <c r="L71" i="85"/>
  <c r="L56"/>
  <c r="L61"/>
  <c r="L22"/>
  <c r="L43" i="91"/>
  <c r="L27" i="87"/>
  <c r="L43" i="88"/>
  <c r="L53" i="87"/>
  <c r="L31" i="91"/>
  <c r="L43" i="86"/>
  <c r="L20" i="87"/>
  <c r="L43" i="89"/>
  <c r="L31" i="87"/>
  <c r="L22" i="89"/>
  <c r="L27" i="91"/>
  <c r="L31" i="86"/>
  <c r="K46" i="101"/>
  <c r="L46" s="1"/>
  <c r="M16" i="90"/>
  <c r="N16" s="1"/>
  <c r="M18"/>
  <c r="N18" s="1"/>
  <c r="M28"/>
  <c r="N28" s="1"/>
  <c r="M27"/>
  <c r="N27" s="1"/>
  <c r="M22"/>
  <c r="N22" s="1"/>
  <c r="M32"/>
  <c r="N32" s="1"/>
  <c r="R76" i="67"/>
  <c r="S7"/>
  <c r="Y6" i="72" s="1"/>
  <c r="Y75" s="1"/>
  <c r="T14" i="67"/>
  <c r="J14"/>
  <c r="K14" s="1"/>
  <c r="W14" s="1"/>
  <c r="M8" i="90"/>
  <c r="N8" s="1"/>
  <c r="M29"/>
  <c r="N29" s="1"/>
  <c r="M68"/>
  <c r="N68" s="1"/>
  <c r="M31"/>
  <c r="N31" s="1"/>
  <c r="N6" i="76"/>
  <c r="J23" i="90"/>
  <c r="K10"/>
  <c r="K43"/>
  <c r="K64"/>
  <c r="K53"/>
  <c r="K20"/>
  <c r="O23" i="46"/>
  <c r="H37" i="81"/>
  <c r="AO8" i="1"/>
  <c r="AW8" s="1"/>
  <c r="AG87"/>
  <c r="N50" i="76"/>
  <c r="AF77" i="1"/>
  <c r="E15" i="99"/>
  <c r="H15" s="1"/>
  <c r="Z15" i="33" s="1"/>
  <c r="E38" i="81"/>
  <c r="G38" s="1"/>
  <c r="AF26" i="33"/>
  <c r="C25" i="100" s="1"/>
  <c r="AG77" i="1"/>
  <c r="AH8"/>
  <c r="AF40" i="33"/>
  <c r="D41" i="96" s="1"/>
  <c r="L76" i="99"/>
  <c r="N7" i="76"/>
  <c r="AA16" i="33"/>
  <c r="M16" i="98"/>
  <c r="I16"/>
  <c r="N16" s="1"/>
  <c r="Z10" i="33"/>
  <c r="M10" i="99"/>
  <c r="I10"/>
  <c r="N10" s="1"/>
  <c r="AA69" i="33"/>
  <c r="I69" i="98"/>
  <c r="N69" s="1"/>
  <c r="M69"/>
  <c r="N16" i="76"/>
  <c r="Z29" i="33"/>
  <c r="M29" i="99"/>
  <c r="I29"/>
  <c r="N29" s="1"/>
  <c r="AA19" i="33"/>
  <c r="I19" i="98"/>
  <c r="N19" s="1"/>
  <c r="M19"/>
  <c r="Z71" i="33"/>
  <c r="I71" i="99"/>
  <c r="N71" s="1"/>
  <c r="M71"/>
  <c r="T57" i="67"/>
  <c r="W57"/>
  <c r="Z56" i="33"/>
  <c r="M56" i="99"/>
  <c r="I56"/>
  <c r="N56" s="1"/>
  <c r="Z67" i="33"/>
  <c r="I67" i="99"/>
  <c r="N67" s="1"/>
  <c r="M67"/>
  <c r="N13" i="76"/>
  <c r="W44" i="67"/>
  <c r="T44"/>
  <c r="Z16" i="33"/>
  <c r="I16" i="99"/>
  <c r="N16" s="1"/>
  <c r="M16"/>
  <c r="N66" i="76"/>
  <c r="Z69" i="33"/>
  <c r="I69" i="99"/>
  <c r="N69" s="1"/>
  <c r="M69"/>
  <c r="T61" i="67"/>
  <c r="W61"/>
  <c r="N54" i="76"/>
  <c r="W32" i="67"/>
  <c r="T32"/>
  <c r="Z19" i="33"/>
  <c r="M19" i="99"/>
  <c r="I19"/>
  <c r="N19" s="1"/>
  <c r="N45" i="76"/>
  <c r="T12" i="67"/>
  <c r="W12"/>
  <c r="AA57" i="33"/>
  <c r="I57" i="98"/>
  <c r="N57" s="1"/>
  <c r="M57"/>
  <c r="W48" i="67"/>
  <c r="T48"/>
  <c r="AA44" i="33"/>
  <c r="I44" i="98"/>
  <c r="N44" s="1"/>
  <c r="M44"/>
  <c r="N58" i="76"/>
  <c r="N68"/>
  <c r="N9"/>
  <c r="AA10" i="33"/>
  <c r="I10" i="98"/>
  <c r="N10" s="1"/>
  <c r="M10"/>
  <c r="N64" i="76"/>
  <c r="AA61" i="33"/>
  <c r="I61" i="98"/>
  <c r="N61" s="1"/>
  <c r="M61"/>
  <c r="W29" i="67"/>
  <c r="T29"/>
  <c r="AA32" i="33"/>
  <c r="I32" i="98"/>
  <c r="N32" s="1"/>
  <c r="M32"/>
  <c r="T71" i="67"/>
  <c r="W71"/>
  <c r="AA12" i="33"/>
  <c r="I12" i="98"/>
  <c r="N12" s="1"/>
  <c r="M12"/>
  <c r="Z57" i="33"/>
  <c r="M57" i="99"/>
  <c r="I57"/>
  <c r="N57" s="1"/>
  <c r="AA48" i="33"/>
  <c r="M48" i="98"/>
  <c r="I48"/>
  <c r="N48" s="1"/>
  <c r="N53" i="76"/>
  <c r="T56" i="67"/>
  <c r="W56"/>
  <c r="T67"/>
  <c r="W67"/>
  <c r="Z44" i="33"/>
  <c r="I44" i="99"/>
  <c r="N44" s="1"/>
  <c r="M44"/>
  <c r="W16" i="67"/>
  <c r="T16"/>
  <c r="W10"/>
  <c r="T10"/>
  <c r="T69"/>
  <c r="W69"/>
  <c r="Z61" i="33"/>
  <c r="M61" i="99"/>
  <c r="I61"/>
  <c r="N61" s="1"/>
  <c r="AA29" i="33"/>
  <c r="I29" i="98"/>
  <c r="N29" s="1"/>
  <c r="M29"/>
  <c r="Z32" i="33"/>
  <c r="I32" i="99"/>
  <c r="N32" s="1"/>
  <c r="M32"/>
  <c r="T19" i="67"/>
  <c r="W19"/>
  <c r="AA71" i="33"/>
  <c r="M71" i="98"/>
  <c r="I71"/>
  <c r="N71" s="1"/>
  <c r="Z12" i="33"/>
  <c r="I12" i="99"/>
  <c r="N12" s="1"/>
  <c r="M12"/>
  <c r="N26" i="76"/>
  <c r="Z48" i="33"/>
  <c r="M48" i="99"/>
  <c r="I48"/>
  <c r="N48" s="1"/>
  <c r="AA56" i="33"/>
  <c r="I56" i="98"/>
  <c r="N56" s="1"/>
  <c r="M56"/>
  <c r="N41" i="76"/>
  <c r="N29"/>
  <c r="AA67" i="33"/>
  <c r="M67" i="98"/>
  <c r="I67"/>
  <c r="N67" s="1"/>
  <c r="D40" i="96"/>
  <c r="C38" i="100"/>
  <c r="L15" i="98"/>
  <c r="AC14" i="72" s="1"/>
  <c r="G14" i="100"/>
  <c r="F75"/>
  <c r="C37" i="72"/>
  <c r="I15" i="90"/>
  <c r="Y15" i="33" s="1"/>
  <c r="E15" i="98"/>
  <c r="N23"/>
  <c r="AB75" i="72"/>
  <c r="AD21" i="33"/>
  <c r="AF21"/>
  <c r="H15" i="85"/>
  <c r="I15" s="1"/>
  <c r="K15" s="1"/>
  <c r="AD36" i="33"/>
  <c r="D15" i="67"/>
  <c r="E15" s="1"/>
  <c r="F15" s="1"/>
  <c r="G15" s="1"/>
  <c r="J12" i="76"/>
  <c r="K12" s="1"/>
  <c r="M12" s="1"/>
  <c r="I29" i="46"/>
  <c r="J29"/>
  <c r="J30" s="1"/>
  <c r="AQ16" i="1"/>
  <c r="AX16"/>
  <c r="AV16"/>
  <c r="H28" i="46"/>
  <c r="E30"/>
  <c r="E31" s="1"/>
  <c r="N20" i="76"/>
  <c r="N20" i="80"/>
  <c r="L13" i="46"/>
  <c r="N13" s="1"/>
  <c r="L12"/>
  <c r="N12" s="1"/>
  <c r="L14"/>
  <c r="N14" s="1"/>
  <c r="L11"/>
  <c r="N11" s="1"/>
  <c r="AK77" i="1"/>
  <c r="AL77" s="1"/>
  <c r="E19" i="46"/>
  <c r="K17"/>
  <c r="L17" s="1"/>
  <c r="N17" s="1"/>
  <c r="H18"/>
  <c r="E56" i="81" s="1"/>
  <c r="J18" i="46"/>
  <c r="J38" s="1"/>
  <c r="AB12" i="33" l="1"/>
  <c r="Q16" i="101"/>
  <c r="S40"/>
  <c r="Q33"/>
  <c r="S43"/>
  <c r="AD55" i="33"/>
  <c r="C54" i="72" s="1"/>
  <c r="AI55" i="33"/>
  <c r="AJ55" s="1"/>
  <c r="AF20"/>
  <c r="AI20"/>
  <c r="AJ20" s="1"/>
  <c r="AF31"/>
  <c r="AI31"/>
  <c r="AJ31" s="1"/>
  <c r="AF11"/>
  <c r="AI11"/>
  <c r="AJ11" s="1"/>
  <c r="AD28"/>
  <c r="AI28"/>
  <c r="AJ28" s="1"/>
  <c r="AD27"/>
  <c r="C26" i="72" s="1"/>
  <c r="AI27" i="33"/>
  <c r="AJ27" s="1"/>
  <c r="AD63"/>
  <c r="C62" i="72" s="1"/>
  <c r="AI63" i="33"/>
  <c r="AJ63" s="1"/>
  <c r="AD73"/>
  <c r="C72" i="72" s="1"/>
  <c r="AI73" i="33"/>
  <c r="AJ73" s="1"/>
  <c r="AD59"/>
  <c r="C58" i="72" s="1"/>
  <c r="AI59" i="33"/>
  <c r="AJ59" s="1"/>
  <c r="AD66"/>
  <c r="C65" i="72" s="1"/>
  <c r="AI66" i="33"/>
  <c r="AJ66" s="1"/>
  <c r="AF18"/>
  <c r="AI18"/>
  <c r="AJ18" s="1"/>
  <c r="AF58"/>
  <c r="AI58"/>
  <c r="AJ58" s="1"/>
  <c r="AD70"/>
  <c r="AI70"/>
  <c r="AJ70" s="1"/>
  <c r="AD25"/>
  <c r="AI25"/>
  <c r="AJ25" s="1"/>
  <c r="AF45"/>
  <c r="C44" i="100" s="1"/>
  <c r="AI45" i="33"/>
  <c r="AJ45" s="1"/>
  <c r="AD47"/>
  <c r="C46" i="72" s="1"/>
  <c r="AI47" i="33"/>
  <c r="AJ47" s="1"/>
  <c r="AF24"/>
  <c r="AI24"/>
  <c r="AJ24" s="1"/>
  <c r="AF22"/>
  <c r="AI22"/>
  <c r="AJ22" s="1"/>
  <c r="AF49"/>
  <c r="AI49"/>
  <c r="AJ49" s="1"/>
  <c r="AD30"/>
  <c r="C29" i="72" s="1"/>
  <c r="AI30" i="33"/>
  <c r="AJ30" s="1"/>
  <c r="AD35"/>
  <c r="C34" i="72" s="1"/>
  <c r="AI35" i="33"/>
  <c r="AJ35" s="1"/>
  <c r="AD60"/>
  <c r="C59" i="72" s="1"/>
  <c r="AI60" i="33"/>
  <c r="AJ60" s="1"/>
  <c r="AF53"/>
  <c r="AI53"/>
  <c r="AJ53" s="1"/>
  <c r="AF65"/>
  <c r="AI65"/>
  <c r="AJ65" s="1"/>
  <c r="AF74"/>
  <c r="AI74"/>
  <c r="AJ74" s="1"/>
  <c r="AD68"/>
  <c r="C67" i="72" s="1"/>
  <c r="AI68" i="33"/>
  <c r="AJ68" s="1"/>
  <c r="AD52"/>
  <c r="C51" i="72" s="1"/>
  <c r="AI52" i="33"/>
  <c r="AJ52" s="1"/>
  <c r="AD46"/>
  <c r="AI46"/>
  <c r="AJ46" s="1"/>
  <c r="AD13"/>
  <c r="C12" i="72" s="1"/>
  <c r="AI13" i="33"/>
  <c r="AJ13" s="1"/>
  <c r="AF51"/>
  <c r="D52" i="96" s="1"/>
  <c r="AI51" i="33"/>
  <c r="AJ51" s="1"/>
  <c r="AF36"/>
  <c r="AI36"/>
  <c r="AJ36" s="1"/>
  <c r="AF70"/>
  <c r="AD18"/>
  <c r="C17" i="72" s="1"/>
  <c r="AD45" i="33"/>
  <c r="C44" i="72" s="1"/>
  <c r="AD58" i="33"/>
  <c r="C57" i="72" s="1"/>
  <c r="AF25" i="33"/>
  <c r="C24" i="100" s="1"/>
  <c r="AF66" i="33"/>
  <c r="D67" i="96" s="1"/>
  <c r="E67" s="1"/>
  <c r="L67" s="1"/>
  <c r="AD51" i="33"/>
  <c r="C50" i="72" s="1"/>
  <c r="AF46" i="33"/>
  <c r="D47" i="96" s="1"/>
  <c r="AD22" i="33"/>
  <c r="C21" i="72" s="1"/>
  <c r="AC16" i="33"/>
  <c r="AI16" s="1"/>
  <c r="AJ16" s="1"/>
  <c r="AF13"/>
  <c r="D14" i="96" s="1"/>
  <c r="R20" i="101"/>
  <c r="S20" s="1"/>
  <c r="R36"/>
  <c r="S36" s="1"/>
  <c r="R16"/>
  <c r="S16" s="1"/>
  <c r="R14"/>
  <c r="S14" s="1"/>
  <c r="R71"/>
  <c r="S71" s="1"/>
  <c r="R75"/>
  <c r="S75" s="1"/>
  <c r="R60"/>
  <c r="S60" s="1"/>
  <c r="R73"/>
  <c r="S73" s="1"/>
  <c r="R54"/>
  <c r="S54" s="1"/>
  <c r="R48"/>
  <c r="S48" s="1"/>
  <c r="R61"/>
  <c r="S61" s="1"/>
  <c r="R52"/>
  <c r="S52" s="1"/>
  <c r="R65"/>
  <c r="S65" s="1"/>
  <c r="R21"/>
  <c r="S21" s="1"/>
  <c r="R23"/>
  <c r="S23" s="1"/>
  <c r="R33"/>
  <c r="S33" s="1"/>
  <c r="P68"/>
  <c r="O68"/>
  <c r="Q68" s="1"/>
  <c r="P76"/>
  <c r="O76"/>
  <c r="Q76" s="1"/>
  <c r="AF50" i="33"/>
  <c r="AD50"/>
  <c r="C49" i="72" s="1"/>
  <c r="AB64" i="33"/>
  <c r="AC64" s="1"/>
  <c r="H68" i="101"/>
  <c r="AB72" i="33"/>
  <c r="AC72" s="1"/>
  <c r="H76" i="101"/>
  <c r="P47"/>
  <c r="O47"/>
  <c r="Q47" s="1"/>
  <c r="AB43" i="33"/>
  <c r="AC43" s="1"/>
  <c r="H47" i="101"/>
  <c r="P13"/>
  <c r="O13"/>
  <c r="Q13" s="1"/>
  <c r="O38"/>
  <c r="Q38" s="1"/>
  <c r="P38"/>
  <c r="P45"/>
  <c r="O45"/>
  <c r="Q45" s="1"/>
  <c r="O18"/>
  <c r="Q18" s="1"/>
  <c r="P18"/>
  <c r="P41"/>
  <c r="O41"/>
  <c r="Q41" s="1"/>
  <c r="AF17" i="33"/>
  <c r="AD17"/>
  <c r="C16" i="72" s="1"/>
  <c r="P19" i="101"/>
  <c r="O19"/>
  <c r="Q19" s="1"/>
  <c r="AB9" i="33"/>
  <c r="AC9" s="1"/>
  <c r="AI9" s="1"/>
  <c r="AJ9" s="1"/>
  <c r="H13" i="101"/>
  <c r="AB34" i="33"/>
  <c r="AC34" s="1"/>
  <c r="AI34" s="1"/>
  <c r="AJ34" s="1"/>
  <c r="H38" i="101"/>
  <c r="AB41" i="33"/>
  <c r="AC41" s="1"/>
  <c r="AI41" s="1"/>
  <c r="AJ41" s="1"/>
  <c r="H45" i="101"/>
  <c r="AB14" i="33"/>
  <c r="AC14" s="1"/>
  <c r="H18" i="101"/>
  <c r="AB37" i="33"/>
  <c r="AC37" s="1"/>
  <c r="H41" i="101"/>
  <c r="AB15" i="33"/>
  <c r="H19" i="101"/>
  <c r="J40" i="31"/>
  <c r="J69" s="1"/>
  <c r="J70" s="1"/>
  <c r="H69"/>
  <c r="H70" s="1"/>
  <c r="I42" i="33" s="1"/>
  <c r="AC42" s="1"/>
  <c r="AI42" s="1"/>
  <c r="AJ42" s="1"/>
  <c r="O46" i="101"/>
  <c r="P46"/>
  <c r="AC41" i="100" s="1"/>
  <c r="AC61" i="33"/>
  <c r="AC57"/>
  <c r="AC29"/>
  <c r="D39" i="96"/>
  <c r="F39" s="1"/>
  <c r="AF60" i="33"/>
  <c r="C59" i="100" s="1"/>
  <c r="AC44" i="33"/>
  <c r="AI44" s="1"/>
  <c r="AJ44" s="1"/>
  <c r="AC19"/>
  <c r="AC69"/>
  <c r="AC10"/>
  <c r="M15" i="115"/>
  <c r="AC48" i="33"/>
  <c r="AC12"/>
  <c r="AC32"/>
  <c r="AI32" s="1"/>
  <c r="AJ32" s="1"/>
  <c r="AC56"/>
  <c r="AC67"/>
  <c r="AC71"/>
  <c r="D46" i="96"/>
  <c r="F46" s="1"/>
  <c r="M15" i="117"/>
  <c r="M15" i="119"/>
  <c r="M15" i="113"/>
  <c r="H7"/>
  <c r="J7" i="33" s="1"/>
  <c r="J76" s="1"/>
  <c r="E76" i="113"/>
  <c r="E77" i="114"/>
  <c r="H7"/>
  <c r="K7" i="33" s="1"/>
  <c r="K76" s="1"/>
  <c r="H7" i="116"/>
  <c r="M7" i="33" s="1"/>
  <c r="M76" s="1"/>
  <c r="E76" i="116"/>
  <c r="E76" i="120"/>
  <c r="H7"/>
  <c r="D76"/>
  <c r="D76" i="119"/>
  <c r="D76" i="118"/>
  <c r="D76" i="117"/>
  <c r="D76" i="115"/>
  <c r="D77" i="114"/>
  <c r="D76" i="116"/>
  <c r="D76" i="113"/>
  <c r="E76" i="117"/>
  <c r="H7"/>
  <c r="N7" i="33" s="1"/>
  <c r="N76" s="1"/>
  <c r="H7" i="115"/>
  <c r="L7" i="33" s="1"/>
  <c r="L76" s="1"/>
  <c r="E76" i="115"/>
  <c r="H7" i="119"/>
  <c r="E76"/>
  <c r="E76" i="118"/>
  <c r="H7"/>
  <c r="O7" i="33" s="1"/>
  <c r="O76" s="1"/>
  <c r="M15" i="114"/>
  <c r="AF44" i="33"/>
  <c r="S76" i="67"/>
  <c r="L15" i="85"/>
  <c r="AH77" i="1"/>
  <c r="AF63" i="33"/>
  <c r="D64" i="96" s="1"/>
  <c r="M43" i="90"/>
  <c r="N43" s="1"/>
  <c r="M20"/>
  <c r="N20" s="1"/>
  <c r="M53"/>
  <c r="N53" s="1"/>
  <c r="M10"/>
  <c r="N10" s="1"/>
  <c r="J15" i="67"/>
  <c r="K15" s="1"/>
  <c r="W15" s="1"/>
  <c r="M64" i="90"/>
  <c r="N64" s="1"/>
  <c r="H38" i="81"/>
  <c r="K23" i="90"/>
  <c r="AD24" i="33"/>
  <c r="C23" i="72" s="1"/>
  <c r="AF28" i="33"/>
  <c r="D29" i="96" s="1"/>
  <c r="C7" i="33"/>
  <c r="AF35"/>
  <c r="D36" i="96" s="1"/>
  <c r="AK87" i="1"/>
  <c r="E48" i="81"/>
  <c r="G48" s="1"/>
  <c r="AO87" i="1"/>
  <c r="D27" i="96"/>
  <c r="E27" s="1"/>
  <c r="L27" s="1"/>
  <c r="AO77" i="1"/>
  <c r="AP77" s="1"/>
  <c r="D80" i="101" s="1"/>
  <c r="I80" s="1"/>
  <c r="BA8" i="1"/>
  <c r="BA77" s="1"/>
  <c r="AF73" i="33"/>
  <c r="C72" i="100" s="1"/>
  <c r="AP8" i="1"/>
  <c r="AH7" i="33" s="1"/>
  <c r="AD75"/>
  <c r="C74" i="72" s="1"/>
  <c r="M15" i="99"/>
  <c r="I15"/>
  <c r="N15" s="1"/>
  <c r="D7"/>
  <c r="E7" s="1"/>
  <c r="H7" s="1"/>
  <c r="Z7" i="33" s="1"/>
  <c r="D7" i="98"/>
  <c r="E7" s="1"/>
  <c r="H7" s="1"/>
  <c r="AA7" i="33" s="1"/>
  <c r="D76" i="98"/>
  <c r="D76" i="99"/>
  <c r="AF68" i="33"/>
  <c r="D69" i="96" s="1"/>
  <c r="AD11" i="33"/>
  <c r="C10" i="72" s="1"/>
  <c r="AD33" i="33"/>
  <c r="C32" i="72" s="1"/>
  <c r="AD31" i="33"/>
  <c r="C30" i="72" s="1"/>
  <c r="AF52" i="33"/>
  <c r="C51" i="100" s="1"/>
  <c r="AF27" i="33"/>
  <c r="D28" i="96" s="1"/>
  <c r="E28" s="1"/>
  <c r="L28" s="1"/>
  <c r="AD65" i="33"/>
  <c r="C64" i="72" s="1"/>
  <c r="D75" i="96"/>
  <c r="E75" s="1"/>
  <c r="L75" s="1"/>
  <c r="C73" i="100"/>
  <c r="C39"/>
  <c r="AD74" i="33"/>
  <c r="C73" i="72" s="1"/>
  <c r="C50" i="100"/>
  <c r="AD49" i="33"/>
  <c r="C48" i="72" s="1"/>
  <c r="AD20" i="33"/>
  <c r="C19" i="72" s="1"/>
  <c r="AF55" i="33"/>
  <c r="C54" i="100" s="1"/>
  <c r="AF47" i="33"/>
  <c r="D48" i="96" s="1"/>
  <c r="AF30" i="33"/>
  <c r="D31" i="96" s="1"/>
  <c r="AF59" i="33"/>
  <c r="D60" i="96" s="1"/>
  <c r="F60" s="1"/>
  <c r="D21"/>
  <c r="F21" s="1"/>
  <c r="C19" i="100"/>
  <c r="AD53" i="33"/>
  <c r="C52" i="72" s="1"/>
  <c r="E52" i="96"/>
  <c r="L52" s="1"/>
  <c r="F52"/>
  <c r="E41"/>
  <c r="L41" s="1"/>
  <c r="F41"/>
  <c r="E40"/>
  <c r="L40" s="1"/>
  <c r="F40"/>
  <c r="F67"/>
  <c r="E39"/>
  <c r="L39" s="1"/>
  <c r="D22"/>
  <c r="C20" i="100"/>
  <c r="D23" i="96"/>
  <c r="C21" i="100"/>
  <c r="D71" i="96"/>
  <c r="C69" i="100"/>
  <c r="D37" i="96"/>
  <c r="C35" i="100"/>
  <c r="D59" i="96"/>
  <c r="C57" i="100"/>
  <c r="D12" i="96"/>
  <c r="C10" i="100"/>
  <c r="AF62" i="33"/>
  <c r="AD62"/>
  <c r="C61" i="72" s="1"/>
  <c r="D34" i="96"/>
  <c r="C32" i="100"/>
  <c r="D32" i="96"/>
  <c r="C30" i="100"/>
  <c r="AF54" i="33"/>
  <c r="AD54"/>
  <c r="C53" i="72" s="1"/>
  <c r="D50" i="96"/>
  <c r="C48" i="100"/>
  <c r="D25" i="96"/>
  <c r="C23" i="100"/>
  <c r="D76" i="96"/>
  <c r="C74" i="100"/>
  <c r="D19" i="96"/>
  <c r="C17" i="100"/>
  <c r="D26" i="96"/>
  <c r="D54"/>
  <c r="C52" i="100"/>
  <c r="D66" i="96"/>
  <c r="C64" i="100"/>
  <c r="AD8" i="33"/>
  <c r="C7" i="72" s="1"/>
  <c r="C27"/>
  <c r="C24"/>
  <c r="C20"/>
  <c r="C35"/>
  <c r="C69"/>
  <c r="C45"/>
  <c r="J15" i="90"/>
  <c r="K15" s="1"/>
  <c r="M15" s="1"/>
  <c r="N15" s="1"/>
  <c r="H15" i="98"/>
  <c r="AA15" i="33" s="1"/>
  <c r="AF8"/>
  <c r="D76" i="86"/>
  <c r="F76" i="90"/>
  <c r="D76" i="87"/>
  <c r="D76" i="91"/>
  <c r="D76" i="89"/>
  <c r="D76" i="85"/>
  <c r="D76" i="92"/>
  <c r="D76" i="88"/>
  <c r="D7"/>
  <c r="E7" s="1"/>
  <c r="D7" i="92"/>
  <c r="E7" s="1"/>
  <c r="D7" i="87"/>
  <c r="E7" s="1"/>
  <c r="D7" i="85"/>
  <c r="E7" s="1"/>
  <c r="D7" i="89"/>
  <c r="E7" s="1"/>
  <c r="F7" i="90"/>
  <c r="G7" s="1"/>
  <c r="I7" s="1"/>
  <c r="Y7" i="33" s="1"/>
  <c r="Y76" s="1"/>
  <c r="D7" i="86"/>
  <c r="E7" s="1"/>
  <c r="D7" i="91"/>
  <c r="E7" s="1"/>
  <c r="T15" i="67"/>
  <c r="N12" i="76"/>
  <c r="J40" i="46"/>
  <c r="K40" s="1"/>
  <c r="E38"/>
  <c r="K29"/>
  <c r="I30"/>
  <c r="H30"/>
  <c r="H38" s="1"/>
  <c r="L28"/>
  <c r="H56" i="81"/>
  <c r="G56"/>
  <c r="D4" i="80"/>
  <c r="I4" s="1"/>
  <c r="I73" s="1"/>
  <c r="D4" i="76"/>
  <c r="I4" s="1"/>
  <c r="I73" s="1"/>
  <c r="O14" i="46"/>
  <c r="O13"/>
  <c r="O17"/>
  <c r="O11"/>
  <c r="O12"/>
  <c r="C8" i="5"/>
  <c r="C9"/>
  <c r="AQ8" i="1"/>
  <c r="AX8"/>
  <c r="AV8"/>
  <c r="AW77"/>
  <c r="I23" i="33"/>
  <c r="AC23" s="1"/>
  <c r="AI23" s="1"/>
  <c r="AJ23" s="1"/>
  <c r="H19" i="46"/>
  <c r="I18"/>
  <c r="I38" s="1"/>
  <c r="AF71" i="33" l="1"/>
  <c r="D72" i="96" s="1"/>
  <c r="AI71" i="33"/>
  <c r="AJ71" s="1"/>
  <c r="AD56"/>
  <c r="C55" i="72" s="1"/>
  <c r="AI56" i="33"/>
  <c r="AJ56" s="1"/>
  <c r="AF12"/>
  <c r="C11" i="100" s="1"/>
  <c r="AI12" i="33"/>
  <c r="AJ12" s="1"/>
  <c r="AF69"/>
  <c r="AI69"/>
  <c r="AJ69" s="1"/>
  <c r="AD57"/>
  <c r="C56" i="72" s="1"/>
  <c r="AI57" i="33"/>
  <c r="AJ57" s="1"/>
  <c r="AD67"/>
  <c r="C66" i="72" s="1"/>
  <c r="AI67" i="33"/>
  <c r="AJ67" s="1"/>
  <c r="AF48"/>
  <c r="D49" i="96" s="1"/>
  <c r="AI48" i="33"/>
  <c r="AJ48" s="1"/>
  <c r="AF10"/>
  <c r="AI10"/>
  <c r="AJ10" s="1"/>
  <c r="AF19"/>
  <c r="D20" i="96" s="1"/>
  <c r="AI19" i="33"/>
  <c r="AJ19" s="1"/>
  <c r="AF29"/>
  <c r="AI29"/>
  <c r="AJ29" s="1"/>
  <c r="AD61"/>
  <c r="C60" i="72" s="1"/>
  <c r="AI61" i="33"/>
  <c r="AJ61" s="1"/>
  <c r="AF37"/>
  <c r="D38" i="96" s="1"/>
  <c r="AI37" i="33"/>
  <c r="AJ37" s="1"/>
  <c r="AD14"/>
  <c r="C13" i="72" s="1"/>
  <c r="AI14" i="33"/>
  <c r="AJ14" s="1"/>
  <c r="AF43"/>
  <c r="D44" i="96" s="1"/>
  <c r="AI43" i="33"/>
  <c r="AJ43" s="1"/>
  <c r="AF72"/>
  <c r="D73" i="96" s="1"/>
  <c r="E73" s="1"/>
  <c r="L73" s="1"/>
  <c r="AI72" i="33"/>
  <c r="AJ72" s="1"/>
  <c r="AD64"/>
  <c r="C63" i="72" s="1"/>
  <c r="AI64" i="33"/>
  <c r="AJ64" s="1"/>
  <c r="C45" i="100"/>
  <c r="AF64" i="33"/>
  <c r="C63" i="100" s="1"/>
  <c r="C65"/>
  <c r="AD43" i="33"/>
  <c r="C42" i="72" s="1"/>
  <c r="C12" i="100"/>
  <c r="AF14" i="33"/>
  <c r="C13" i="100" s="1"/>
  <c r="C42"/>
  <c r="C36"/>
  <c r="AD72" i="33"/>
  <c r="C71" i="72" s="1"/>
  <c r="E46" i="96"/>
  <c r="L46" s="1"/>
  <c r="E4" i="80"/>
  <c r="E4" i="76"/>
  <c r="H4" s="1"/>
  <c r="P7" i="33" s="1"/>
  <c r="P76" s="1"/>
  <c r="R19" i="101"/>
  <c r="S19" s="1"/>
  <c r="R41"/>
  <c r="S41" s="1"/>
  <c r="R45"/>
  <c r="S45" s="1"/>
  <c r="R13"/>
  <c r="S13" s="1"/>
  <c r="R47"/>
  <c r="S47" s="1"/>
  <c r="R18"/>
  <c r="S18" s="1"/>
  <c r="R38"/>
  <c r="S38" s="1"/>
  <c r="R76"/>
  <c r="S76" s="1"/>
  <c r="R68"/>
  <c r="S68" s="1"/>
  <c r="AD37" i="33"/>
  <c r="C36" i="72" s="1"/>
  <c r="D51" i="96"/>
  <c r="C49" i="100"/>
  <c r="AD41" i="33"/>
  <c r="C40" i="72" s="1"/>
  <c r="AF41" i="33"/>
  <c r="AD34"/>
  <c r="C33" i="72" s="1"/>
  <c r="AF34" i="33"/>
  <c r="AD9"/>
  <c r="C8" i="72" s="1"/>
  <c r="AF9" i="33"/>
  <c r="D18" i="96"/>
  <c r="C16" i="100"/>
  <c r="D7" i="67"/>
  <c r="E7" s="1"/>
  <c r="F7" s="1"/>
  <c r="G7" s="1"/>
  <c r="T7" s="1"/>
  <c r="D11" i="101"/>
  <c r="Q46"/>
  <c r="R46"/>
  <c r="D61" i="96"/>
  <c r="E55" i="81"/>
  <c r="G55" s="1"/>
  <c r="O81" i="33"/>
  <c r="H76" i="119"/>
  <c r="I7"/>
  <c r="I76" s="1"/>
  <c r="H76" i="115"/>
  <c r="I7"/>
  <c r="I76" s="1"/>
  <c r="I7" i="116"/>
  <c r="I76" s="1"/>
  <c r="H76"/>
  <c r="H76" i="113"/>
  <c r="I7"/>
  <c r="I76" s="1"/>
  <c r="H76" i="118"/>
  <c r="I7"/>
  <c r="I76" s="1"/>
  <c r="H76" i="117"/>
  <c r="I7"/>
  <c r="H76" i="120"/>
  <c r="I7"/>
  <c r="I76" s="1"/>
  <c r="H77" i="114"/>
  <c r="I7"/>
  <c r="I77" s="1"/>
  <c r="C62" i="100"/>
  <c r="H72" i="31"/>
  <c r="C76" i="33"/>
  <c r="M23" i="90"/>
  <c r="N23" s="1"/>
  <c r="C27" i="100"/>
  <c r="D65" i="96"/>
  <c r="F65" s="1"/>
  <c r="F27"/>
  <c r="D74"/>
  <c r="F74" s="1"/>
  <c r="C34" i="100"/>
  <c r="H48" i="81"/>
  <c r="AW87" i="1"/>
  <c r="D53" i="96"/>
  <c r="F53" s="1"/>
  <c r="C67" i="100"/>
  <c r="F28" i="96"/>
  <c r="E76" i="99"/>
  <c r="AF56" i="33"/>
  <c r="D57" i="96" s="1"/>
  <c r="C26" i="100"/>
  <c r="AD48" i="33"/>
  <c r="C47" i="72" s="1"/>
  <c r="E21" i="96"/>
  <c r="L21" s="1"/>
  <c r="E60"/>
  <c r="L60" s="1"/>
  <c r="AF57" i="33"/>
  <c r="D58" i="96" s="1"/>
  <c r="AD19" i="33"/>
  <c r="C18" i="72" s="1"/>
  <c r="F75" i="96"/>
  <c r="AD44" i="33"/>
  <c r="C43" i="72" s="1"/>
  <c r="AF61" i="33"/>
  <c r="C60" i="100" s="1"/>
  <c r="C46"/>
  <c r="AD69" i="33"/>
  <c r="C68" i="72" s="1"/>
  <c r="C58" i="100"/>
  <c r="AD71" i="33"/>
  <c r="C70" i="72" s="1"/>
  <c r="D56" i="96"/>
  <c r="AD29" i="33"/>
  <c r="C28" i="72" s="1"/>
  <c r="AD10" i="33"/>
  <c r="C9" i="72" s="1"/>
  <c r="C29" i="100"/>
  <c r="AD12" i="33"/>
  <c r="C11" i="72" s="1"/>
  <c r="E44" i="96"/>
  <c r="L44" s="1"/>
  <c r="F44"/>
  <c r="E19"/>
  <c r="L19" s="1"/>
  <c r="F19"/>
  <c r="E69"/>
  <c r="L69" s="1"/>
  <c r="F69"/>
  <c r="E50"/>
  <c r="L50" s="1"/>
  <c r="F50"/>
  <c r="E34"/>
  <c r="L34" s="1"/>
  <c r="F34"/>
  <c r="E29"/>
  <c r="L29" s="1"/>
  <c r="F29"/>
  <c r="E38"/>
  <c r="L38" s="1"/>
  <c r="F38"/>
  <c r="E37"/>
  <c r="L37" s="1"/>
  <c r="F37"/>
  <c r="E71"/>
  <c r="L71" s="1"/>
  <c r="F71"/>
  <c r="E66"/>
  <c r="L66" s="1"/>
  <c r="F66"/>
  <c r="E54"/>
  <c r="L54" s="1"/>
  <c r="F54"/>
  <c r="AF67" i="33"/>
  <c r="C66" i="100" s="1"/>
  <c r="E26" i="96"/>
  <c r="L26" s="1"/>
  <c r="F26"/>
  <c r="E31"/>
  <c r="L31" s="1"/>
  <c r="F31"/>
  <c r="E32"/>
  <c r="L32" s="1"/>
  <c r="F32"/>
  <c r="E22"/>
  <c r="L22" s="1"/>
  <c r="F22"/>
  <c r="E47"/>
  <c r="L47" s="1"/>
  <c r="F47"/>
  <c r="E76"/>
  <c r="L76" s="1"/>
  <c r="F76"/>
  <c r="E25"/>
  <c r="L25" s="1"/>
  <c r="F25"/>
  <c r="E36"/>
  <c r="L36" s="1"/>
  <c r="F36"/>
  <c r="E14"/>
  <c r="L14" s="1"/>
  <c r="F14"/>
  <c r="E48"/>
  <c r="L48" s="1"/>
  <c r="F48"/>
  <c r="E64"/>
  <c r="L64" s="1"/>
  <c r="F64"/>
  <c r="E12"/>
  <c r="L12" s="1"/>
  <c r="F12"/>
  <c r="E59"/>
  <c r="L59" s="1"/>
  <c r="F59"/>
  <c r="E23"/>
  <c r="L23" s="1"/>
  <c r="F23"/>
  <c r="D9"/>
  <c r="C7" i="100"/>
  <c r="AC75"/>
  <c r="D45" i="96"/>
  <c r="C43" i="100"/>
  <c r="D13" i="96"/>
  <c r="D11"/>
  <c r="C9" i="100"/>
  <c r="AD16" i="33"/>
  <c r="C15" i="72" s="1"/>
  <c r="AF16" i="33"/>
  <c r="H61" i="81"/>
  <c r="D30" i="96"/>
  <c r="C28" i="100"/>
  <c r="D55" i="96"/>
  <c r="C53" i="100"/>
  <c r="AD32" i="33"/>
  <c r="C31" i="72" s="1"/>
  <c r="AF32" i="33"/>
  <c r="D63" i="96"/>
  <c r="C61" i="100"/>
  <c r="D70" i="96"/>
  <c r="C68" i="100"/>
  <c r="I15" i="98"/>
  <c r="N15" s="1"/>
  <c r="M15"/>
  <c r="I7"/>
  <c r="M7"/>
  <c r="H76"/>
  <c r="H76" i="99"/>
  <c r="I7"/>
  <c r="M7"/>
  <c r="M76" s="1"/>
  <c r="G76" i="90"/>
  <c r="E76" i="91"/>
  <c r="G7"/>
  <c r="W7" i="33" s="1"/>
  <c r="W76" s="1"/>
  <c r="E76" i="85"/>
  <c r="G7"/>
  <c r="R7" i="33" s="1"/>
  <c r="G7" i="86"/>
  <c r="S7" i="33" s="1"/>
  <c r="S76" s="1"/>
  <c r="E76" i="86"/>
  <c r="E76" i="87"/>
  <c r="G7"/>
  <c r="T7" i="33" s="1"/>
  <c r="T76" s="1"/>
  <c r="E76" i="92"/>
  <c r="G7"/>
  <c r="X7" i="33" s="1"/>
  <c r="X76" s="1"/>
  <c r="E76" i="89"/>
  <c r="G7"/>
  <c r="V7" i="33" s="1"/>
  <c r="V76" s="1"/>
  <c r="G7" i="88"/>
  <c r="U7" i="33" s="1"/>
  <c r="U76" s="1"/>
  <c r="E76" i="88"/>
  <c r="D74" i="84"/>
  <c r="D70"/>
  <c r="D66"/>
  <c r="D62"/>
  <c r="D58"/>
  <c r="D54"/>
  <c r="D50"/>
  <c r="D46"/>
  <c r="D42"/>
  <c r="D38"/>
  <c r="D34"/>
  <c r="D30"/>
  <c r="D26"/>
  <c r="D22"/>
  <c r="D18"/>
  <c r="D73"/>
  <c r="D69"/>
  <c r="D65"/>
  <c r="D61"/>
  <c r="D57"/>
  <c r="D53"/>
  <c r="D49"/>
  <c r="D45"/>
  <c r="D41"/>
  <c r="D37"/>
  <c r="D33"/>
  <c r="D29"/>
  <c r="D25"/>
  <c r="D21"/>
  <c r="D17"/>
  <c r="D72"/>
  <c r="D68"/>
  <c r="D64"/>
  <c r="D60"/>
  <c r="D56"/>
  <c r="D52"/>
  <c r="D48"/>
  <c r="D44"/>
  <c r="D40"/>
  <c r="D36"/>
  <c r="D32"/>
  <c r="D28"/>
  <c r="D24"/>
  <c r="D20"/>
  <c r="D16"/>
  <c r="D75"/>
  <c r="D71"/>
  <c r="D67"/>
  <c r="D63"/>
  <c r="D59"/>
  <c r="D55"/>
  <c r="D51"/>
  <c r="D47"/>
  <c r="D43"/>
  <c r="D39"/>
  <c r="D35"/>
  <c r="D31"/>
  <c r="D27"/>
  <c r="D23"/>
  <c r="D19"/>
  <c r="D14"/>
  <c r="D10"/>
  <c r="D75" i="83"/>
  <c r="D71"/>
  <c r="D67"/>
  <c r="D63"/>
  <c r="D59"/>
  <c r="D55"/>
  <c r="D51"/>
  <c r="D47"/>
  <c r="D43"/>
  <c r="D39"/>
  <c r="D35"/>
  <c r="D31"/>
  <c r="D27"/>
  <c r="D23"/>
  <c r="D19"/>
  <c r="D15"/>
  <c r="D11"/>
  <c r="D7"/>
  <c r="J7" s="1"/>
  <c r="D13" i="84"/>
  <c r="D9"/>
  <c r="D74" i="83"/>
  <c r="D70"/>
  <c r="D66"/>
  <c r="D62"/>
  <c r="D58"/>
  <c r="D54"/>
  <c r="D50"/>
  <c r="D46"/>
  <c r="D42"/>
  <c r="D38"/>
  <c r="D34"/>
  <c r="D30"/>
  <c r="D26"/>
  <c r="D22"/>
  <c r="D18"/>
  <c r="D14"/>
  <c r="D10"/>
  <c r="D12" i="84"/>
  <c r="D8"/>
  <c r="D73" i="83"/>
  <c r="D69"/>
  <c r="D65"/>
  <c r="D61"/>
  <c r="D57"/>
  <c r="D53"/>
  <c r="D49"/>
  <c r="D45"/>
  <c r="D41"/>
  <c r="D37"/>
  <c r="D33"/>
  <c r="D29"/>
  <c r="D25"/>
  <c r="D21"/>
  <c r="D17"/>
  <c r="D13"/>
  <c r="D9"/>
  <c r="D15" i="84"/>
  <c r="D11"/>
  <c r="D7"/>
  <c r="J7" s="1"/>
  <c r="K7" s="1"/>
  <c r="D72" i="83"/>
  <c r="D68"/>
  <c r="D64"/>
  <c r="D60"/>
  <c r="D56"/>
  <c r="D52"/>
  <c r="D48"/>
  <c r="D44"/>
  <c r="D40"/>
  <c r="D36"/>
  <c r="D32"/>
  <c r="D28"/>
  <c r="D24"/>
  <c r="D20"/>
  <c r="D16"/>
  <c r="D12"/>
  <c r="D8"/>
  <c r="E49" i="81"/>
  <c r="H49" s="1"/>
  <c r="D76" i="84"/>
  <c r="H77" s="1"/>
  <c r="D77" i="83"/>
  <c r="H78" s="1"/>
  <c r="I42" i="46"/>
  <c r="K42" s="1"/>
  <c r="L29"/>
  <c r="N29" s="1"/>
  <c r="K30"/>
  <c r="N28"/>
  <c r="E58" i="81"/>
  <c r="I15" i="33"/>
  <c r="AC15" s="1"/>
  <c r="AI15" s="1"/>
  <c r="AJ15" s="1"/>
  <c r="H31" i="46"/>
  <c r="H4" i="80"/>
  <c r="E73"/>
  <c r="E77" s="1"/>
  <c r="J44" i="46"/>
  <c r="AX77" i="1"/>
  <c r="AV77"/>
  <c r="AY24"/>
  <c r="AY63"/>
  <c r="AY70"/>
  <c r="AY13"/>
  <c r="AY74"/>
  <c r="AY38"/>
  <c r="AY56"/>
  <c r="AY59"/>
  <c r="AY20"/>
  <c r="AY60"/>
  <c r="AY67"/>
  <c r="AY21"/>
  <c r="AY66"/>
  <c r="AY37"/>
  <c r="AY54"/>
  <c r="AY33"/>
  <c r="AY19"/>
  <c r="AY29"/>
  <c r="AY22"/>
  <c r="AY50"/>
  <c r="AY57"/>
  <c r="AY53"/>
  <c r="AY31"/>
  <c r="AY25"/>
  <c r="AY30"/>
  <c r="AY48"/>
  <c r="AY8"/>
  <c r="AY49"/>
  <c r="AY16"/>
  <c r="AY65"/>
  <c r="AY46"/>
  <c r="AY44"/>
  <c r="AY39"/>
  <c r="AY51"/>
  <c r="AY35"/>
  <c r="AY17"/>
  <c r="AY11"/>
  <c r="AY28"/>
  <c r="AY14"/>
  <c r="AY58"/>
  <c r="AY40"/>
  <c r="AY36"/>
  <c r="AY71"/>
  <c r="AY62"/>
  <c r="AY32"/>
  <c r="AY69"/>
  <c r="AY75"/>
  <c r="AY12"/>
  <c r="AY55"/>
  <c r="AY42"/>
  <c r="AY61"/>
  <c r="AY23"/>
  <c r="AY41"/>
  <c r="AY26"/>
  <c r="AY10"/>
  <c r="AY76"/>
  <c r="AY68"/>
  <c r="AY27"/>
  <c r="AY34"/>
  <c r="AY15"/>
  <c r="AY9"/>
  <c r="AY72"/>
  <c r="AY52"/>
  <c r="AY64"/>
  <c r="AY73"/>
  <c r="AY18"/>
  <c r="AY47"/>
  <c r="AY43"/>
  <c r="AY45"/>
  <c r="D76" i="67"/>
  <c r="AQ77" i="1"/>
  <c r="AR16"/>
  <c r="AR8"/>
  <c r="AR23"/>
  <c r="AR75"/>
  <c r="AR25"/>
  <c r="AR13"/>
  <c r="AR66"/>
  <c r="AR30"/>
  <c r="AR28"/>
  <c r="AR15"/>
  <c r="AR60"/>
  <c r="AR41"/>
  <c r="AR63"/>
  <c r="AR38"/>
  <c r="AR65"/>
  <c r="AR44"/>
  <c r="AR31"/>
  <c r="AR27"/>
  <c r="AR50"/>
  <c r="AR24"/>
  <c r="AR19"/>
  <c r="AR72"/>
  <c r="AR64"/>
  <c r="AR70"/>
  <c r="AR69"/>
  <c r="AR57"/>
  <c r="AR11"/>
  <c r="AR71"/>
  <c r="AR36"/>
  <c r="AR59"/>
  <c r="AR68"/>
  <c r="AR47"/>
  <c r="AR37"/>
  <c r="AR20"/>
  <c r="AR40"/>
  <c r="AR67"/>
  <c r="AR9"/>
  <c r="AR22"/>
  <c r="AR52"/>
  <c r="AR43"/>
  <c r="AR21"/>
  <c r="AR26"/>
  <c r="AR53"/>
  <c r="AR48"/>
  <c r="AR74"/>
  <c r="AR46"/>
  <c r="AR14"/>
  <c r="AR42"/>
  <c r="AR35"/>
  <c r="AR56"/>
  <c r="AR51"/>
  <c r="AR62"/>
  <c r="AR45"/>
  <c r="AR58"/>
  <c r="AR76"/>
  <c r="AR17"/>
  <c r="AR18"/>
  <c r="AR39"/>
  <c r="AR73"/>
  <c r="AR12"/>
  <c r="AR29"/>
  <c r="AR61"/>
  <c r="AR49"/>
  <c r="AR34"/>
  <c r="AR32"/>
  <c r="AR55"/>
  <c r="AR33"/>
  <c r="AR10"/>
  <c r="AR54"/>
  <c r="K18" i="46"/>
  <c r="L10"/>
  <c r="C70" i="100" l="1"/>
  <c r="C47"/>
  <c r="F73" i="96"/>
  <c r="C18" i="100"/>
  <c r="C71"/>
  <c r="Q7" i="33"/>
  <c r="Q76" s="1"/>
  <c r="D15" i="96"/>
  <c r="E15" s="1"/>
  <c r="L15" s="1"/>
  <c r="E73" i="76"/>
  <c r="E77" s="1"/>
  <c r="J7" i="118"/>
  <c r="L7" s="1"/>
  <c r="H55" i="81"/>
  <c r="J7" i="120"/>
  <c r="J76" s="1"/>
  <c r="F51" i="96"/>
  <c r="E51"/>
  <c r="L51" s="1"/>
  <c r="F18"/>
  <c r="E18"/>
  <c r="L18" s="1"/>
  <c r="C8" i="100"/>
  <c r="D10" i="96"/>
  <c r="D35"/>
  <c r="C33" i="100"/>
  <c r="C40"/>
  <c r="D42" i="96"/>
  <c r="J7" i="67"/>
  <c r="J76" s="1"/>
  <c r="I11" i="101"/>
  <c r="K11" s="1"/>
  <c r="L11" s="1"/>
  <c r="E11"/>
  <c r="S46"/>
  <c r="F61" i="96"/>
  <c r="E61"/>
  <c r="L61" s="1"/>
  <c r="J7" i="114"/>
  <c r="J77" s="1"/>
  <c r="J7" i="116"/>
  <c r="J76" s="1"/>
  <c r="J7" i="115"/>
  <c r="J76" s="1"/>
  <c r="J7" i="117"/>
  <c r="I76"/>
  <c r="J76" i="118"/>
  <c r="J7" i="113"/>
  <c r="J7" i="119"/>
  <c r="E65" i="96"/>
  <c r="L65" s="1"/>
  <c r="E74"/>
  <c r="L74" s="1"/>
  <c r="E53"/>
  <c r="L53" s="1"/>
  <c r="C55" i="100"/>
  <c r="C56"/>
  <c r="D62" i="96"/>
  <c r="F62" s="1"/>
  <c r="D68"/>
  <c r="F68" s="1"/>
  <c r="F56"/>
  <c r="E56"/>
  <c r="L56" s="1"/>
  <c r="E70"/>
  <c r="L70" s="1"/>
  <c r="F70"/>
  <c r="E58"/>
  <c r="L58" s="1"/>
  <c r="F58"/>
  <c r="E13"/>
  <c r="L13" s="1"/>
  <c r="F13"/>
  <c r="E72"/>
  <c r="L72" s="1"/>
  <c r="F72"/>
  <c r="E63"/>
  <c r="L63" s="1"/>
  <c r="F63"/>
  <c r="E55"/>
  <c r="L55" s="1"/>
  <c r="F55"/>
  <c r="E30"/>
  <c r="L30" s="1"/>
  <c r="F30"/>
  <c r="E57"/>
  <c r="L57" s="1"/>
  <c r="F57"/>
  <c r="E49"/>
  <c r="L49" s="1"/>
  <c r="F49"/>
  <c r="E11"/>
  <c r="L11" s="1"/>
  <c r="F11"/>
  <c r="E45"/>
  <c r="L45" s="1"/>
  <c r="F45"/>
  <c r="E9"/>
  <c r="L9" s="1"/>
  <c r="F9"/>
  <c r="E20"/>
  <c r="L20" s="1"/>
  <c r="F20"/>
  <c r="E67" i="81"/>
  <c r="D33" i="96"/>
  <c r="C31" i="100"/>
  <c r="D17" i="96"/>
  <c r="C15" i="100"/>
  <c r="E68" i="81"/>
  <c r="L7" i="84"/>
  <c r="AA6" i="72" s="1"/>
  <c r="E6" i="100"/>
  <c r="I76" i="99"/>
  <c r="N7"/>
  <c r="N76" s="1"/>
  <c r="AA76" i="33"/>
  <c r="H7" i="87"/>
  <c r="G76"/>
  <c r="H7" i="88"/>
  <c r="H76" s="1"/>
  <c r="G76"/>
  <c r="H7" i="92"/>
  <c r="H76" s="1"/>
  <c r="G76"/>
  <c r="H7" i="89"/>
  <c r="G76"/>
  <c r="J7" i="90"/>
  <c r="K7" s="1"/>
  <c r="M7" s="1"/>
  <c r="I76"/>
  <c r="H7" i="91"/>
  <c r="G76"/>
  <c r="H7" i="85"/>
  <c r="G76"/>
  <c r="H7" i="86"/>
  <c r="G76"/>
  <c r="Z76" i="33"/>
  <c r="G7" i="83"/>
  <c r="H7" s="1"/>
  <c r="G28"/>
  <c r="H28" s="1"/>
  <c r="I28" s="1"/>
  <c r="J28"/>
  <c r="K28" s="1"/>
  <c r="J45"/>
  <c r="K45" s="1"/>
  <c r="G45"/>
  <c r="H45" s="1"/>
  <c r="I45" s="1"/>
  <c r="G18"/>
  <c r="H18" s="1"/>
  <c r="I18" s="1"/>
  <c r="J18"/>
  <c r="K18" s="1"/>
  <c r="J66"/>
  <c r="K66" s="1"/>
  <c r="G66"/>
  <c r="H66" s="1"/>
  <c r="I66" s="1"/>
  <c r="G35"/>
  <c r="H35" s="1"/>
  <c r="I35" s="1"/>
  <c r="J35"/>
  <c r="K35" s="1"/>
  <c r="J67"/>
  <c r="K67" s="1"/>
  <c r="G67"/>
  <c r="H67" s="1"/>
  <c r="I67" s="1"/>
  <c r="J47" i="84"/>
  <c r="K47" s="1"/>
  <c r="G47"/>
  <c r="H47" s="1"/>
  <c r="I47" s="1"/>
  <c r="J63"/>
  <c r="K63" s="1"/>
  <c r="G63"/>
  <c r="H63" s="1"/>
  <c r="I63" s="1"/>
  <c r="J45"/>
  <c r="K45" s="1"/>
  <c r="G45"/>
  <c r="H45" s="1"/>
  <c r="I45" s="1"/>
  <c r="G7"/>
  <c r="H7" s="1"/>
  <c r="I7" s="1"/>
  <c r="G16" i="83"/>
  <c r="H16" s="1"/>
  <c r="I16" s="1"/>
  <c r="J16"/>
  <c r="K16" s="1"/>
  <c r="J32"/>
  <c r="K32" s="1"/>
  <c r="G32"/>
  <c r="H32" s="1"/>
  <c r="I32" s="1"/>
  <c r="J48"/>
  <c r="K48" s="1"/>
  <c r="G48"/>
  <c r="H48" s="1"/>
  <c r="I48" s="1"/>
  <c r="J64"/>
  <c r="K64" s="1"/>
  <c r="G64"/>
  <c r="H64" s="1"/>
  <c r="I64" s="1"/>
  <c r="J11" i="84"/>
  <c r="K11" s="1"/>
  <c r="G11"/>
  <c r="H11" s="1"/>
  <c r="I11" s="1"/>
  <c r="J17" i="83"/>
  <c r="K17" s="1"/>
  <c r="G17"/>
  <c r="H17" s="1"/>
  <c r="I17" s="1"/>
  <c r="J33"/>
  <c r="K33" s="1"/>
  <c r="G33"/>
  <c r="H33" s="1"/>
  <c r="I33" s="1"/>
  <c r="J49"/>
  <c r="K49" s="1"/>
  <c r="G49"/>
  <c r="H49" s="1"/>
  <c r="I49" s="1"/>
  <c r="G65"/>
  <c r="H65" s="1"/>
  <c r="I65" s="1"/>
  <c r="J65"/>
  <c r="K65" s="1"/>
  <c r="G12" i="84"/>
  <c r="H12" s="1"/>
  <c r="I12" s="1"/>
  <c r="J12"/>
  <c r="K12" s="1"/>
  <c r="J22" i="83"/>
  <c r="K22" s="1"/>
  <c r="G22"/>
  <c r="H22" s="1"/>
  <c r="I22" s="1"/>
  <c r="G38"/>
  <c r="H38" s="1"/>
  <c r="I38" s="1"/>
  <c r="J38"/>
  <c r="K38" s="1"/>
  <c r="G54"/>
  <c r="H54" s="1"/>
  <c r="I54" s="1"/>
  <c r="J54"/>
  <c r="K54" s="1"/>
  <c r="G70"/>
  <c r="H70" s="1"/>
  <c r="I70" s="1"/>
  <c r="J70"/>
  <c r="K70" s="1"/>
  <c r="G23"/>
  <c r="H23" s="1"/>
  <c r="I23" s="1"/>
  <c r="J23"/>
  <c r="K23" s="1"/>
  <c r="J39"/>
  <c r="K39" s="1"/>
  <c r="G39"/>
  <c r="H39" s="1"/>
  <c r="I39" s="1"/>
  <c r="G55"/>
  <c r="H55" s="1"/>
  <c r="I55" s="1"/>
  <c r="J55"/>
  <c r="K55" s="1"/>
  <c r="J71"/>
  <c r="K71" s="1"/>
  <c r="G71"/>
  <c r="H71" s="1"/>
  <c r="I71" s="1"/>
  <c r="J19" i="84"/>
  <c r="K19" s="1"/>
  <c r="G19"/>
  <c r="H19" s="1"/>
  <c r="I19" s="1"/>
  <c r="J35"/>
  <c r="K35" s="1"/>
  <c r="G35"/>
  <c r="H35" s="1"/>
  <c r="I35" s="1"/>
  <c r="G51"/>
  <c r="H51" s="1"/>
  <c r="I51" s="1"/>
  <c r="J51"/>
  <c r="K51" s="1"/>
  <c r="J67"/>
  <c r="K67" s="1"/>
  <c r="G67"/>
  <c r="H67" s="1"/>
  <c r="I67" s="1"/>
  <c r="G16"/>
  <c r="H16" s="1"/>
  <c r="I16" s="1"/>
  <c r="J16"/>
  <c r="K16" s="1"/>
  <c r="G32"/>
  <c r="H32" s="1"/>
  <c r="I32" s="1"/>
  <c r="J32"/>
  <c r="K32" s="1"/>
  <c r="G48"/>
  <c r="H48" s="1"/>
  <c r="I48" s="1"/>
  <c r="J48"/>
  <c r="K48" s="1"/>
  <c r="J64"/>
  <c r="K64" s="1"/>
  <c r="G64"/>
  <c r="H64" s="1"/>
  <c r="I64" s="1"/>
  <c r="J17"/>
  <c r="K17" s="1"/>
  <c r="G17"/>
  <c r="H17" s="1"/>
  <c r="I17" s="1"/>
  <c r="J33"/>
  <c r="K33" s="1"/>
  <c r="G33"/>
  <c r="H33" s="1"/>
  <c r="I33" s="1"/>
  <c r="G49"/>
  <c r="H49" s="1"/>
  <c r="I49" s="1"/>
  <c r="J49"/>
  <c r="K49" s="1"/>
  <c r="G65"/>
  <c r="H65" s="1"/>
  <c r="I65" s="1"/>
  <c r="J65"/>
  <c r="K65" s="1"/>
  <c r="J22"/>
  <c r="K22" s="1"/>
  <c r="G22"/>
  <c r="H22" s="1"/>
  <c r="I22" s="1"/>
  <c r="J38"/>
  <c r="K38" s="1"/>
  <c r="G38"/>
  <c r="H38" s="1"/>
  <c r="I38" s="1"/>
  <c r="J54"/>
  <c r="K54" s="1"/>
  <c r="G54"/>
  <c r="H54" s="1"/>
  <c r="I54" s="1"/>
  <c r="J70"/>
  <c r="K70" s="1"/>
  <c r="G70"/>
  <c r="H70" s="1"/>
  <c r="I70" s="1"/>
  <c r="G12" i="83"/>
  <c r="H12" s="1"/>
  <c r="I12" s="1"/>
  <c r="J12"/>
  <c r="K12" s="1"/>
  <c r="J60"/>
  <c r="K60" s="1"/>
  <c r="G60"/>
  <c r="H60" s="1"/>
  <c r="I60" s="1"/>
  <c r="G29"/>
  <c r="H29" s="1"/>
  <c r="I29" s="1"/>
  <c r="J29"/>
  <c r="K29" s="1"/>
  <c r="J8" i="84"/>
  <c r="K8" s="1"/>
  <c r="G8"/>
  <c r="H8" s="1"/>
  <c r="I8" s="1"/>
  <c r="G50" i="83"/>
  <c r="H50" s="1"/>
  <c r="I50" s="1"/>
  <c r="J50"/>
  <c r="K50" s="1"/>
  <c r="J19"/>
  <c r="K19" s="1"/>
  <c r="G19"/>
  <c r="H19" s="1"/>
  <c r="I19" s="1"/>
  <c r="J31" i="84"/>
  <c r="K31" s="1"/>
  <c r="G31"/>
  <c r="H31" s="1"/>
  <c r="I31" s="1"/>
  <c r="G50"/>
  <c r="H50" s="1"/>
  <c r="I50" s="1"/>
  <c r="J50"/>
  <c r="K50" s="1"/>
  <c r="J20" i="83"/>
  <c r="K20" s="1"/>
  <c r="G20"/>
  <c r="H20" s="1"/>
  <c r="I20" s="1"/>
  <c r="J36"/>
  <c r="K36" s="1"/>
  <c r="G36"/>
  <c r="H36" s="1"/>
  <c r="I36" s="1"/>
  <c r="G52"/>
  <c r="H52" s="1"/>
  <c r="I52" s="1"/>
  <c r="J52"/>
  <c r="K52" s="1"/>
  <c r="G68"/>
  <c r="H68" s="1"/>
  <c r="I68" s="1"/>
  <c r="J68"/>
  <c r="K68" s="1"/>
  <c r="G15" i="84"/>
  <c r="H15" s="1"/>
  <c r="I15" s="1"/>
  <c r="J15"/>
  <c r="K15" s="1"/>
  <c r="G21" i="83"/>
  <c r="H21" s="1"/>
  <c r="I21" s="1"/>
  <c r="J21"/>
  <c r="K21" s="1"/>
  <c r="J37"/>
  <c r="K37" s="1"/>
  <c r="G37"/>
  <c r="H37" s="1"/>
  <c r="I37" s="1"/>
  <c r="J53"/>
  <c r="K53" s="1"/>
  <c r="G53"/>
  <c r="H53" s="1"/>
  <c r="I53" s="1"/>
  <c r="J69"/>
  <c r="K69" s="1"/>
  <c r="G69"/>
  <c r="H69" s="1"/>
  <c r="I69" s="1"/>
  <c r="G10"/>
  <c r="H10" s="1"/>
  <c r="I10" s="1"/>
  <c r="J10"/>
  <c r="K10" s="1"/>
  <c r="G26"/>
  <c r="H26" s="1"/>
  <c r="I26" s="1"/>
  <c r="J26"/>
  <c r="K26" s="1"/>
  <c r="G42"/>
  <c r="H42" s="1"/>
  <c r="I42" s="1"/>
  <c r="J42"/>
  <c r="K42" s="1"/>
  <c r="J58"/>
  <c r="K58" s="1"/>
  <c r="G58"/>
  <c r="H58" s="1"/>
  <c r="I58" s="1"/>
  <c r="G74"/>
  <c r="H74" s="1"/>
  <c r="I74" s="1"/>
  <c r="J74"/>
  <c r="K74" s="1"/>
  <c r="G11"/>
  <c r="H11" s="1"/>
  <c r="I11" s="1"/>
  <c r="J11"/>
  <c r="K11" s="1"/>
  <c r="J27"/>
  <c r="K27" s="1"/>
  <c r="G27"/>
  <c r="H27" s="1"/>
  <c r="I27" s="1"/>
  <c r="J43"/>
  <c r="K43" s="1"/>
  <c r="G43"/>
  <c r="H43" s="1"/>
  <c r="I43" s="1"/>
  <c r="G59"/>
  <c r="H59" s="1"/>
  <c r="I59" s="1"/>
  <c r="J59"/>
  <c r="K59" s="1"/>
  <c r="J75"/>
  <c r="K75" s="1"/>
  <c r="G75"/>
  <c r="H75" s="1"/>
  <c r="I75" s="1"/>
  <c r="J23" i="84"/>
  <c r="K23" s="1"/>
  <c r="G23"/>
  <c r="H23" s="1"/>
  <c r="I23" s="1"/>
  <c r="G39"/>
  <c r="H39" s="1"/>
  <c r="I39" s="1"/>
  <c r="J39"/>
  <c r="K39" s="1"/>
  <c r="J55"/>
  <c r="K55" s="1"/>
  <c r="G55"/>
  <c r="H55" s="1"/>
  <c r="I55" s="1"/>
  <c r="J71"/>
  <c r="K71" s="1"/>
  <c r="G71"/>
  <c r="H71" s="1"/>
  <c r="I71" s="1"/>
  <c r="J20"/>
  <c r="K20" s="1"/>
  <c r="G20"/>
  <c r="H20" s="1"/>
  <c r="I20" s="1"/>
  <c r="J36"/>
  <c r="K36" s="1"/>
  <c r="G36"/>
  <c r="H36" s="1"/>
  <c r="I36" s="1"/>
  <c r="J52"/>
  <c r="K52" s="1"/>
  <c r="G52"/>
  <c r="H52" s="1"/>
  <c r="I52" s="1"/>
  <c r="J68"/>
  <c r="K68" s="1"/>
  <c r="G68"/>
  <c r="H68" s="1"/>
  <c r="I68" s="1"/>
  <c r="G21"/>
  <c r="H21" s="1"/>
  <c r="I21" s="1"/>
  <c r="J21"/>
  <c r="K21" s="1"/>
  <c r="J37"/>
  <c r="K37" s="1"/>
  <c r="G37"/>
  <c r="H37" s="1"/>
  <c r="I37" s="1"/>
  <c r="G53"/>
  <c r="H53" s="1"/>
  <c r="I53" s="1"/>
  <c r="J53"/>
  <c r="K53" s="1"/>
  <c r="J69"/>
  <c r="K69" s="1"/>
  <c r="G69"/>
  <c r="H69" s="1"/>
  <c r="I69" s="1"/>
  <c r="J26"/>
  <c r="K26" s="1"/>
  <c r="G26"/>
  <c r="H26" s="1"/>
  <c r="I26" s="1"/>
  <c r="J42"/>
  <c r="K42" s="1"/>
  <c r="G42"/>
  <c r="H42" s="1"/>
  <c r="I42" s="1"/>
  <c r="J58"/>
  <c r="K58" s="1"/>
  <c r="G58"/>
  <c r="H58" s="1"/>
  <c r="I58" s="1"/>
  <c r="J74"/>
  <c r="K74" s="1"/>
  <c r="G74"/>
  <c r="H74" s="1"/>
  <c r="I74" s="1"/>
  <c r="J44" i="83"/>
  <c r="K44" s="1"/>
  <c r="G44"/>
  <c r="H44" s="1"/>
  <c r="I44" s="1"/>
  <c r="G13"/>
  <c r="H13" s="1"/>
  <c r="I13" s="1"/>
  <c r="J13"/>
  <c r="K13" s="1"/>
  <c r="G61"/>
  <c r="H61" s="1"/>
  <c r="I61" s="1"/>
  <c r="J61"/>
  <c r="K61" s="1"/>
  <c r="J34"/>
  <c r="K34" s="1"/>
  <c r="G34"/>
  <c r="H34" s="1"/>
  <c r="I34" s="1"/>
  <c r="J13" i="84"/>
  <c r="K13" s="1"/>
  <c r="G13"/>
  <c r="H13" s="1"/>
  <c r="I13" s="1"/>
  <c r="J51" i="83"/>
  <c r="K51" s="1"/>
  <c r="G51"/>
  <c r="H51" s="1"/>
  <c r="I51" s="1"/>
  <c r="J14" i="84"/>
  <c r="K14" s="1"/>
  <c r="G14"/>
  <c r="H14" s="1"/>
  <c r="I14" s="1"/>
  <c r="G28"/>
  <c r="H28" s="1"/>
  <c r="I28" s="1"/>
  <c r="J28"/>
  <c r="K28" s="1"/>
  <c r="J44"/>
  <c r="K44" s="1"/>
  <c r="G44"/>
  <c r="H44" s="1"/>
  <c r="I44" s="1"/>
  <c r="J60"/>
  <c r="K60" s="1"/>
  <c r="G60"/>
  <c r="H60" s="1"/>
  <c r="I60" s="1"/>
  <c r="J29"/>
  <c r="K29" s="1"/>
  <c r="G29"/>
  <c r="H29" s="1"/>
  <c r="I29" s="1"/>
  <c r="J61"/>
  <c r="K61" s="1"/>
  <c r="G61"/>
  <c r="H61" s="1"/>
  <c r="I61" s="1"/>
  <c r="G18"/>
  <c r="H18" s="1"/>
  <c r="I18" s="1"/>
  <c r="J18"/>
  <c r="K18" s="1"/>
  <c r="J34"/>
  <c r="K34" s="1"/>
  <c r="G34"/>
  <c r="H34" s="1"/>
  <c r="I34" s="1"/>
  <c r="J66"/>
  <c r="K66" s="1"/>
  <c r="G66"/>
  <c r="H66" s="1"/>
  <c r="I66" s="1"/>
  <c r="G8" i="83"/>
  <c r="H8" s="1"/>
  <c r="I8" s="1"/>
  <c r="J8"/>
  <c r="K8" s="1"/>
  <c r="G24"/>
  <c r="H24" s="1"/>
  <c r="I24" s="1"/>
  <c r="J24"/>
  <c r="K24" s="1"/>
  <c r="J40"/>
  <c r="K40" s="1"/>
  <c r="G40"/>
  <c r="H40" s="1"/>
  <c r="I40" s="1"/>
  <c r="G56"/>
  <c r="H56" s="1"/>
  <c r="I56" s="1"/>
  <c r="J56"/>
  <c r="K56" s="1"/>
  <c r="J72"/>
  <c r="K72" s="1"/>
  <c r="G72"/>
  <c r="H72" s="1"/>
  <c r="I72" s="1"/>
  <c r="G9"/>
  <c r="H9" s="1"/>
  <c r="I9" s="1"/>
  <c r="J9"/>
  <c r="K9" s="1"/>
  <c r="G25"/>
  <c r="H25" s="1"/>
  <c r="I25" s="1"/>
  <c r="J25"/>
  <c r="K25" s="1"/>
  <c r="G41"/>
  <c r="H41" s="1"/>
  <c r="I41" s="1"/>
  <c r="J41"/>
  <c r="K41" s="1"/>
  <c r="G57"/>
  <c r="H57" s="1"/>
  <c r="I57" s="1"/>
  <c r="J57"/>
  <c r="K57" s="1"/>
  <c r="J73"/>
  <c r="K73" s="1"/>
  <c r="G73"/>
  <c r="H73" s="1"/>
  <c r="I73" s="1"/>
  <c r="J14"/>
  <c r="K14" s="1"/>
  <c r="G14"/>
  <c r="H14" s="1"/>
  <c r="I14" s="1"/>
  <c r="J30"/>
  <c r="K30" s="1"/>
  <c r="G30"/>
  <c r="H30" s="1"/>
  <c r="I30" s="1"/>
  <c r="G46"/>
  <c r="H46" s="1"/>
  <c r="I46" s="1"/>
  <c r="J46"/>
  <c r="K46" s="1"/>
  <c r="J62"/>
  <c r="K62" s="1"/>
  <c r="G62"/>
  <c r="H62" s="1"/>
  <c r="I62" s="1"/>
  <c r="J9" i="84"/>
  <c r="K9" s="1"/>
  <c r="G9"/>
  <c r="H9" s="1"/>
  <c r="I9" s="1"/>
  <c r="G15" i="83"/>
  <c r="H15" s="1"/>
  <c r="I15" s="1"/>
  <c r="J15"/>
  <c r="K15" s="1"/>
  <c r="G31"/>
  <c r="H31" s="1"/>
  <c r="I31" s="1"/>
  <c r="J31"/>
  <c r="K31" s="1"/>
  <c r="G47"/>
  <c r="H47" s="1"/>
  <c r="I47" s="1"/>
  <c r="J47"/>
  <c r="K47" s="1"/>
  <c r="J63"/>
  <c r="K63" s="1"/>
  <c r="G63"/>
  <c r="H63" s="1"/>
  <c r="I63" s="1"/>
  <c r="G10" i="84"/>
  <c r="H10" s="1"/>
  <c r="I10" s="1"/>
  <c r="J10"/>
  <c r="K10" s="1"/>
  <c r="G27"/>
  <c r="H27" s="1"/>
  <c r="I27" s="1"/>
  <c r="J27"/>
  <c r="K27" s="1"/>
  <c r="G43"/>
  <c r="H43" s="1"/>
  <c r="I43" s="1"/>
  <c r="J43"/>
  <c r="K43" s="1"/>
  <c r="G59"/>
  <c r="H59" s="1"/>
  <c r="I59" s="1"/>
  <c r="J59"/>
  <c r="K59" s="1"/>
  <c r="J75"/>
  <c r="K75" s="1"/>
  <c r="G75"/>
  <c r="H75" s="1"/>
  <c r="I75" s="1"/>
  <c r="G24"/>
  <c r="H24" s="1"/>
  <c r="I24" s="1"/>
  <c r="J24"/>
  <c r="K24" s="1"/>
  <c r="J40"/>
  <c r="K40" s="1"/>
  <c r="G40"/>
  <c r="H40" s="1"/>
  <c r="I40" s="1"/>
  <c r="J56"/>
  <c r="K56" s="1"/>
  <c r="G56"/>
  <c r="H56" s="1"/>
  <c r="I56" s="1"/>
  <c r="J72"/>
  <c r="K72" s="1"/>
  <c r="G72"/>
  <c r="H72" s="1"/>
  <c r="I72" s="1"/>
  <c r="G25"/>
  <c r="H25" s="1"/>
  <c r="I25" s="1"/>
  <c r="J25"/>
  <c r="K25" s="1"/>
  <c r="J41"/>
  <c r="K41" s="1"/>
  <c r="G41"/>
  <c r="H41" s="1"/>
  <c r="I41" s="1"/>
  <c r="J57"/>
  <c r="K57" s="1"/>
  <c r="G57"/>
  <c r="H57" s="1"/>
  <c r="I57" s="1"/>
  <c r="G73"/>
  <c r="H73" s="1"/>
  <c r="I73" s="1"/>
  <c r="J73"/>
  <c r="K73" s="1"/>
  <c r="J30"/>
  <c r="K30" s="1"/>
  <c r="G30"/>
  <c r="H30" s="1"/>
  <c r="I30" s="1"/>
  <c r="J46"/>
  <c r="K46" s="1"/>
  <c r="G46"/>
  <c r="H46" s="1"/>
  <c r="I46" s="1"/>
  <c r="G62"/>
  <c r="H62" s="1"/>
  <c r="I62" s="1"/>
  <c r="J62"/>
  <c r="K62" s="1"/>
  <c r="G49" i="81"/>
  <c r="K7" i="83"/>
  <c r="L30" i="46"/>
  <c r="K38"/>
  <c r="K44" s="1"/>
  <c r="H58" i="81"/>
  <c r="G58"/>
  <c r="E54"/>
  <c r="I76" i="33"/>
  <c r="E81" i="81" s="1"/>
  <c r="N30" i="46"/>
  <c r="O28"/>
  <c r="O29"/>
  <c r="I44"/>
  <c r="J4" i="80"/>
  <c r="J73" s="1"/>
  <c r="J75" s="1"/>
  <c r="H73"/>
  <c r="H73" i="76"/>
  <c r="J4"/>
  <c r="J73" s="1"/>
  <c r="J75" s="1"/>
  <c r="E76" i="67"/>
  <c r="F76" s="1"/>
  <c r="N10" i="46"/>
  <c r="L18"/>
  <c r="AF23" i="33"/>
  <c r="AD23"/>
  <c r="F15" i="96" l="1"/>
  <c r="E60" i="81"/>
  <c r="L7" i="120"/>
  <c r="L76" s="1"/>
  <c r="K7" i="67"/>
  <c r="W7" s="1"/>
  <c r="L7" i="115"/>
  <c r="L76" s="1"/>
  <c r="L7" i="116"/>
  <c r="L76" s="1"/>
  <c r="M46" i="87"/>
  <c r="N46" i="115"/>
  <c r="O46" s="1"/>
  <c r="M57" i="87"/>
  <c r="N57" i="115"/>
  <c r="O57" s="1"/>
  <c r="M72" i="87"/>
  <c r="N72" i="115"/>
  <c r="O72" s="1"/>
  <c r="M25" i="87"/>
  <c r="N25" i="115"/>
  <c r="O25" s="1"/>
  <c r="M24" i="87"/>
  <c r="N24" i="115"/>
  <c r="O24" s="1"/>
  <c r="M59" i="87"/>
  <c r="N59" i="115"/>
  <c r="O59" s="1"/>
  <c r="M43" i="87"/>
  <c r="M27"/>
  <c r="N27" i="115"/>
  <c r="O27" s="1"/>
  <c r="M10" i="87"/>
  <c r="N10" i="115"/>
  <c r="O10" s="1"/>
  <c r="M18" i="87"/>
  <c r="N18" i="115"/>
  <c r="O18" s="1"/>
  <c r="M28" i="87"/>
  <c r="N28" i="115"/>
  <c r="O28" s="1"/>
  <c r="M53" i="87"/>
  <c r="N53" i="115"/>
  <c r="O53" s="1"/>
  <c r="M21" i="87"/>
  <c r="N21" i="115"/>
  <c r="O21" s="1"/>
  <c r="M39" i="87"/>
  <c r="N39" i="115"/>
  <c r="O39" s="1"/>
  <c r="M50" i="87"/>
  <c r="N50" i="115"/>
  <c r="O50" s="1"/>
  <c r="M65" i="87"/>
  <c r="N65" i="115"/>
  <c r="O65" s="1"/>
  <c r="M49" i="87"/>
  <c r="N49" i="115"/>
  <c r="O49" s="1"/>
  <c r="M48" i="87"/>
  <c r="N48" i="115"/>
  <c r="O48" s="1"/>
  <c r="M32" i="87"/>
  <c r="N32" i="115"/>
  <c r="O32" s="1"/>
  <c r="M16" i="87"/>
  <c r="N16" i="115"/>
  <c r="O16" s="1"/>
  <c r="M45" i="87"/>
  <c r="N45" i="115"/>
  <c r="O45" s="1"/>
  <c r="P23" i="46"/>
  <c r="M30" i="87"/>
  <c r="N30" i="115"/>
  <c r="O30" s="1"/>
  <c r="M41" i="87"/>
  <c r="N41" i="115"/>
  <c r="O41" s="1"/>
  <c r="M56" i="87"/>
  <c r="N56" i="115"/>
  <c r="O56" s="1"/>
  <c r="M40" i="87"/>
  <c r="N40" i="115"/>
  <c r="O40" s="1"/>
  <c r="M75" i="87"/>
  <c r="N75" i="115"/>
  <c r="O75" s="1"/>
  <c r="M9" i="87"/>
  <c r="N9" i="115"/>
  <c r="O9" s="1"/>
  <c r="M66" i="87"/>
  <c r="N66" i="115"/>
  <c r="O66" s="1"/>
  <c r="M34" i="87"/>
  <c r="N34" i="115"/>
  <c r="O34" s="1"/>
  <c r="M61" i="87"/>
  <c r="N61" i="115"/>
  <c r="O61" s="1"/>
  <c r="M29" i="87"/>
  <c r="N29" i="115"/>
  <c r="O29" s="1"/>
  <c r="M60" i="87"/>
  <c r="N60" i="115"/>
  <c r="O60" s="1"/>
  <c r="M44" i="87"/>
  <c r="N44" i="115"/>
  <c r="O44" s="1"/>
  <c r="M13" i="87"/>
  <c r="N13" i="115"/>
  <c r="O13" s="1"/>
  <c r="M74" i="87"/>
  <c r="N74" i="115"/>
  <c r="O74" s="1"/>
  <c r="M58" i="87"/>
  <c r="N58" i="115"/>
  <c r="O58" s="1"/>
  <c r="M42" i="87"/>
  <c r="K67" i="31"/>
  <c r="L67" s="1"/>
  <c r="K65"/>
  <c r="L65" s="1"/>
  <c r="K63"/>
  <c r="L63" s="1"/>
  <c r="K60"/>
  <c r="L60" s="1"/>
  <c r="K58"/>
  <c r="L58" s="1"/>
  <c r="K56"/>
  <c r="L56" s="1"/>
  <c r="K54"/>
  <c r="L54" s="1"/>
  <c r="K52"/>
  <c r="L52" s="1"/>
  <c r="K50"/>
  <c r="L50" s="1"/>
  <c r="K48"/>
  <c r="L48" s="1"/>
  <c r="K46"/>
  <c r="L46" s="1"/>
  <c r="K44"/>
  <c r="L44" s="1"/>
  <c r="K41"/>
  <c r="L41" s="1"/>
  <c r="K39"/>
  <c r="L39" s="1"/>
  <c r="K37"/>
  <c r="L37" s="1"/>
  <c r="K35"/>
  <c r="L35" s="1"/>
  <c r="K33"/>
  <c r="L33" s="1"/>
  <c r="K31"/>
  <c r="L31" s="1"/>
  <c r="K29"/>
  <c r="L29" s="1"/>
  <c r="K27"/>
  <c r="L27" s="1"/>
  <c r="K25"/>
  <c r="L25" s="1"/>
  <c r="K23"/>
  <c r="L23" s="1"/>
  <c r="K20"/>
  <c r="L20" s="1"/>
  <c r="K18"/>
  <c r="L18" s="1"/>
  <c r="K15"/>
  <c r="L15" s="1"/>
  <c r="K13"/>
  <c r="L13" s="1"/>
  <c r="K9"/>
  <c r="L9" s="1"/>
  <c r="N42" i="115"/>
  <c r="O42" s="1"/>
  <c r="K68" i="31"/>
  <c r="L68" s="1"/>
  <c r="K66"/>
  <c r="L66" s="1"/>
  <c r="K64"/>
  <c r="L64" s="1"/>
  <c r="K62"/>
  <c r="L62" s="1"/>
  <c r="K59"/>
  <c r="L59" s="1"/>
  <c r="K57"/>
  <c r="L57" s="1"/>
  <c r="K55"/>
  <c r="L55" s="1"/>
  <c r="K53"/>
  <c r="L53" s="1"/>
  <c r="K51"/>
  <c r="L51" s="1"/>
  <c r="K49"/>
  <c r="L49" s="1"/>
  <c r="K47"/>
  <c r="L47" s="1"/>
  <c r="K45"/>
  <c r="L45" s="1"/>
  <c r="K42"/>
  <c r="L42" s="1"/>
  <c r="K40"/>
  <c r="L40" s="1"/>
  <c r="K38"/>
  <c r="L38" s="1"/>
  <c r="K36"/>
  <c r="L36" s="1"/>
  <c r="K34"/>
  <c r="L34" s="1"/>
  <c r="K32"/>
  <c r="L32" s="1"/>
  <c r="K30"/>
  <c r="L30" s="1"/>
  <c r="K28"/>
  <c r="L28" s="1"/>
  <c r="K26"/>
  <c r="L26" s="1"/>
  <c r="K24"/>
  <c r="L24" s="1"/>
  <c r="K22"/>
  <c r="L22" s="1"/>
  <c r="K19"/>
  <c r="L19" s="1"/>
  <c r="K16"/>
  <c r="L16" s="1"/>
  <c r="K14"/>
  <c r="L14" s="1"/>
  <c r="K12"/>
  <c r="L12" s="1"/>
  <c r="M26" i="87"/>
  <c r="N26" i="115"/>
  <c r="O26" s="1"/>
  <c r="M69" i="87"/>
  <c r="N69" i="115"/>
  <c r="O69" s="1"/>
  <c r="M37" i="87"/>
  <c r="N37" i="115"/>
  <c r="O37" s="1"/>
  <c r="M68" i="87"/>
  <c r="N68" i="115"/>
  <c r="O68" s="1"/>
  <c r="M52" i="87"/>
  <c r="N52" i="115"/>
  <c r="O52" s="1"/>
  <c r="P35" i="46"/>
  <c r="M36" i="87"/>
  <c r="N36" i="115"/>
  <c r="O36" s="1"/>
  <c r="M20" i="87"/>
  <c r="N20" i="115"/>
  <c r="O20" s="1"/>
  <c r="M71" i="87"/>
  <c r="N71" i="115"/>
  <c r="O71" s="1"/>
  <c r="M55" i="87"/>
  <c r="N55" i="115"/>
  <c r="O55" s="1"/>
  <c r="M23" i="87"/>
  <c r="N23" i="115"/>
  <c r="O23" s="1"/>
  <c r="P16" i="46"/>
  <c r="P14"/>
  <c r="P12"/>
  <c r="P10"/>
  <c r="P17"/>
  <c r="P15"/>
  <c r="Q15" s="1"/>
  <c r="U15" s="1"/>
  <c r="W15" s="1"/>
  <c r="P13"/>
  <c r="P11"/>
  <c r="M70" i="87"/>
  <c r="N70" i="115"/>
  <c r="O70" s="1"/>
  <c r="M54" i="87"/>
  <c r="N54" i="115"/>
  <c r="O54" s="1"/>
  <c r="M38" i="87"/>
  <c r="N38" i="115"/>
  <c r="O38" s="1"/>
  <c r="M22" i="87"/>
  <c r="N22" i="115"/>
  <c r="O22" s="1"/>
  <c r="M17" i="87"/>
  <c r="N17" i="115"/>
  <c r="O17" s="1"/>
  <c r="M64" i="87"/>
  <c r="N64" i="115"/>
  <c r="O64" s="1"/>
  <c r="M67" i="87"/>
  <c r="N67" i="115"/>
  <c r="O67" s="1"/>
  <c r="M35" i="87"/>
  <c r="N35" i="115"/>
  <c r="O35" s="1"/>
  <c r="E61" i="100"/>
  <c r="E72"/>
  <c r="E24"/>
  <c r="E23"/>
  <c r="E58"/>
  <c r="E42"/>
  <c r="E26"/>
  <c r="E9"/>
  <c r="D46"/>
  <c r="D30"/>
  <c r="D14"/>
  <c r="D45"/>
  <c r="D56"/>
  <c r="D40"/>
  <c r="D24"/>
  <c r="D8"/>
  <c r="D55"/>
  <c r="D23"/>
  <c r="D7"/>
  <c r="E17"/>
  <c r="E27"/>
  <c r="D60"/>
  <c r="D12"/>
  <c r="E52"/>
  <c r="E20"/>
  <c r="E38"/>
  <c r="D58"/>
  <c r="D10"/>
  <c r="D73"/>
  <c r="D41"/>
  <c r="D25"/>
  <c r="D9"/>
  <c r="D20"/>
  <c r="E14"/>
  <c r="D67"/>
  <c r="D51"/>
  <c r="E49"/>
  <c r="D49"/>
  <c r="D28"/>
  <c r="D11"/>
  <c r="E64"/>
  <c r="E48"/>
  <c r="E47"/>
  <c r="E31"/>
  <c r="E15"/>
  <c r="E50"/>
  <c r="D54"/>
  <c r="D22"/>
  <c r="D69"/>
  <c r="D53"/>
  <c r="D37"/>
  <c r="E11"/>
  <c r="D64"/>
  <c r="D15"/>
  <c r="E44"/>
  <c r="E62"/>
  <c r="E46"/>
  <c r="D66"/>
  <c r="D65"/>
  <c r="D44"/>
  <c r="E45"/>
  <c r="E29"/>
  <c r="E56"/>
  <c r="E40"/>
  <c r="E71"/>
  <c r="E55"/>
  <c r="E39"/>
  <c r="E74"/>
  <c r="D62"/>
  <c r="E8"/>
  <c r="D61"/>
  <c r="D29"/>
  <c r="D13"/>
  <c r="D72"/>
  <c r="D71"/>
  <c r="D39"/>
  <c r="E65"/>
  <c r="E33"/>
  <c r="E60"/>
  <c r="E28"/>
  <c r="E59"/>
  <c r="E43"/>
  <c r="E13"/>
  <c r="D50"/>
  <c r="E12"/>
  <c r="D33"/>
  <c r="D43"/>
  <c r="E73"/>
  <c r="E57"/>
  <c r="E41"/>
  <c r="E25"/>
  <c r="E68"/>
  <c r="E36"/>
  <c r="E67"/>
  <c r="E51"/>
  <c r="E35"/>
  <c r="E19"/>
  <c r="E70"/>
  <c r="E54"/>
  <c r="E22"/>
  <c r="D74"/>
  <c r="D42"/>
  <c r="D26"/>
  <c r="D57"/>
  <c r="D68"/>
  <c r="D52"/>
  <c r="D36"/>
  <c r="D35"/>
  <c r="D19"/>
  <c r="E30"/>
  <c r="D18"/>
  <c r="E7"/>
  <c r="D59"/>
  <c r="E69"/>
  <c r="E53"/>
  <c r="E37"/>
  <c r="E21"/>
  <c r="E32"/>
  <c r="E16"/>
  <c r="E63"/>
  <c r="E66"/>
  <c r="E34"/>
  <c r="E18"/>
  <c r="D70"/>
  <c r="D38"/>
  <c r="D21"/>
  <c r="D48"/>
  <c r="D32"/>
  <c r="D16"/>
  <c r="E10"/>
  <c r="D63"/>
  <c r="D47"/>
  <c r="D31"/>
  <c r="D34"/>
  <c r="D17"/>
  <c r="D27"/>
  <c r="F35" i="96"/>
  <c r="E35"/>
  <c r="L35" s="1"/>
  <c r="F42"/>
  <c r="E42"/>
  <c r="L42" s="1"/>
  <c r="E10"/>
  <c r="L10" s="1"/>
  <c r="F10"/>
  <c r="AB7" i="33"/>
  <c r="AC7" s="1"/>
  <c r="AI7" s="1"/>
  <c r="AJ7" s="1"/>
  <c r="H11" i="101"/>
  <c r="E80"/>
  <c r="P11"/>
  <c r="O11"/>
  <c r="O80" s="1"/>
  <c r="L80"/>
  <c r="L7" i="114"/>
  <c r="L77" s="1"/>
  <c r="L7" i="119"/>
  <c r="J76"/>
  <c r="M7" i="116"/>
  <c r="L7" i="117"/>
  <c r="J76"/>
  <c r="L7" i="113"/>
  <c r="J76"/>
  <c r="L76" i="118"/>
  <c r="M7"/>
  <c r="K77" i="83"/>
  <c r="H77"/>
  <c r="J77"/>
  <c r="N7" i="90"/>
  <c r="M76"/>
  <c r="E62" i="96"/>
  <c r="L62" s="1"/>
  <c r="E68"/>
  <c r="L68" s="1"/>
  <c r="E17"/>
  <c r="L17" s="1"/>
  <c r="F17"/>
  <c r="E33"/>
  <c r="L33" s="1"/>
  <c r="F33"/>
  <c r="D24"/>
  <c r="C22" i="100"/>
  <c r="H77" i="80"/>
  <c r="R76" i="33"/>
  <c r="E83" i="81" s="1"/>
  <c r="L7" i="83"/>
  <c r="D6" i="100"/>
  <c r="AD42" i="33"/>
  <c r="C41" i="72" s="1"/>
  <c r="AD15" i="33"/>
  <c r="C14" i="72" s="1"/>
  <c r="AF15" i="33"/>
  <c r="H67" i="81"/>
  <c r="E84"/>
  <c r="I76" i="98"/>
  <c r="E76"/>
  <c r="I7" i="92"/>
  <c r="K7" s="1"/>
  <c r="I7" i="88"/>
  <c r="K7" s="1"/>
  <c r="I7" i="85"/>
  <c r="K7" s="1"/>
  <c r="H76"/>
  <c r="J76" i="90"/>
  <c r="I7" i="86"/>
  <c r="K7" s="1"/>
  <c r="H76"/>
  <c r="E82" i="81"/>
  <c r="I7" i="91"/>
  <c r="K7" s="1"/>
  <c r="H76"/>
  <c r="I7" i="89"/>
  <c r="K7" s="1"/>
  <c r="H76"/>
  <c r="I7" i="87"/>
  <c r="K7" s="1"/>
  <c r="H76"/>
  <c r="G67" i="81"/>
  <c r="M7" i="84"/>
  <c r="K76"/>
  <c r="L38" i="46"/>
  <c r="L62" i="84"/>
  <c r="M62"/>
  <c r="L59"/>
  <c r="M59"/>
  <c r="L25" i="83"/>
  <c r="M25"/>
  <c r="L11"/>
  <c r="M11"/>
  <c r="L26"/>
  <c r="M26"/>
  <c r="L49" i="84"/>
  <c r="M49"/>
  <c r="L54" i="83"/>
  <c r="M54"/>
  <c r="L63" i="84"/>
  <c r="M63"/>
  <c r="L45" i="83"/>
  <c r="M45"/>
  <c r="H76" i="84"/>
  <c r="L30"/>
  <c r="M30"/>
  <c r="L57"/>
  <c r="M57"/>
  <c r="L56"/>
  <c r="M56"/>
  <c r="L63" i="83"/>
  <c r="M63"/>
  <c r="L9" i="84"/>
  <c r="M9"/>
  <c r="L14" i="83"/>
  <c r="M14"/>
  <c r="L72"/>
  <c r="M72"/>
  <c r="L40"/>
  <c r="M40"/>
  <c r="L34" i="84"/>
  <c r="M34"/>
  <c r="L61"/>
  <c r="M61"/>
  <c r="L60"/>
  <c r="M60"/>
  <c r="L51" i="83"/>
  <c r="M51"/>
  <c r="L34"/>
  <c r="M34"/>
  <c r="L74" i="84"/>
  <c r="M74"/>
  <c r="L42"/>
  <c r="M42"/>
  <c r="L69"/>
  <c r="M69"/>
  <c r="L37"/>
  <c r="M37"/>
  <c r="L68"/>
  <c r="M68"/>
  <c r="L36"/>
  <c r="M36"/>
  <c r="L71"/>
  <c r="M71"/>
  <c r="L75" i="83"/>
  <c r="M75"/>
  <c r="L43"/>
  <c r="M43"/>
  <c r="L58"/>
  <c r="M58"/>
  <c r="L69"/>
  <c r="M69"/>
  <c r="L37"/>
  <c r="M37"/>
  <c r="L20"/>
  <c r="M20"/>
  <c r="L31" i="84"/>
  <c r="M31"/>
  <c r="L54"/>
  <c r="M54"/>
  <c r="L22"/>
  <c r="M22"/>
  <c r="L17"/>
  <c r="M17"/>
  <c r="L19"/>
  <c r="M19"/>
  <c r="L22" i="83"/>
  <c r="M22"/>
  <c r="L33"/>
  <c r="M33"/>
  <c r="L11" i="84"/>
  <c r="M11"/>
  <c r="L48" i="83"/>
  <c r="M48"/>
  <c r="L35"/>
  <c r="M35"/>
  <c r="L18"/>
  <c r="M18"/>
  <c r="L28"/>
  <c r="M28"/>
  <c r="L31"/>
  <c r="M31"/>
  <c r="L46"/>
  <c r="M46"/>
  <c r="L57"/>
  <c r="M57"/>
  <c r="L28" i="84"/>
  <c r="M28"/>
  <c r="L39"/>
  <c r="M39"/>
  <c r="L52" i="83"/>
  <c r="M52"/>
  <c r="L50"/>
  <c r="M50"/>
  <c r="L12"/>
  <c r="M12"/>
  <c r="L16" i="84"/>
  <c r="M16"/>
  <c r="L67" i="83"/>
  <c r="M67"/>
  <c r="L73" i="84"/>
  <c r="M73"/>
  <c r="L43"/>
  <c r="M43"/>
  <c r="L10"/>
  <c r="M10"/>
  <c r="L47" i="83"/>
  <c r="M47"/>
  <c r="L15"/>
  <c r="M15"/>
  <c r="L41"/>
  <c r="M41"/>
  <c r="L9"/>
  <c r="M9"/>
  <c r="L56"/>
  <c r="M56"/>
  <c r="L24"/>
  <c r="M24"/>
  <c r="L18" i="84"/>
  <c r="M18"/>
  <c r="L61" i="83"/>
  <c r="M61"/>
  <c r="L53" i="84"/>
  <c r="M53"/>
  <c r="L21"/>
  <c r="M21"/>
  <c r="L59" i="83"/>
  <c r="M59"/>
  <c r="L74"/>
  <c r="M74"/>
  <c r="L42"/>
  <c r="M42"/>
  <c r="L10"/>
  <c r="M10"/>
  <c r="L21"/>
  <c r="M21"/>
  <c r="L68"/>
  <c r="M68"/>
  <c r="L50" i="84"/>
  <c r="M50"/>
  <c r="L65"/>
  <c r="M65"/>
  <c r="L32"/>
  <c r="M32"/>
  <c r="L70" i="83"/>
  <c r="M70"/>
  <c r="L38"/>
  <c r="M38"/>
  <c r="L12" i="84"/>
  <c r="M12"/>
  <c r="L45"/>
  <c r="M45"/>
  <c r="L47"/>
  <c r="M47"/>
  <c r="L25"/>
  <c r="M25"/>
  <c r="L24"/>
  <c r="M24"/>
  <c r="L27"/>
  <c r="M27"/>
  <c r="L8" i="83"/>
  <c r="M8"/>
  <c r="L13"/>
  <c r="M13"/>
  <c r="L15" i="84"/>
  <c r="M15"/>
  <c r="L29" i="83"/>
  <c r="M29"/>
  <c r="L48" i="84"/>
  <c r="M48"/>
  <c r="L51"/>
  <c r="M51"/>
  <c r="L55" i="83"/>
  <c r="M55"/>
  <c r="L23"/>
  <c r="M23"/>
  <c r="L65"/>
  <c r="M65"/>
  <c r="L16"/>
  <c r="M16"/>
  <c r="L66"/>
  <c r="M66"/>
  <c r="L46" i="84"/>
  <c r="M46"/>
  <c r="L41"/>
  <c r="M41"/>
  <c r="L72"/>
  <c r="M72"/>
  <c r="L40"/>
  <c r="M40"/>
  <c r="L75"/>
  <c r="M75"/>
  <c r="L62" i="83"/>
  <c r="M62"/>
  <c r="L30"/>
  <c r="M30"/>
  <c r="L73"/>
  <c r="M73"/>
  <c r="L66" i="84"/>
  <c r="M66"/>
  <c r="L29"/>
  <c r="M29"/>
  <c r="L44"/>
  <c r="M44"/>
  <c r="L14"/>
  <c r="M14"/>
  <c r="L13"/>
  <c r="M13"/>
  <c r="L44" i="83"/>
  <c r="M44"/>
  <c r="L58" i="84"/>
  <c r="M58"/>
  <c r="L26"/>
  <c r="M26"/>
  <c r="L52"/>
  <c r="M52"/>
  <c r="L20"/>
  <c r="M20"/>
  <c r="L55"/>
  <c r="M55"/>
  <c r="L23"/>
  <c r="M23"/>
  <c r="L27" i="83"/>
  <c r="M27"/>
  <c r="L53"/>
  <c r="M53"/>
  <c r="L36"/>
  <c r="M36"/>
  <c r="L19"/>
  <c r="M19"/>
  <c r="L8" i="84"/>
  <c r="M8"/>
  <c r="L60" i="83"/>
  <c r="M60"/>
  <c r="L70" i="84"/>
  <c r="M70"/>
  <c r="L38"/>
  <c r="M38"/>
  <c r="L33"/>
  <c r="M33"/>
  <c r="L64"/>
  <c r="M64"/>
  <c r="L67"/>
  <c r="M67"/>
  <c r="L35"/>
  <c r="M35"/>
  <c r="L71" i="83"/>
  <c r="M71"/>
  <c r="L39"/>
  <c r="M39"/>
  <c r="L49"/>
  <c r="M49"/>
  <c r="L17"/>
  <c r="M17"/>
  <c r="L64"/>
  <c r="M64"/>
  <c r="L32"/>
  <c r="M32"/>
  <c r="I7"/>
  <c r="I77" s="1"/>
  <c r="N7" i="84"/>
  <c r="I76"/>
  <c r="M7" i="83"/>
  <c r="G54" i="81"/>
  <c r="H54"/>
  <c r="O30" i="46"/>
  <c r="G61" i="81"/>
  <c r="H81"/>
  <c r="G81"/>
  <c r="J77" i="76"/>
  <c r="K75"/>
  <c r="M75" s="1"/>
  <c r="J77" i="80"/>
  <c r="K75"/>
  <c r="M75" s="1"/>
  <c r="H77" i="76"/>
  <c r="K4"/>
  <c r="K4" i="80"/>
  <c r="G76" i="67"/>
  <c r="T76"/>
  <c r="O10" i="46"/>
  <c r="N18"/>
  <c r="N38" s="1"/>
  <c r="C22" i="72"/>
  <c r="M7" i="120" l="1"/>
  <c r="M7" i="115"/>
  <c r="M7" i="114"/>
  <c r="M77" s="1"/>
  <c r="AB76" i="33"/>
  <c r="N33" i="115"/>
  <c r="O33" s="1"/>
  <c r="M33" i="87"/>
  <c r="N43" i="115"/>
  <c r="O43" s="1"/>
  <c r="P43" s="1"/>
  <c r="AK42" i="72" s="1"/>
  <c r="H80" i="101"/>
  <c r="M19" i="87"/>
  <c r="N19" i="115"/>
  <c r="O19" s="1"/>
  <c r="M31" i="87"/>
  <c r="N31" i="115"/>
  <c r="O31" s="1"/>
  <c r="L34" i="100"/>
  <c r="P35" i="115"/>
  <c r="AK34" i="72" s="1"/>
  <c r="L66" i="100"/>
  <c r="P67" i="115"/>
  <c r="AK66" i="72" s="1"/>
  <c r="L63" i="100"/>
  <c r="P64" i="115"/>
  <c r="AK63" i="72" s="1"/>
  <c r="L16" i="100"/>
  <c r="P17" i="115"/>
  <c r="AK16" i="72" s="1"/>
  <c r="L32" i="100"/>
  <c r="P33" i="115"/>
  <c r="AK32" i="72" s="1"/>
  <c r="L21" i="100"/>
  <c r="P22" i="115"/>
  <c r="AK21" i="72" s="1"/>
  <c r="L37" i="100"/>
  <c r="P38" i="115"/>
  <c r="AK37" i="72" s="1"/>
  <c r="L53" i="100"/>
  <c r="P54" i="115"/>
  <c r="AK53" i="72" s="1"/>
  <c r="L69" i="100"/>
  <c r="P70" i="115"/>
  <c r="AK69" i="72" s="1"/>
  <c r="X15" i="46"/>
  <c r="Z15" s="1"/>
  <c r="Y15"/>
  <c r="L22" i="100"/>
  <c r="P23" i="115"/>
  <c r="AK22" i="72" s="1"/>
  <c r="L54" i="100"/>
  <c r="P55" i="115"/>
  <c r="AK54" i="72" s="1"/>
  <c r="L70" i="100"/>
  <c r="P71" i="115"/>
  <c r="AK70" i="72" s="1"/>
  <c r="L19" i="100"/>
  <c r="P20" i="115"/>
  <c r="AK19" i="72" s="1"/>
  <c r="L35" i="100"/>
  <c r="P36" i="115"/>
  <c r="AK35" i="72" s="1"/>
  <c r="M14" i="31"/>
  <c r="N14"/>
  <c r="M19"/>
  <c r="N19"/>
  <c r="N24"/>
  <c r="M24"/>
  <c r="N28"/>
  <c r="M28"/>
  <c r="M32"/>
  <c r="N32"/>
  <c r="M36"/>
  <c r="N36"/>
  <c r="M40"/>
  <c r="N40"/>
  <c r="M45"/>
  <c r="N45"/>
  <c r="N49"/>
  <c r="M49"/>
  <c r="N53"/>
  <c r="M53"/>
  <c r="N57"/>
  <c r="M57"/>
  <c r="M62"/>
  <c r="N62"/>
  <c r="M66"/>
  <c r="N66"/>
  <c r="L41" i="100"/>
  <c r="P42" i="115"/>
  <c r="AK41" i="72" s="1"/>
  <c r="N13" i="31"/>
  <c r="M13"/>
  <c r="M18"/>
  <c r="N18"/>
  <c r="N23"/>
  <c r="M23"/>
  <c r="M27"/>
  <c r="N27"/>
  <c r="M31"/>
  <c r="N31"/>
  <c r="N35"/>
  <c r="M35"/>
  <c r="N39"/>
  <c r="M39"/>
  <c r="M44"/>
  <c r="N44"/>
  <c r="M48"/>
  <c r="N48"/>
  <c r="M52"/>
  <c r="N52"/>
  <c r="M56"/>
  <c r="N56"/>
  <c r="N60"/>
  <c r="M60"/>
  <c r="N65"/>
  <c r="M65"/>
  <c r="M63" i="87"/>
  <c r="N63" i="115"/>
  <c r="O63" s="1"/>
  <c r="M51" i="87"/>
  <c r="N51" i="115"/>
  <c r="O51" s="1"/>
  <c r="M62" i="87"/>
  <c r="N62" i="115"/>
  <c r="O62" s="1"/>
  <c r="L44" i="100"/>
  <c r="P45" i="115"/>
  <c r="AK44" i="72" s="1"/>
  <c r="L15" i="100"/>
  <c r="P16" i="115"/>
  <c r="AK15" i="72" s="1"/>
  <c r="L31" i="100"/>
  <c r="P32" i="115"/>
  <c r="AK31" i="72" s="1"/>
  <c r="L47" i="100"/>
  <c r="P48" i="115"/>
  <c r="AK47" i="72" s="1"/>
  <c r="L48" i="100"/>
  <c r="P49" i="115"/>
  <c r="AK48" i="72" s="1"/>
  <c r="L64" i="100"/>
  <c r="P65" i="115"/>
  <c r="AK64" i="72" s="1"/>
  <c r="L49" i="100"/>
  <c r="P50" i="115"/>
  <c r="AK49" i="72" s="1"/>
  <c r="L38" i="100"/>
  <c r="P39" i="115"/>
  <c r="AK38" i="72" s="1"/>
  <c r="L20" i="100"/>
  <c r="P21" i="115"/>
  <c r="AK20" i="72" s="1"/>
  <c r="L52" i="100"/>
  <c r="P53" i="115"/>
  <c r="AK52" i="72" s="1"/>
  <c r="L27" i="100"/>
  <c r="P28" i="115"/>
  <c r="AK27" i="72" s="1"/>
  <c r="L17" i="100"/>
  <c r="P18" i="115"/>
  <c r="AK17" i="72" s="1"/>
  <c r="L9" i="100"/>
  <c r="P10" i="115"/>
  <c r="AK9" i="72" s="1"/>
  <c r="L26" i="100"/>
  <c r="P27" i="115"/>
  <c r="AK26" i="72" s="1"/>
  <c r="L42" i="100"/>
  <c r="L58"/>
  <c r="P59" i="115"/>
  <c r="AK58" i="72" s="1"/>
  <c r="L23" i="100"/>
  <c r="P24" i="115"/>
  <c r="AK23" i="72" s="1"/>
  <c r="L24" i="100"/>
  <c r="P25" i="115"/>
  <c r="AK24" i="72" s="1"/>
  <c r="L71" i="100"/>
  <c r="P72" i="115"/>
  <c r="AK71" i="72" s="1"/>
  <c r="L56" i="100"/>
  <c r="P57" i="115"/>
  <c r="AK56" i="72" s="1"/>
  <c r="L45" i="100"/>
  <c r="P46" i="115"/>
  <c r="AK45" i="72" s="1"/>
  <c r="M11" i="87"/>
  <c r="N11" i="115"/>
  <c r="O11" s="1"/>
  <c r="M8" i="87"/>
  <c r="N8" i="115"/>
  <c r="O8" s="1"/>
  <c r="M14" i="87"/>
  <c r="N14" i="115"/>
  <c r="O14" s="1"/>
  <c r="L51" i="100"/>
  <c r="P52" i="115"/>
  <c r="AK51" i="72" s="1"/>
  <c r="L67" i="100"/>
  <c r="P68" i="115"/>
  <c r="AK67" i="72" s="1"/>
  <c r="L36" i="100"/>
  <c r="P37" i="115"/>
  <c r="AK36" i="72" s="1"/>
  <c r="L68" i="100"/>
  <c r="P69" i="115"/>
  <c r="AK68" i="72" s="1"/>
  <c r="L25" i="100"/>
  <c r="P26" i="115"/>
  <c r="AK25" i="72" s="1"/>
  <c r="N12" i="31"/>
  <c r="M12"/>
  <c r="N16"/>
  <c r="M16"/>
  <c r="N22"/>
  <c r="M22"/>
  <c r="M26"/>
  <c r="N26"/>
  <c r="N30"/>
  <c r="M30"/>
  <c r="M34"/>
  <c r="N34"/>
  <c r="M38"/>
  <c r="N38"/>
  <c r="N42"/>
  <c r="M42"/>
  <c r="N47"/>
  <c r="M47"/>
  <c r="N51"/>
  <c r="M51"/>
  <c r="M55"/>
  <c r="N55"/>
  <c r="M59"/>
  <c r="N59"/>
  <c r="N64"/>
  <c r="M64"/>
  <c r="N68"/>
  <c r="M68"/>
  <c r="N15"/>
  <c r="M15"/>
  <c r="N20"/>
  <c r="M20"/>
  <c r="N25"/>
  <c r="M25"/>
  <c r="M29"/>
  <c r="N29"/>
  <c r="M33"/>
  <c r="N33"/>
  <c r="N37"/>
  <c r="M37"/>
  <c r="M41"/>
  <c r="N41"/>
  <c r="M46"/>
  <c r="N46"/>
  <c r="N50"/>
  <c r="M50"/>
  <c r="N54"/>
  <c r="M54"/>
  <c r="M58"/>
  <c r="N58"/>
  <c r="M63"/>
  <c r="N63"/>
  <c r="M67"/>
  <c r="N67"/>
  <c r="L57" i="100"/>
  <c r="P58" i="115"/>
  <c r="AK57" i="72" s="1"/>
  <c r="L73" i="100"/>
  <c r="P74" i="115"/>
  <c r="AK73" i="72" s="1"/>
  <c r="L12" i="100"/>
  <c r="P13" i="115"/>
  <c r="AK12" i="72" s="1"/>
  <c r="L43" i="100"/>
  <c r="P44" i="115"/>
  <c r="AK43" i="72" s="1"/>
  <c r="L59" i="100"/>
  <c r="P60" i="115"/>
  <c r="AK59" i="72" s="1"/>
  <c r="L28" i="100"/>
  <c r="P29" i="115"/>
  <c r="AK28" i="72" s="1"/>
  <c r="L60" i="100"/>
  <c r="P61" i="115"/>
  <c r="AK60" i="72" s="1"/>
  <c r="L33" i="100"/>
  <c r="P34" i="115"/>
  <c r="AK33" i="72" s="1"/>
  <c r="L65" i="100"/>
  <c r="P66" i="115"/>
  <c r="AK65" i="72" s="1"/>
  <c r="L8" i="100"/>
  <c r="P9" i="115"/>
  <c r="AK8" i="72" s="1"/>
  <c r="L74" i="100"/>
  <c r="P75" i="115"/>
  <c r="AK74" i="72" s="1"/>
  <c r="L39" i="100"/>
  <c r="P40" i="115"/>
  <c r="AK39" i="72" s="1"/>
  <c r="L55" i="100"/>
  <c r="P56" i="115"/>
  <c r="AK55" i="72" s="1"/>
  <c r="L40" i="100"/>
  <c r="P41" i="115"/>
  <c r="AK40" i="72" s="1"/>
  <c r="L29" i="100"/>
  <c r="P30" i="115"/>
  <c r="AK29" i="72" s="1"/>
  <c r="M47" i="87"/>
  <c r="N47" i="115"/>
  <c r="O47" s="1"/>
  <c r="M12" i="87"/>
  <c r="N12" i="115"/>
  <c r="O12" s="1"/>
  <c r="M15" i="87"/>
  <c r="N15" i="115"/>
  <c r="O15" s="1"/>
  <c r="P29" i="46"/>
  <c r="P28"/>
  <c r="M73" i="87"/>
  <c r="N73" i="115"/>
  <c r="O73" s="1"/>
  <c r="E69" i="81"/>
  <c r="E86" s="1"/>
  <c r="R11" i="101"/>
  <c r="R80" s="1"/>
  <c r="P80"/>
  <c r="Q11"/>
  <c r="G82" i="81"/>
  <c r="Q81" i="33"/>
  <c r="G83" i="81"/>
  <c r="Y81" i="33"/>
  <c r="M76" i="115"/>
  <c r="M76" i="116"/>
  <c r="M7" i="119"/>
  <c r="L76"/>
  <c r="M76" i="118"/>
  <c r="M76" i="120"/>
  <c r="L76" i="113"/>
  <c r="M7"/>
  <c r="L76" i="117"/>
  <c r="M7"/>
  <c r="Z6" i="72"/>
  <c r="L77" i="83"/>
  <c r="M77"/>
  <c r="L7" i="86"/>
  <c r="K76"/>
  <c r="L7" i="88"/>
  <c r="L76" s="1"/>
  <c r="K76"/>
  <c r="L7" i="89"/>
  <c r="K76"/>
  <c r="K76" i="87"/>
  <c r="L7"/>
  <c r="K76" i="91"/>
  <c r="L7"/>
  <c r="L7" i="92"/>
  <c r="L76" s="1"/>
  <c r="K76"/>
  <c r="L7" i="85"/>
  <c r="K76"/>
  <c r="E24" i="96"/>
  <c r="L24" s="1"/>
  <c r="F24"/>
  <c r="D16"/>
  <c r="C14" i="100"/>
  <c r="E66" i="81"/>
  <c r="E65"/>
  <c r="H65" s="1"/>
  <c r="H83"/>
  <c r="AF42" i="33"/>
  <c r="H84" i="81"/>
  <c r="G84"/>
  <c r="AA7" i="72"/>
  <c r="E75" i="100"/>
  <c r="D75"/>
  <c r="E85" i="81"/>
  <c r="I76" i="92"/>
  <c r="I76" i="88"/>
  <c r="K76" i="90"/>
  <c r="I76" i="87"/>
  <c r="AD7" i="33"/>
  <c r="AF7"/>
  <c r="AC76"/>
  <c r="I76" i="89"/>
  <c r="I76" i="91"/>
  <c r="I76" i="86"/>
  <c r="I76" i="85"/>
  <c r="N64" i="83"/>
  <c r="Z63" i="72"/>
  <c r="N49" i="83"/>
  <c r="Z48" i="72"/>
  <c r="N71" i="83"/>
  <c r="Z70" i="72"/>
  <c r="N67" i="84"/>
  <c r="AA66" i="72"/>
  <c r="N33" i="84"/>
  <c r="AA32" i="72"/>
  <c r="N70" i="84"/>
  <c r="AA69" i="72"/>
  <c r="N36" i="83"/>
  <c r="Z35" i="72"/>
  <c r="N27" i="83"/>
  <c r="Z26" i="72"/>
  <c r="N55" i="84"/>
  <c r="AA54" i="72"/>
  <c r="N52" i="84"/>
  <c r="AA51" i="72"/>
  <c r="N58" i="84"/>
  <c r="AA57" i="72"/>
  <c r="N13" i="84"/>
  <c r="AA12" i="72"/>
  <c r="N44" i="84"/>
  <c r="AA43" i="72"/>
  <c r="N66" i="84"/>
  <c r="AA65" i="72"/>
  <c r="N30" i="83"/>
  <c r="Z29" i="72"/>
  <c r="N75" i="84"/>
  <c r="AA74" i="72"/>
  <c r="N72" i="84"/>
  <c r="AA71" i="72"/>
  <c r="N46" i="84"/>
  <c r="AA45" i="72"/>
  <c r="N16" i="83"/>
  <c r="Z15" i="72"/>
  <c r="N23" i="83"/>
  <c r="Z22" i="72"/>
  <c r="N51" i="84"/>
  <c r="AA50" i="72"/>
  <c r="N29" i="83"/>
  <c r="Z28" i="72"/>
  <c r="N13" i="83"/>
  <c r="Z12" i="72"/>
  <c r="N27" i="84"/>
  <c r="AA26" i="72"/>
  <c r="N25" i="84"/>
  <c r="AA24" i="72"/>
  <c r="N45" i="84"/>
  <c r="AA44" i="72"/>
  <c r="N38" i="83"/>
  <c r="Z37" i="72"/>
  <c r="N32" i="84"/>
  <c r="AA31" i="72"/>
  <c r="N50" i="84"/>
  <c r="AA49" i="72"/>
  <c r="N21" i="83"/>
  <c r="Z20" i="72"/>
  <c r="N42" i="83"/>
  <c r="Z41" i="72"/>
  <c r="N59" i="83"/>
  <c r="Z58" i="72"/>
  <c r="N53" i="84"/>
  <c r="AA52" i="72"/>
  <c r="N18" i="84"/>
  <c r="AA17" i="72"/>
  <c r="N56" i="83"/>
  <c r="Z55" i="72"/>
  <c r="N41" i="83"/>
  <c r="Z40" i="72"/>
  <c r="N47" i="83"/>
  <c r="Z46" i="72"/>
  <c r="N43" i="84"/>
  <c r="AA42" i="72"/>
  <c r="N16" i="84"/>
  <c r="AA15" i="72"/>
  <c r="N50" i="83"/>
  <c r="Z49" i="72"/>
  <c r="N39" i="84"/>
  <c r="AA38" i="72"/>
  <c r="N57" i="83"/>
  <c r="Z56" i="72"/>
  <c r="N31" i="83"/>
  <c r="Z30" i="72"/>
  <c r="N18" i="83"/>
  <c r="Z17" i="72"/>
  <c r="N48" i="83"/>
  <c r="Z47" i="72"/>
  <c r="N33" i="83"/>
  <c r="Z32" i="72"/>
  <c r="N19" i="84"/>
  <c r="AA18" i="72"/>
  <c r="N22" i="84"/>
  <c r="AA21" i="72"/>
  <c r="N31" i="84"/>
  <c r="AA30" i="72"/>
  <c r="N37" i="83"/>
  <c r="Z36" i="72"/>
  <c r="N58" i="83"/>
  <c r="Z57" i="72"/>
  <c r="N75" i="83"/>
  <c r="Z74" i="72"/>
  <c r="N36" i="84"/>
  <c r="AA35" i="72"/>
  <c r="N37" i="84"/>
  <c r="AA36" i="72"/>
  <c r="N42" i="84"/>
  <c r="AA41" i="72"/>
  <c r="N34" i="83"/>
  <c r="Z33" i="72"/>
  <c r="N60" i="84"/>
  <c r="AA59" i="72"/>
  <c r="N34" i="84"/>
  <c r="AA33" i="72"/>
  <c r="N72" i="83"/>
  <c r="Z71" i="72"/>
  <c r="N9" i="84"/>
  <c r="AA8" i="72"/>
  <c r="N56" i="84"/>
  <c r="AA55" i="72"/>
  <c r="N30" i="84"/>
  <c r="AA29" i="72"/>
  <c r="N63" i="84"/>
  <c r="AA62" i="72"/>
  <c r="N49" i="84"/>
  <c r="AA48" i="72"/>
  <c r="N11" i="83"/>
  <c r="Z10" i="72"/>
  <c r="N59" i="84"/>
  <c r="AA58" i="72"/>
  <c r="N17" i="83"/>
  <c r="Z16" i="72"/>
  <c r="N64" i="84"/>
  <c r="AA63" i="72"/>
  <c r="N19" i="83"/>
  <c r="Z18" i="72"/>
  <c r="N44" i="83"/>
  <c r="Z43" i="72"/>
  <c r="N62" i="83"/>
  <c r="Z61" i="72"/>
  <c r="N41" i="84"/>
  <c r="AA40" i="72"/>
  <c r="N65" i="83"/>
  <c r="Z64" i="72"/>
  <c r="N15" i="84"/>
  <c r="AA14" i="72"/>
  <c r="N70" i="83"/>
  <c r="Z69" i="72"/>
  <c r="N68" i="83"/>
  <c r="Z67" i="72"/>
  <c r="N21" i="84"/>
  <c r="AA20" i="72"/>
  <c r="N15" i="83"/>
  <c r="Z14" i="72"/>
  <c r="N73" i="84"/>
  <c r="AA72" i="72"/>
  <c r="N12" i="83"/>
  <c r="Z11" i="72"/>
  <c r="N52" i="83"/>
  <c r="Z51" i="72"/>
  <c r="N46" i="83"/>
  <c r="Z45" i="72"/>
  <c r="N28" i="83"/>
  <c r="Z27" i="72"/>
  <c r="N35" i="83"/>
  <c r="Z34" i="72"/>
  <c r="N11" i="84"/>
  <c r="AA10" i="72"/>
  <c r="N22" i="83"/>
  <c r="Z21" i="72"/>
  <c r="N17" i="84"/>
  <c r="AA16" i="72"/>
  <c r="N54" i="84"/>
  <c r="AA53" i="72"/>
  <c r="N20" i="83"/>
  <c r="Z19" i="72"/>
  <c r="N69" i="83"/>
  <c r="Z68" i="72"/>
  <c r="N43" i="83"/>
  <c r="Z42" i="72"/>
  <c r="N71" i="84"/>
  <c r="AA70" i="72"/>
  <c r="N68" i="84"/>
  <c r="AA67" i="72"/>
  <c r="N69" i="84"/>
  <c r="AA68" i="72"/>
  <c r="N74" i="84"/>
  <c r="AA73" i="72"/>
  <c r="N51" i="83"/>
  <c r="Z50" i="72"/>
  <c r="N61" i="84"/>
  <c r="AA60" i="72"/>
  <c r="N40" i="83"/>
  <c r="Z39" i="72"/>
  <c r="N14" i="83"/>
  <c r="Z13" i="72"/>
  <c r="N63" i="83"/>
  <c r="Z62" i="72"/>
  <c r="N57" i="84"/>
  <c r="AA56" i="72"/>
  <c r="N32" i="83"/>
  <c r="Z31" i="72"/>
  <c r="N39" i="83"/>
  <c r="Z38" i="72"/>
  <c r="N35" i="84"/>
  <c r="AA34" i="72"/>
  <c r="N38" i="84"/>
  <c r="AA37" i="72"/>
  <c r="N60" i="83"/>
  <c r="Z59" i="72"/>
  <c r="N53" i="83"/>
  <c r="Z52" i="72"/>
  <c r="N23" i="84"/>
  <c r="AA22" i="72"/>
  <c r="N20" i="84"/>
  <c r="AA19" i="72"/>
  <c r="N26" i="84"/>
  <c r="AA25" i="72"/>
  <c r="N14" i="84"/>
  <c r="AA13" i="72"/>
  <c r="N29" i="84"/>
  <c r="AA28" i="72"/>
  <c r="N73" i="83"/>
  <c r="Z72" i="72"/>
  <c r="N40" i="84"/>
  <c r="AA39" i="72"/>
  <c r="N66" i="83"/>
  <c r="Z65" i="72"/>
  <c r="N55" i="83"/>
  <c r="Z54" i="72"/>
  <c r="N48" i="84"/>
  <c r="AA47" i="72"/>
  <c r="N8" i="83"/>
  <c r="Z7" i="72"/>
  <c r="N24" i="84"/>
  <c r="AA23" i="72"/>
  <c r="N47" i="84"/>
  <c r="AA46" i="72"/>
  <c r="N12" i="84"/>
  <c r="AA11" i="72"/>
  <c r="N65" i="84"/>
  <c r="AA64" i="72"/>
  <c r="N10" i="83"/>
  <c r="Z9" i="72"/>
  <c r="N74" i="83"/>
  <c r="Z73" i="72"/>
  <c r="N61" i="83"/>
  <c r="Z60" i="72"/>
  <c r="N24" i="83"/>
  <c r="Z23" i="72"/>
  <c r="N9" i="83"/>
  <c r="Z8" i="72"/>
  <c r="N10" i="84"/>
  <c r="AA9" i="72"/>
  <c r="N67" i="83"/>
  <c r="Z66" i="72"/>
  <c r="N28" i="84"/>
  <c r="AA27" i="72"/>
  <c r="N45" i="83"/>
  <c r="Z44" i="72"/>
  <c r="N54" i="83"/>
  <c r="Z53" i="72"/>
  <c r="N26" i="83"/>
  <c r="Z25" i="72"/>
  <c r="N25" i="83"/>
  <c r="Z24" i="72"/>
  <c r="N62" i="84"/>
  <c r="AA61" i="72"/>
  <c r="H78" i="84"/>
  <c r="M76"/>
  <c r="H79" i="83"/>
  <c r="L76" i="84"/>
  <c r="N8"/>
  <c r="N7" i="83"/>
  <c r="H60" i="81"/>
  <c r="G60"/>
  <c r="E62"/>
  <c r="K73" i="76"/>
  <c r="K77" s="1"/>
  <c r="M4"/>
  <c r="K73" i="80"/>
  <c r="K77" s="1"/>
  <c r="M4"/>
  <c r="O18" i="46"/>
  <c r="O38" s="1"/>
  <c r="W76" i="67"/>
  <c r="K76"/>
  <c r="G69" i="81" l="1"/>
  <c r="H69"/>
  <c r="O57" i="31"/>
  <c r="P57" s="1"/>
  <c r="R57" s="1"/>
  <c r="S57" s="1"/>
  <c r="O54"/>
  <c r="P54" s="1"/>
  <c r="R54" s="1"/>
  <c r="S54" s="1"/>
  <c r="O50"/>
  <c r="P50" s="1"/>
  <c r="R50" s="1"/>
  <c r="S50" s="1"/>
  <c r="O41"/>
  <c r="P41" s="1"/>
  <c r="R41" s="1"/>
  <c r="S41" s="1"/>
  <c r="O37"/>
  <c r="P37" s="1"/>
  <c r="R37" s="1"/>
  <c r="S37" s="1"/>
  <c r="O25"/>
  <c r="P25" s="1"/>
  <c r="R25" s="1"/>
  <c r="S25" s="1"/>
  <c r="O20"/>
  <c r="P20" s="1"/>
  <c r="R20" s="1"/>
  <c r="S20" s="1"/>
  <c r="O15"/>
  <c r="P15" s="1"/>
  <c r="R15" s="1"/>
  <c r="S15" s="1"/>
  <c r="O68"/>
  <c r="P68" s="1"/>
  <c r="R68" s="1"/>
  <c r="S68" s="1"/>
  <c r="O64"/>
  <c r="P64" s="1"/>
  <c r="R64" s="1"/>
  <c r="S64" s="1"/>
  <c r="O51"/>
  <c r="P51" s="1"/>
  <c r="R51" s="1"/>
  <c r="S51" s="1"/>
  <c r="O47"/>
  <c r="P47" s="1"/>
  <c r="R47" s="1"/>
  <c r="S47" s="1"/>
  <c r="O42"/>
  <c r="P42" s="1"/>
  <c r="R42" s="1"/>
  <c r="S42" s="1"/>
  <c r="O38"/>
  <c r="P38" s="1"/>
  <c r="R38" s="1"/>
  <c r="S38" s="1"/>
  <c r="Q67" i="115"/>
  <c r="S67" s="1"/>
  <c r="U67" s="1"/>
  <c r="Q72"/>
  <c r="S72" s="1"/>
  <c r="T72" s="1"/>
  <c r="Q34"/>
  <c r="S34" s="1"/>
  <c r="U34" s="1"/>
  <c r="Q28"/>
  <c r="S28" s="1"/>
  <c r="U28" s="1"/>
  <c r="O30" i="31"/>
  <c r="P30" s="1"/>
  <c r="R30" s="1"/>
  <c r="S30" s="1"/>
  <c r="O22"/>
  <c r="P22" s="1"/>
  <c r="R22" s="1"/>
  <c r="S22" s="1"/>
  <c r="O12"/>
  <c r="P12" s="1"/>
  <c r="R12" s="1"/>
  <c r="S12" s="1"/>
  <c r="Q69" i="115"/>
  <c r="S69" s="1"/>
  <c r="U69" s="1"/>
  <c r="Q23"/>
  <c r="S23" s="1"/>
  <c r="U23" s="1"/>
  <c r="Q40"/>
  <c r="S40" s="1"/>
  <c r="T40" s="1"/>
  <c r="Q44"/>
  <c r="S44" s="1"/>
  <c r="Q43"/>
  <c r="S43" s="1"/>
  <c r="U43" s="1"/>
  <c r="Q39"/>
  <c r="S39" s="1"/>
  <c r="T39" s="1"/>
  <c r="O56" i="31"/>
  <c r="P56" s="1"/>
  <c r="R56" s="1"/>
  <c r="S56" s="1"/>
  <c r="O52"/>
  <c r="P52" s="1"/>
  <c r="R52" s="1"/>
  <c r="S52" s="1"/>
  <c r="Q71" i="115"/>
  <c r="S71" s="1"/>
  <c r="U71" s="1"/>
  <c r="Q22"/>
  <c r="S22" s="1"/>
  <c r="U22" s="1"/>
  <c r="Q41"/>
  <c r="S41" s="1"/>
  <c r="U41" s="1"/>
  <c r="Q9"/>
  <c r="S9" s="1"/>
  <c r="T9" s="1"/>
  <c r="Q29"/>
  <c r="S29" s="1"/>
  <c r="T29" s="1"/>
  <c r="Q74"/>
  <c r="S74" s="1"/>
  <c r="U74" s="1"/>
  <c r="Q68"/>
  <c r="S68" s="1"/>
  <c r="T68" s="1"/>
  <c r="Q16"/>
  <c r="S16" s="1"/>
  <c r="T16" s="1"/>
  <c r="O48" i="31"/>
  <c r="P48" s="1"/>
  <c r="R48" s="1"/>
  <c r="S48" s="1"/>
  <c r="O44"/>
  <c r="P44" s="1"/>
  <c r="R44" s="1"/>
  <c r="S44" s="1"/>
  <c r="O31"/>
  <c r="P31" s="1"/>
  <c r="R31" s="1"/>
  <c r="S31" s="1"/>
  <c r="O27"/>
  <c r="P27" s="1"/>
  <c r="R27" s="1"/>
  <c r="S27" s="1"/>
  <c r="Q24" i="115"/>
  <c r="S24" s="1"/>
  <c r="U24" s="1"/>
  <c r="Q10"/>
  <c r="S10" s="1"/>
  <c r="T10" s="1"/>
  <c r="Q53"/>
  <c r="S53" s="1"/>
  <c r="T53" s="1"/>
  <c r="Q50"/>
  <c r="S50" s="1"/>
  <c r="O53" i="31"/>
  <c r="P53" s="1"/>
  <c r="R53" s="1"/>
  <c r="S53" s="1"/>
  <c r="O49"/>
  <c r="P49" s="1"/>
  <c r="R49" s="1"/>
  <c r="S49" s="1"/>
  <c r="O28"/>
  <c r="P28" s="1"/>
  <c r="R28" s="1"/>
  <c r="S28" s="1"/>
  <c r="O24"/>
  <c r="P24" s="1"/>
  <c r="R24" s="1"/>
  <c r="S24" s="1"/>
  <c r="Q36" i="115"/>
  <c r="S36" s="1"/>
  <c r="U36" s="1"/>
  <c r="Q55"/>
  <c r="S55" s="1"/>
  <c r="T55" s="1"/>
  <c r="Q54"/>
  <c r="S54" s="1"/>
  <c r="T54" s="1"/>
  <c r="Q17"/>
  <c r="S17" s="1"/>
  <c r="T17" s="1"/>
  <c r="L72" i="100"/>
  <c r="P73" i="115"/>
  <c r="AK72" i="72" s="1"/>
  <c r="L14" i="100"/>
  <c r="P15" i="115"/>
  <c r="AK14" i="72" s="1"/>
  <c r="L11" i="100"/>
  <c r="P12" i="115"/>
  <c r="AK11" i="72" s="1"/>
  <c r="L46" i="100"/>
  <c r="P47" i="115"/>
  <c r="AK46" i="72" s="1"/>
  <c r="O40" i="90"/>
  <c r="M40" i="91"/>
  <c r="M40" i="88"/>
  <c r="M40" i="86"/>
  <c r="M40" i="92"/>
  <c r="M40" i="89"/>
  <c r="O37" i="80"/>
  <c r="N40" i="120"/>
  <c r="O40" s="1"/>
  <c r="N40" i="118"/>
  <c r="O40" s="1"/>
  <c r="N40" i="116"/>
  <c r="O40" s="1"/>
  <c r="N40" i="114"/>
  <c r="O40" s="1"/>
  <c r="M40" i="85"/>
  <c r="O37" i="76"/>
  <c r="N40" i="119"/>
  <c r="O40" s="1"/>
  <c r="N40" i="117"/>
  <c r="O40" s="1"/>
  <c r="N40" i="113"/>
  <c r="O40" s="1"/>
  <c r="M9" i="92"/>
  <c r="M9" i="89"/>
  <c r="O9" i="90"/>
  <c r="M9" i="91"/>
  <c r="M9" i="88"/>
  <c r="M9" i="86"/>
  <c r="M9" i="85"/>
  <c r="O6" i="76"/>
  <c r="N9" i="119"/>
  <c r="O9" s="1"/>
  <c r="N9" i="117"/>
  <c r="O9" s="1"/>
  <c r="N9" i="113"/>
  <c r="O9" s="1"/>
  <c r="O6" i="80"/>
  <c r="N9" i="120"/>
  <c r="O9" s="1"/>
  <c r="N9" i="118"/>
  <c r="O9" s="1"/>
  <c r="N9" i="116"/>
  <c r="O9" s="1"/>
  <c r="N9" i="114"/>
  <c r="O9" s="1"/>
  <c r="O34" i="90"/>
  <c r="M34" i="91"/>
  <c r="M34" i="88"/>
  <c r="M34" i="86"/>
  <c r="M34" i="92"/>
  <c r="M34" i="89"/>
  <c r="O31" i="80"/>
  <c r="N34" i="120"/>
  <c r="O34" s="1"/>
  <c r="N34" i="118"/>
  <c r="O34" s="1"/>
  <c r="N34" i="116"/>
  <c r="O34" s="1"/>
  <c r="N34" i="114"/>
  <c r="O34" s="1"/>
  <c r="M34" i="85"/>
  <c r="O31" i="76"/>
  <c r="N34" i="119"/>
  <c r="O34" s="1"/>
  <c r="N34" i="117"/>
  <c r="O34" s="1"/>
  <c r="N34" i="113"/>
  <c r="O34" s="1"/>
  <c r="M29" i="92"/>
  <c r="M29" i="89"/>
  <c r="O29" i="90"/>
  <c r="M29" i="91"/>
  <c r="M29" i="88"/>
  <c r="M29" i="86"/>
  <c r="M29" i="85"/>
  <c r="O26" i="76"/>
  <c r="N29" i="119"/>
  <c r="O29" s="1"/>
  <c r="N29" i="117"/>
  <c r="O29" s="1"/>
  <c r="N29" i="113"/>
  <c r="O29" s="1"/>
  <c r="O26" i="80"/>
  <c r="N29" i="120"/>
  <c r="O29" s="1"/>
  <c r="N29" i="118"/>
  <c r="O29" s="1"/>
  <c r="N29" i="116"/>
  <c r="O29" s="1"/>
  <c r="N29" i="114"/>
  <c r="O29" s="1"/>
  <c r="O44" i="90"/>
  <c r="M44" i="91"/>
  <c r="M44" i="88"/>
  <c r="M44" i="86"/>
  <c r="M44" i="92"/>
  <c r="M44" i="89"/>
  <c r="O41" i="80"/>
  <c r="N44" i="120"/>
  <c r="O44" s="1"/>
  <c r="N44" i="118"/>
  <c r="O44" s="1"/>
  <c r="N44" i="116"/>
  <c r="O44" s="1"/>
  <c r="N44" i="114"/>
  <c r="O44" s="1"/>
  <c r="M44" i="85"/>
  <c r="O41" i="76"/>
  <c r="N44" i="119"/>
  <c r="O44" s="1"/>
  <c r="N44" i="117"/>
  <c r="O44" s="1"/>
  <c r="N44" i="113"/>
  <c r="O44" s="1"/>
  <c r="M69" i="92"/>
  <c r="M69" i="89"/>
  <c r="M69" i="85"/>
  <c r="O69" i="90"/>
  <c r="M69" i="91"/>
  <c r="M69" i="88"/>
  <c r="M69" i="86"/>
  <c r="O66" i="76"/>
  <c r="N69" i="119"/>
  <c r="O69" s="1"/>
  <c r="N69" i="117"/>
  <c r="O69" s="1"/>
  <c r="N69" i="113"/>
  <c r="O69" s="1"/>
  <c r="O66" i="80"/>
  <c r="N69" i="120"/>
  <c r="O69" s="1"/>
  <c r="N69" i="118"/>
  <c r="O69" s="1"/>
  <c r="N69" i="116"/>
  <c r="O69" s="1"/>
  <c r="N69" i="114"/>
  <c r="O69" s="1"/>
  <c r="O68" i="90"/>
  <c r="M68" i="91"/>
  <c r="M68" i="88"/>
  <c r="M68" i="86"/>
  <c r="M68" i="92"/>
  <c r="M68" i="89"/>
  <c r="M68" i="85"/>
  <c r="O65" i="80"/>
  <c r="N68" i="120"/>
  <c r="O68" s="1"/>
  <c r="N68" i="118"/>
  <c r="O68" s="1"/>
  <c r="N68" i="116"/>
  <c r="O68" s="1"/>
  <c r="N68" i="114"/>
  <c r="O68" s="1"/>
  <c r="O65" i="76"/>
  <c r="N68" i="119"/>
  <c r="O68" s="1"/>
  <c r="N68" i="117"/>
  <c r="O68" s="1"/>
  <c r="N68" i="113"/>
  <c r="O68" s="1"/>
  <c r="O20" i="90"/>
  <c r="M20" i="91"/>
  <c r="M20" i="88"/>
  <c r="M20" i="86"/>
  <c r="M20" i="92"/>
  <c r="M20" i="89"/>
  <c r="O17" i="80"/>
  <c r="N20" i="120"/>
  <c r="O20" s="1"/>
  <c r="N20" i="118"/>
  <c r="O20" s="1"/>
  <c r="N20" i="116"/>
  <c r="O20" s="1"/>
  <c r="N20" i="114"/>
  <c r="O20" s="1"/>
  <c r="M20" i="85"/>
  <c r="O17" i="76"/>
  <c r="N20" i="119"/>
  <c r="O20" s="1"/>
  <c r="N20" i="117"/>
  <c r="O20" s="1"/>
  <c r="N20" i="113"/>
  <c r="O20" s="1"/>
  <c r="M55" i="92"/>
  <c r="M55" i="89"/>
  <c r="M55" i="85"/>
  <c r="O55" i="90"/>
  <c r="M55" i="91"/>
  <c r="M55" i="88"/>
  <c r="M55" i="86"/>
  <c r="O52" i="76"/>
  <c r="N55" i="119"/>
  <c r="O55" s="1"/>
  <c r="N55" i="117"/>
  <c r="O55" s="1"/>
  <c r="N55" i="113"/>
  <c r="O55" s="1"/>
  <c r="O52" i="80"/>
  <c r="N55" i="120"/>
  <c r="O55" s="1"/>
  <c r="N55" i="118"/>
  <c r="O55" s="1"/>
  <c r="N55" i="116"/>
  <c r="O55" s="1"/>
  <c r="N55" i="114"/>
  <c r="O55" s="1"/>
  <c r="M23" i="92"/>
  <c r="M23" i="89"/>
  <c r="O23" i="90"/>
  <c r="M23" i="91"/>
  <c r="M23" i="88"/>
  <c r="M23" i="86"/>
  <c r="M23" i="85"/>
  <c r="O20" i="76"/>
  <c r="N23" i="119"/>
  <c r="O23" s="1"/>
  <c r="N23" i="117"/>
  <c r="O23" s="1"/>
  <c r="N23" i="113"/>
  <c r="O23" s="1"/>
  <c r="O20" i="80"/>
  <c r="N23" i="120"/>
  <c r="O23" s="1"/>
  <c r="N23" i="118"/>
  <c r="O23" s="1"/>
  <c r="N23" i="116"/>
  <c r="O23" s="1"/>
  <c r="N23" i="114"/>
  <c r="O23" s="1"/>
  <c r="O70" i="90"/>
  <c r="M70" i="91"/>
  <c r="M70" i="88"/>
  <c r="M70" i="86"/>
  <c r="M70" i="92"/>
  <c r="M70" i="89"/>
  <c r="M70" i="85"/>
  <c r="O67" i="80"/>
  <c r="N70" i="120"/>
  <c r="O70" s="1"/>
  <c r="N70" i="118"/>
  <c r="O70" s="1"/>
  <c r="N70" i="116"/>
  <c r="O70" s="1"/>
  <c r="N70" i="114"/>
  <c r="O70" s="1"/>
  <c r="O67" i="76"/>
  <c r="N70" i="119"/>
  <c r="O70" s="1"/>
  <c r="N70" i="117"/>
  <c r="O70" s="1"/>
  <c r="N70" i="113"/>
  <c r="O70" s="1"/>
  <c r="O22" i="90"/>
  <c r="M22" i="91"/>
  <c r="M22" i="88"/>
  <c r="M22" i="86"/>
  <c r="M22" i="92"/>
  <c r="M22" i="89"/>
  <c r="O19" i="80"/>
  <c r="N22" i="120"/>
  <c r="O22" s="1"/>
  <c r="N22" i="118"/>
  <c r="O22" s="1"/>
  <c r="N22" i="116"/>
  <c r="O22" s="1"/>
  <c r="N22" i="114"/>
  <c r="O22" s="1"/>
  <c r="M22" i="85"/>
  <c r="O19" i="76"/>
  <c r="N22" i="119"/>
  <c r="O22" s="1"/>
  <c r="N22" i="117"/>
  <c r="O22" s="1"/>
  <c r="N22" i="113"/>
  <c r="O22" s="1"/>
  <c r="O64" i="90"/>
  <c r="M64" i="91"/>
  <c r="M64" i="88"/>
  <c r="M64" i="86"/>
  <c r="M64" i="92"/>
  <c r="M64" i="89"/>
  <c r="M64" i="85"/>
  <c r="O61" i="80"/>
  <c r="N64" i="120"/>
  <c r="O64" s="1"/>
  <c r="N64" i="118"/>
  <c r="O64" s="1"/>
  <c r="N64" i="116"/>
  <c r="O64" s="1"/>
  <c r="N64" i="114"/>
  <c r="O64" s="1"/>
  <c r="O61" i="76"/>
  <c r="N64" i="119"/>
  <c r="O64" s="1"/>
  <c r="N64" i="117"/>
  <c r="O64" s="1"/>
  <c r="N64" i="113"/>
  <c r="O64" s="1"/>
  <c r="M35" i="92"/>
  <c r="M35" i="89"/>
  <c r="O35" i="90"/>
  <c r="M35" i="91"/>
  <c r="M35" i="88"/>
  <c r="M35" i="86"/>
  <c r="M35" i="85"/>
  <c r="O32" i="76"/>
  <c r="N35" i="119"/>
  <c r="O35" s="1"/>
  <c r="N35" i="117"/>
  <c r="O35" s="1"/>
  <c r="N35" i="113"/>
  <c r="O35" s="1"/>
  <c r="O32" i="80"/>
  <c r="N35" i="120"/>
  <c r="O35" s="1"/>
  <c r="N35" i="118"/>
  <c r="O35" s="1"/>
  <c r="N35" i="116"/>
  <c r="O35" s="1"/>
  <c r="N35" i="114"/>
  <c r="O35" s="1"/>
  <c r="M57" i="92"/>
  <c r="M57" i="89"/>
  <c r="M57" i="85"/>
  <c r="O57" i="90"/>
  <c r="M57" i="91"/>
  <c r="M57" i="88"/>
  <c r="M57" i="86"/>
  <c r="O54" i="76"/>
  <c r="N57" i="119"/>
  <c r="O57" s="1"/>
  <c r="N57" i="117"/>
  <c r="O57" s="1"/>
  <c r="N57" i="113"/>
  <c r="O57" s="1"/>
  <c r="O54" i="80"/>
  <c r="N57" i="120"/>
  <c r="O57" s="1"/>
  <c r="N57" i="118"/>
  <c r="O57" s="1"/>
  <c r="N57" i="116"/>
  <c r="O57" s="1"/>
  <c r="N57" i="114"/>
  <c r="O57" s="1"/>
  <c r="M25" i="92"/>
  <c r="M25" i="89"/>
  <c r="O25" i="90"/>
  <c r="M25" i="91"/>
  <c r="M25" i="88"/>
  <c r="M25" i="86"/>
  <c r="M25" i="85"/>
  <c r="O22" i="76"/>
  <c r="N25" i="119"/>
  <c r="O25" s="1"/>
  <c r="N25" i="117"/>
  <c r="O25" s="1"/>
  <c r="N25" i="113"/>
  <c r="O25" s="1"/>
  <c r="O22" i="80"/>
  <c r="N25" i="120"/>
  <c r="O25" s="1"/>
  <c r="N25" i="118"/>
  <c r="O25" s="1"/>
  <c r="N25" i="116"/>
  <c r="O25" s="1"/>
  <c r="N25" i="114"/>
  <c r="O25" s="1"/>
  <c r="T24" i="115"/>
  <c r="M59" i="92"/>
  <c r="M59" i="89"/>
  <c r="M59" i="85"/>
  <c r="O59" i="90"/>
  <c r="M59" i="91"/>
  <c r="M59" i="88"/>
  <c r="M59" i="86"/>
  <c r="O56" i="76"/>
  <c r="N59" i="119"/>
  <c r="O59" s="1"/>
  <c r="N59" i="117"/>
  <c r="O59" s="1"/>
  <c r="N59" i="113"/>
  <c r="O59" s="1"/>
  <c r="O56" i="80"/>
  <c r="N59" i="120"/>
  <c r="O59" s="1"/>
  <c r="N59" i="118"/>
  <c r="O59" s="1"/>
  <c r="N59" i="116"/>
  <c r="O59" s="1"/>
  <c r="N59" i="114"/>
  <c r="O59" s="1"/>
  <c r="M27" i="92"/>
  <c r="M27" i="89"/>
  <c r="O27" i="90"/>
  <c r="M27" i="91"/>
  <c r="M27" i="88"/>
  <c r="M27" i="86"/>
  <c r="M27" i="85"/>
  <c r="O24" i="76"/>
  <c r="N27" i="119"/>
  <c r="O27" s="1"/>
  <c r="N27" i="117"/>
  <c r="O27" s="1"/>
  <c r="N27" i="113"/>
  <c r="O27" s="1"/>
  <c r="O24" i="80"/>
  <c r="N27" i="120"/>
  <c r="O27" s="1"/>
  <c r="N27" i="118"/>
  <c r="O27" s="1"/>
  <c r="N27" i="116"/>
  <c r="O27" s="1"/>
  <c r="N27" i="114"/>
  <c r="O27" s="1"/>
  <c r="O18" i="90"/>
  <c r="M18" i="91"/>
  <c r="M18" i="88"/>
  <c r="M18" i="86"/>
  <c r="M18" i="92"/>
  <c r="M18" i="89"/>
  <c r="O15" i="80"/>
  <c r="N18" i="120"/>
  <c r="O18" s="1"/>
  <c r="N18" i="118"/>
  <c r="O18" s="1"/>
  <c r="N18" i="116"/>
  <c r="O18" s="1"/>
  <c r="N18" i="114"/>
  <c r="O18" s="1"/>
  <c r="M18" i="85"/>
  <c r="O15" i="76"/>
  <c r="N18" i="119"/>
  <c r="O18" s="1"/>
  <c r="N18" i="117"/>
  <c r="O18" s="1"/>
  <c r="N18" i="113"/>
  <c r="O18" s="1"/>
  <c r="M39" i="92"/>
  <c r="M39" i="89"/>
  <c r="O39" i="90"/>
  <c r="M39" i="91"/>
  <c r="M39" i="88"/>
  <c r="M39" i="86"/>
  <c r="M39" i="85"/>
  <c r="O36" i="76"/>
  <c r="N39" i="119"/>
  <c r="O39" s="1"/>
  <c r="N39" i="117"/>
  <c r="O39" s="1"/>
  <c r="N39" i="113"/>
  <c r="O39" s="1"/>
  <c r="O36" i="80"/>
  <c r="N39" i="120"/>
  <c r="O39" s="1"/>
  <c r="N39" i="118"/>
  <c r="O39" s="1"/>
  <c r="N39" i="116"/>
  <c r="O39" s="1"/>
  <c r="N39" i="114"/>
  <c r="O39" s="1"/>
  <c r="T50" i="115"/>
  <c r="U50"/>
  <c r="M65" i="92"/>
  <c r="M65" i="89"/>
  <c r="M65" i="85"/>
  <c r="O65" i="90"/>
  <c r="M65" i="91"/>
  <c r="M65" i="88"/>
  <c r="M65" i="86"/>
  <c r="O62" i="76"/>
  <c r="N65" i="119"/>
  <c r="O65" s="1"/>
  <c r="N65" i="117"/>
  <c r="O65" s="1"/>
  <c r="N65" i="113"/>
  <c r="O65" s="1"/>
  <c r="O62" i="80"/>
  <c r="N65" i="120"/>
  <c r="O65" s="1"/>
  <c r="N65" i="118"/>
  <c r="O65" s="1"/>
  <c r="N65" i="116"/>
  <c r="O65" s="1"/>
  <c r="N65" i="114"/>
  <c r="O65" s="1"/>
  <c r="O48" i="90"/>
  <c r="M48" i="91"/>
  <c r="M48" i="88"/>
  <c r="M48" i="86"/>
  <c r="M48" i="92"/>
  <c r="M48" i="89"/>
  <c r="M48" i="85"/>
  <c r="O45" i="80"/>
  <c r="N48" i="120"/>
  <c r="O48" s="1"/>
  <c r="N48" i="118"/>
  <c r="O48" s="1"/>
  <c r="N48" i="116"/>
  <c r="O48" s="1"/>
  <c r="N48" i="114"/>
  <c r="O48" s="1"/>
  <c r="O45" i="76"/>
  <c r="N48" i="119"/>
  <c r="O48" s="1"/>
  <c r="N48" i="117"/>
  <c r="O48" s="1"/>
  <c r="N48" i="113"/>
  <c r="O48" s="1"/>
  <c r="O16" i="90"/>
  <c r="M16" i="91"/>
  <c r="M16" i="88"/>
  <c r="M16" i="86"/>
  <c r="M16" i="92"/>
  <c r="M16" i="89"/>
  <c r="O13" i="80"/>
  <c r="N16" i="120"/>
  <c r="O16" s="1"/>
  <c r="N16" i="118"/>
  <c r="O16" s="1"/>
  <c r="N16" i="116"/>
  <c r="O16" s="1"/>
  <c r="N16" i="114"/>
  <c r="O16" s="1"/>
  <c r="M16" i="85"/>
  <c r="O13" i="76"/>
  <c r="N16" i="119"/>
  <c r="O16" s="1"/>
  <c r="N16" i="117"/>
  <c r="O16" s="1"/>
  <c r="N16" i="113"/>
  <c r="O16" s="1"/>
  <c r="O30" i="90"/>
  <c r="M30" i="91"/>
  <c r="M30" i="88"/>
  <c r="M30" i="86"/>
  <c r="M30" i="92"/>
  <c r="M30" i="89"/>
  <c r="O27" i="80"/>
  <c r="N30" i="120"/>
  <c r="O30" s="1"/>
  <c r="N30" i="118"/>
  <c r="O30" s="1"/>
  <c r="N30" i="116"/>
  <c r="O30" s="1"/>
  <c r="N30" i="114"/>
  <c r="O30" s="1"/>
  <c r="M30" i="85"/>
  <c r="O27" i="76"/>
  <c r="N30" i="119"/>
  <c r="O30" s="1"/>
  <c r="N30" i="117"/>
  <c r="O30" s="1"/>
  <c r="N30" i="113"/>
  <c r="O30" s="1"/>
  <c r="M41" i="92"/>
  <c r="M41" i="89"/>
  <c r="O41" i="90"/>
  <c r="M41" i="91"/>
  <c r="M41" i="88"/>
  <c r="M41" i="86"/>
  <c r="M41" i="85"/>
  <c r="O38" i="76"/>
  <c r="N41" i="119"/>
  <c r="O41" s="1"/>
  <c r="N41" i="117"/>
  <c r="O41" s="1"/>
  <c r="N41" i="113"/>
  <c r="O41" s="1"/>
  <c r="O38" i="80"/>
  <c r="N41" i="120"/>
  <c r="O41" s="1"/>
  <c r="N41" i="118"/>
  <c r="O41" s="1"/>
  <c r="N41" i="116"/>
  <c r="O41" s="1"/>
  <c r="N41" i="114"/>
  <c r="O41" s="1"/>
  <c r="O56" i="90"/>
  <c r="M56" i="91"/>
  <c r="M56" i="88"/>
  <c r="M56" i="86"/>
  <c r="M56" i="92"/>
  <c r="M56" i="89"/>
  <c r="M56" i="85"/>
  <c r="O53" i="80"/>
  <c r="N56" i="120"/>
  <c r="O56" s="1"/>
  <c r="N56" i="118"/>
  <c r="O56" s="1"/>
  <c r="N56" i="116"/>
  <c r="O56" s="1"/>
  <c r="N56" i="114"/>
  <c r="O56" s="1"/>
  <c r="O53" i="76"/>
  <c r="N56" i="119"/>
  <c r="O56" s="1"/>
  <c r="N56" i="117"/>
  <c r="O56" s="1"/>
  <c r="N56" i="113"/>
  <c r="O56" s="1"/>
  <c r="M75" i="92"/>
  <c r="M75" i="89"/>
  <c r="M75" i="85"/>
  <c r="O75" i="90"/>
  <c r="M75" i="91"/>
  <c r="M75" i="88"/>
  <c r="M75" i="86"/>
  <c r="O72" i="76"/>
  <c r="N75" i="119"/>
  <c r="O75" s="1"/>
  <c r="N75" i="117"/>
  <c r="O75" s="1"/>
  <c r="N75" i="113"/>
  <c r="O75" s="1"/>
  <c r="O72" i="80"/>
  <c r="N75" i="120"/>
  <c r="O75" s="1"/>
  <c r="N75" i="118"/>
  <c r="O75" s="1"/>
  <c r="N75" i="116"/>
  <c r="O75" s="1"/>
  <c r="N75" i="114"/>
  <c r="O75" s="1"/>
  <c r="O66" i="90"/>
  <c r="M66" i="91"/>
  <c r="M66" i="88"/>
  <c r="M66" i="86"/>
  <c r="M66" i="92"/>
  <c r="M66" i="89"/>
  <c r="M66" i="85"/>
  <c r="O63" i="80"/>
  <c r="N66" i="120"/>
  <c r="O66" s="1"/>
  <c r="N66" i="118"/>
  <c r="O66" s="1"/>
  <c r="N66" i="116"/>
  <c r="O66" s="1"/>
  <c r="N66" i="114"/>
  <c r="O66" s="1"/>
  <c r="O63" i="76"/>
  <c r="N66" i="119"/>
  <c r="O66" s="1"/>
  <c r="N66" i="117"/>
  <c r="O66" s="1"/>
  <c r="N66" i="113"/>
  <c r="O66" s="1"/>
  <c r="M61" i="92"/>
  <c r="M61" i="89"/>
  <c r="M61" i="85"/>
  <c r="O61" i="90"/>
  <c r="M61" i="91"/>
  <c r="M61" i="88"/>
  <c r="M61" i="86"/>
  <c r="O58" i="76"/>
  <c r="N61" i="119"/>
  <c r="O61" s="1"/>
  <c r="N61" i="117"/>
  <c r="O61" s="1"/>
  <c r="N61" i="113"/>
  <c r="O61" s="1"/>
  <c r="O58" i="80"/>
  <c r="N61" i="120"/>
  <c r="O61" s="1"/>
  <c r="N61" i="118"/>
  <c r="O61" s="1"/>
  <c r="N61" i="116"/>
  <c r="O61" s="1"/>
  <c r="N61" i="114"/>
  <c r="O61" s="1"/>
  <c r="O60" i="90"/>
  <c r="M60" i="91"/>
  <c r="M60" i="88"/>
  <c r="M60" i="86"/>
  <c r="M60" i="92"/>
  <c r="M60" i="89"/>
  <c r="M60" i="85"/>
  <c r="O57" i="80"/>
  <c r="N60" i="120"/>
  <c r="O60" s="1"/>
  <c r="N60" i="118"/>
  <c r="O60" s="1"/>
  <c r="N60" i="116"/>
  <c r="O60" s="1"/>
  <c r="N60" i="114"/>
  <c r="O60" s="1"/>
  <c r="O57" i="76"/>
  <c r="N60" i="119"/>
  <c r="O60" s="1"/>
  <c r="N60" i="117"/>
  <c r="O60" s="1"/>
  <c r="N60" i="113"/>
  <c r="O60" s="1"/>
  <c r="O74" i="90"/>
  <c r="M74" i="91"/>
  <c r="M74" i="88"/>
  <c r="M74" i="86"/>
  <c r="M74" i="92"/>
  <c r="M74" i="89"/>
  <c r="M74" i="85"/>
  <c r="O71" i="80"/>
  <c r="N74" i="120"/>
  <c r="O74" s="1"/>
  <c r="N74" i="118"/>
  <c r="O74" s="1"/>
  <c r="N74" i="116"/>
  <c r="O74" s="1"/>
  <c r="N74" i="114"/>
  <c r="O74" s="1"/>
  <c r="O71" i="76"/>
  <c r="N74" i="119"/>
  <c r="O74" s="1"/>
  <c r="N74" i="117"/>
  <c r="O74" s="1"/>
  <c r="N74" i="113"/>
  <c r="O74" s="1"/>
  <c r="O42" i="90"/>
  <c r="M42" i="91"/>
  <c r="M42" i="88"/>
  <c r="M42" i="86"/>
  <c r="M42" i="92"/>
  <c r="M42" i="89"/>
  <c r="O39" i="80"/>
  <c r="N42" i="120"/>
  <c r="O42" s="1"/>
  <c r="N42" i="118"/>
  <c r="O42" s="1"/>
  <c r="N42" i="116"/>
  <c r="O42" s="1"/>
  <c r="N42" i="114"/>
  <c r="O42" s="1"/>
  <c r="K43" i="31"/>
  <c r="L43" s="1"/>
  <c r="K17"/>
  <c r="L17" s="1"/>
  <c r="M42" i="85"/>
  <c r="O39" i="76"/>
  <c r="N42" i="119"/>
  <c r="O42" s="1"/>
  <c r="N42" i="117"/>
  <c r="O42" s="1"/>
  <c r="N42" i="113"/>
  <c r="O42" s="1"/>
  <c r="K61" i="31"/>
  <c r="L61" s="1"/>
  <c r="K21"/>
  <c r="L21" s="1"/>
  <c r="O26" i="90"/>
  <c r="M26" i="91"/>
  <c r="M26" i="88"/>
  <c r="M26" i="86"/>
  <c r="M26" i="92"/>
  <c r="M26" i="89"/>
  <c r="O23" i="80"/>
  <c r="N26" i="120"/>
  <c r="O26" s="1"/>
  <c r="N26" i="118"/>
  <c r="O26" s="1"/>
  <c r="N26" i="116"/>
  <c r="O26" s="1"/>
  <c r="N26" i="114"/>
  <c r="O26" s="1"/>
  <c r="M26" i="85"/>
  <c r="O23" i="76"/>
  <c r="N26" i="119"/>
  <c r="O26" s="1"/>
  <c r="N26" i="117"/>
  <c r="O26" s="1"/>
  <c r="N26" i="113"/>
  <c r="O26" s="1"/>
  <c r="M37" i="92"/>
  <c r="M37" i="89"/>
  <c r="O37" i="90"/>
  <c r="M37" i="91"/>
  <c r="M37" i="88"/>
  <c r="M37" i="86"/>
  <c r="M37" i="85"/>
  <c r="O34" i="76"/>
  <c r="N37" i="119"/>
  <c r="O37" s="1"/>
  <c r="N37" i="117"/>
  <c r="O37" s="1"/>
  <c r="N37" i="113"/>
  <c r="O37" s="1"/>
  <c r="O34" i="80"/>
  <c r="N37" i="120"/>
  <c r="O37" s="1"/>
  <c r="N37" i="118"/>
  <c r="O37" s="1"/>
  <c r="N37" i="116"/>
  <c r="O37" s="1"/>
  <c r="N37" i="114"/>
  <c r="O37" s="1"/>
  <c r="O36" i="90"/>
  <c r="M36" i="91"/>
  <c r="M36" i="88"/>
  <c r="M36" i="86"/>
  <c r="M36" i="92"/>
  <c r="M36" i="89"/>
  <c r="O33" i="80"/>
  <c r="N36" i="120"/>
  <c r="O36" s="1"/>
  <c r="N36" i="118"/>
  <c r="O36" s="1"/>
  <c r="N36" i="116"/>
  <c r="O36" s="1"/>
  <c r="N36" i="114"/>
  <c r="O36" s="1"/>
  <c r="M36" i="85"/>
  <c r="O33" i="76"/>
  <c r="N36" i="119"/>
  <c r="O36" s="1"/>
  <c r="N36" i="117"/>
  <c r="O36" s="1"/>
  <c r="N36" i="113"/>
  <c r="O36" s="1"/>
  <c r="M71" i="92"/>
  <c r="M71" i="89"/>
  <c r="M71" i="85"/>
  <c r="O71" i="90"/>
  <c r="M71" i="91"/>
  <c r="M71" i="88"/>
  <c r="M71" i="86"/>
  <c r="O68" i="76"/>
  <c r="N71" i="119"/>
  <c r="O71" s="1"/>
  <c r="N71" i="117"/>
  <c r="O71" s="1"/>
  <c r="N71" i="113"/>
  <c r="O71" s="1"/>
  <c r="O68" i="80"/>
  <c r="N71" i="120"/>
  <c r="O71" s="1"/>
  <c r="N71" i="118"/>
  <c r="O71" s="1"/>
  <c r="N71" i="116"/>
  <c r="O71" s="1"/>
  <c r="N71" i="114"/>
  <c r="O71" s="1"/>
  <c r="O54" i="90"/>
  <c r="M54" i="91"/>
  <c r="M54" i="88"/>
  <c r="M54" i="86"/>
  <c r="M54" i="92"/>
  <c r="M54" i="89"/>
  <c r="M54" i="85"/>
  <c r="O51" i="80"/>
  <c r="N54" i="120"/>
  <c r="O54" s="1"/>
  <c r="N54" i="118"/>
  <c r="O54" s="1"/>
  <c r="N54" i="116"/>
  <c r="O54" s="1"/>
  <c r="N54" i="114"/>
  <c r="O54" s="1"/>
  <c r="O51" i="76"/>
  <c r="N54" i="119"/>
  <c r="O54" s="1"/>
  <c r="N54" i="117"/>
  <c r="O54" s="1"/>
  <c r="N54" i="113"/>
  <c r="O54" s="1"/>
  <c r="M17" i="92"/>
  <c r="M17" i="89"/>
  <c r="O17" i="90"/>
  <c r="M17" i="91"/>
  <c r="M17" i="88"/>
  <c r="M17" i="86"/>
  <c r="M17" i="85"/>
  <c r="O14" i="76"/>
  <c r="N17" i="119"/>
  <c r="O17" s="1"/>
  <c r="N17" i="117"/>
  <c r="O17" s="1"/>
  <c r="N17" i="113"/>
  <c r="O17" s="1"/>
  <c r="O14" i="80"/>
  <c r="N17" i="120"/>
  <c r="O17" s="1"/>
  <c r="N17" i="118"/>
  <c r="O17" s="1"/>
  <c r="N17" i="116"/>
  <c r="O17" s="1"/>
  <c r="N17" i="114"/>
  <c r="O17" s="1"/>
  <c r="M67" i="92"/>
  <c r="M67" i="89"/>
  <c r="M67" i="85"/>
  <c r="O67" i="90"/>
  <c r="M67" i="91"/>
  <c r="M67" i="88"/>
  <c r="M67" i="86"/>
  <c r="O64" i="76"/>
  <c r="N67" i="119"/>
  <c r="O67" s="1"/>
  <c r="N67" i="117"/>
  <c r="O67" s="1"/>
  <c r="N67" i="113"/>
  <c r="O67" s="1"/>
  <c r="O64" i="80"/>
  <c r="N67" i="120"/>
  <c r="O67" s="1"/>
  <c r="N67" i="118"/>
  <c r="O67" s="1"/>
  <c r="N67" i="116"/>
  <c r="O67" s="1"/>
  <c r="N67" i="114"/>
  <c r="O67" s="1"/>
  <c r="Q30" i="115"/>
  <c r="S30" s="1"/>
  <c r="Q56"/>
  <c r="S56" s="1"/>
  <c r="Q75"/>
  <c r="S75" s="1"/>
  <c r="Q66"/>
  <c r="S66" s="1"/>
  <c r="Q61"/>
  <c r="S61" s="1"/>
  <c r="Q60"/>
  <c r="S60" s="1"/>
  <c r="Q13"/>
  <c r="S13" s="1"/>
  <c r="Q58"/>
  <c r="S58" s="1"/>
  <c r="O67" i="31"/>
  <c r="P67" s="1"/>
  <c r="R67" s="1"/>
  <c r="S67" s="1"/>
  <c r="O63"/>
  <c r="P63" s="1"/>
  <c r="R63" s="1"/>
  <c r="S63" s="1"/>
  <c r="O58"/>
  <c r="P58" s="1"/>
  <c r="R58" s="1"/>
  <c r="S58" s="1"/>
  <c r="O46"/>
  <c r="P46" s="1"/>
  <c r="R46" s="1"/>
  <c r="S46" s="1"/>
  <c r="O33"/>
  <c r="P33" s="1"/>
  <c r="R33" s="1"/>
  <c r="S33" s="1"/>
  <c r="O29"/>
  <c r="P29" s="1"/>
  <c r="R29" s="1"/>
  <c r="S29" s="1"/>
  <c r="O59"/>
  <c r="P59" s="1"/>
  <c r="R59" s="1"/>
  <c r="S59" s="1"/>
  <c r="O55"/>
  <c r="P55" s="1"/>
  <c r="R55" s="1"/>
  <c r="S55" s="1"/>
  <c r="O34"/>
  <c r="P34" s="1"/>
  <c r="R34" s="1"/>
  <c r="S34" s="1"/>
  <c r="O26"/>
  <c r="P26" s="1"/>
  <c r="R26" s="1"/>
  <c r="S26" s="1"/>
  <c r="O16"/>
  <c r="P16" s="1"/>
  <c r="R16" s="1"/>
  <c r="S16" s="1"/>
  <c r="Q26" i="115"/>
  <c r="S26" s="1"/>
  <c r="Q37"/>
  <c r="S37" s="1"/>
  <c r="Q52"/>
  <c r="S52" s="1"/>
  <c r="Q46"/>
  <c r="S46" s="1"/>
  <c r="Q21"/>
  <c r="S21" s="1"/>
  <c r="Q49"/>
  <c r="S49" s="1"/>
  <c r="Q32"/>
  <c r="S32" s="1"/>
  <c r="Q45"/>
  <c r="S45" s="1"/>
  <c r="O45" i="31"/>
  <c r="P45" s="1"/>
  <c r="R45" s="1"/>
  <c r="S45" s="1"/>
  <c r="O40"/>
  <c r="P40" s="1"/>
  <c r="R40" s="1"/>
  <c r="S40" s="1"/>
  <c r="O36"/>
  <c r="P36" s="1"/>
  <c r="R36" s="1"/>
  <c r="S36" s="1"/>
  <c r="O32"/>
  <c r="P32" s="1"/>
  <c r="R32" s="1"/>
  <c r="S32" s="1"/>
  <c r="O19"/>
  <c r="P19" s="1"/>
  <c r="R19" s="1"/>
  <c r="S19" s="1"/>
  <c r="O14"/>
  <c r="P14" s="1"/>
  <c r="R14" s="1"/>
  <c r="S14" s="1"/>
  <c r="Q20" i="115"/>
  <c r="S20" s="1"/>
  <c r="Q70"/>
  <c r="S70" s="1"/>
  <c r="Q38"/>
  <c r="S38" s="1"/>
  <c r="Q33"/>
  <c r="S33" s="1"/>
  <c r="Q64"/>
  <c r="S64" s="1"/>
  <c r="Q35"/>
  <c r="S35" s="1"/>
  <c r="M53" i="92"/>
  <c r="M53" i="89"/>
  <c r="M53" i="85"/>
  <c r="O53" i="90"/>
  <c r="M53" i="91"/>
  <c r="M53" i="88"/>
  <c r="M53" i="86"/>
  <c r="O50" i="76"/>
  <c r="N53" i="119"/>
  <c r="O53" s="1"/>
  <c r="N53" i="117"/>
  <c r="O53" s="1"/>
  <c r="N53" i="113"/>
  <c r="O53" s="1"/>
  <c r="O50" i="80"/>
  <c r="N53" i="120"/>
  <c r="O53" s="1"/>
  <c r="N53" i="118"/>
  <c r="O53" s="1"/>
  <c r="N53" i="116"/>
  <c r="O53" s="1"/>
  <c r="N53" i="114"/>
  <c r="O53" s="1"/>
  <c r="O50" i="90"/>
  <c r="M50" i="91"/>
  <c r="M50" i="88"/>
  <c r="M50" i="86"/>
  <c r="M50" i="92"/>
  <c r="M50" i="89"/>
  <c r="M50" i="85"/>
  <c r="O47" i="80"/>
  <c r="N50" i="120"/>
  <c r="O50" s="1"/>
  <c r="N50" i="118"/>
  <c r="O50" s="1"/>
  <c r="N50" i="116"/>
  <c r="O50" s="1"/>
  <c r="N50" i="114"/>
  <c r="O50" s="1"/>
  <c r="O47" i="76"/>
  <c r="N50" i="119"/>
  <c r="O50" s="1"/>
  <c r="N50" i="117"/>
  <c r="O50" s="1"/>
  <c r="N50" i="113"/>
  <c r="O50" s="1"/>
  <c r="U9" i="115"/>
  <c r="T34"/>
  <c r="T44"/>
  <c r="U44"/>
  <c r="M13" i="92"/>
  <c r="M13" i="89"/>
  <c r="O13" i="90"/>
  <c r="M13" i="91"/>
  <c r="M13" i="88"/>
  <c r="M13" i="86"/>
  <c r="M13" i="85"/>
  <c r="O10" i="76"/>
  <c r="N13" i="119"/>
  <c r="O13" s="1"/>
  <c r="N13" i="117"/>
  <c r="O13" s="1"/>
  <c r="N13" i="113"/>
  <c r="O13" s="1"/>
  <c r="O10" i="80"/>
  <c r="N13" i="120"/>
  <c r="O13" s="1"/>
  <c r="N13" i="118"/>
  <c r="O13" s="1"/>
  <c r="N13" i="116"/>
  <c r="O13" s="1"/>
  <c r="N13" i="114"/>
  <c r="O13" s="1"/>
  <c r="O58" i="90"/>
  <c r="M58" i="91"/>
  <c r="M58" i="88"/>
  <c r="M58" i="86"/>
  <c r="M58" i="92"/>
  <c r="M58" i="89"/>
  <c r="M58" i="85"/>
  <c r="O55" i="80"/>
  <c r="N58" i="120"/>
  <c r="O58" s="1"/>
  <c r="N58" i="118"/>
  <c r="O58" s="1"/>
  <c r="N58" i="116"/>
  <c r="O58" s="1"/>
  <c r="N58" i="114"/>
  <c r="O58" s="1"/>
  <c r="O55" i="76"/>
  <c r="N58" i="119"/>
  <c r="O58" s="1"/>
  <c r="N58" i="117"/>
  <c r="O58" s="1"/>
  <c r="N58" i="113"/>
  <c r="O58" s="1"/>
  <c r="U68" i="115"/>
  <c r="O52" i="90"/>
  <c r="M52" i="91"/>
  <c r="M52" i="88"/>
  <c r="M52" i="86"/>
  <c r="M52" i="92"/>
  <c r="M52" i="89"/>
  <c r="M52" i="85"/>
  <c r="O49" i="80"/>
  <c r="N52" i="120"/>
  <c r="O52" s="1"/>
  <c r="N52" i="118"/>
  <c r="O52" s="1"/>
  <c r="N52" i="116"/>
  <c r="O52" s="1"/>
  <c r="N52" i="114"/>
  <c r="O52" s="1"/>
  <c r="O49" i="76"/>
  <c r="N52" i="119"/>
  <c r="O52" s="1"/>
  <c r="N52" i="117"/>
  <c r="O52" s="1"/>
  <c r="N52" i="113"/>
  <c r="O52" s="1"/>
  <c r="L13" i="100"/>
  <c r="P14" i="115"/>
  <c r="AK13" i="72" s="1"/>
  <c r="L7" i="100"/>
  <c r="P8" i="115"/>
  <c r="AK7" i="72" s="1"/>
  <c r="L10" i="100"/>
  <c r="P11" i="115"/>
  <c r="AK10" i="72" s="1"/>
  <c r="O46" i="90"/>
  <c r="M46" i="91"/>
  <c r="M46" i="88"/>
  <c r="M46" i="86"/>
  <c r="M46" i="92"/>
  <c r="M46" i="89"/>
  <c r="O43" i="80"/>
  <c r="N46" i="120"/>
  <c r="O46" s="1"/>
  <c r="N46" i="118"/>
  <c r="O46" s="1"/>
  <c r="N46" i="116"/>
  <c r="O46" s="1"/>
  <c r="N46" i="114"/>
  <c r="O46" s="1"/>
  <c r="M46" i="85"/>
  <c r="O43" i="76"/>
  <c r="N46" i="119"/>
  <c r="O46" s="1"/>
  <c r="N46" i="117"/>
  <c r="O46" s="1"/>
  <c r="N46" i="113"/>
  <c r="O46" s="1"/>
  <c r="O72" i="90"/>
  <c r="M72" i="91"/>
  <c r="M72" i="88"/>
  <c r="M72" i="86"/>
  <c r="M72" i="92"/>
  <c r="M72" i="89"/>
  <c r="M72" i="85"/>
  <c r="O69" i="80"/>
  <c r="N72" i="120"/>
  <c r="O72" s="1"/>
  <c r="N72" i="118"/>
  <c r="O72" s="1"/>
  <c r="N72" i="116"/>
  <c r="O72" s="1"/>
  <c r="N72" i="114"/>
  <c r="O72" s="1"/>
  <c r="O69" i="76"/>
  <c r="N72" i="119"/>
  <c r="O72" s="1"/>
  <c r="N72" i="117"/>
  <c r="O72" s="1"/>
  <c r="N72" i="113"/>
  <c r="O72" s="1"/>
  <c r="O24" i="90"/>
  <c r="M24" i="91"/>
  <c r="M24" i="88"/>
  <c r="M24" i="86"/>
  <c r="M24" i="92"/>
  <c r="M24" i="89"/>
  <c r="O21" i="80"/>
  <c r="N24" i="120"/>
  <c r="O24" s="1"/>
  <c r="N24" i="118"/>
  <c r="O24" s="1"/>
  <c r="N24" i="116"/>
  <c r="O24" s="1"/>
  <c r="N24" i="114"/>
  <c r="O24" s="1"/>
  <c r="M24" i="85"/>
  <c r="O21" i="76"/>
  <c r="N24" i="119"/>
  <c r="O24" s="1"/>
  <c r="N24" i="117"/>
  <c r="O24" s="1"/>
  <c r="N24" i="113"/>
  <c r="O24" s="1"/>
  <c r="M43" i="92"/>
  <c r="M43" i="89"/>
  <c r="O43" i="90"/>
  <c r="M43" i="91"/>
  <c r="M43" i="88"/>
  <c r="M43" i="86"/>
  <c r="M43" i="85"/>
  <c r="O40" i="76"/>
  <c r="N43" i="119"/>
  <c r="O43" s="1"/>
  <c r="N43" i="117"/>
  <c r="O43" s="1"/>
  <c r="N43" i="113"/>
  <c r="O43" s="1"/>
  <c r="O40" i="80"/>
  <c r="N43" i="120"/>
  <c r="O43" s="1"/>
  <c r="N43" i="118"/>
  <c r="O43" s="1"/>
  <c r="N43" i="116"/>
  <c r="O43" s="1"/>
  <c r="N43" i="114"/>
  <c r="O43" s="1"/>
  <c r="O10" i="90"/>
  <c r="M10" i="91"/>
  <c r="M10" i="88"/>
  <c r="M10" i="86"/>
  <c r="M10" i="92"/>
  <c r="M10" i="89"/>
  <c r="O7" i="80"/>
  <c r="N10" i="120"/>
  <c r="O10" s="1"/>
  <c r="N10" i="118"/>
  <c r="O10" s="1"/>
  <c r="N10" i="116"/>
  <c r="O10" s="1"/>
  <c r="N10" i="114"/>
  <c r="O10" s="1"/>
  <c r="M10" i="85"/>
  <c r="O7" i="76"/>
  <c r="N10" i="119"/>
  <c r="O10" s="1"/>
  <c r="N10" i="117"/>
  <c r="O10" s="1"/>
  <c r="N10" i="113"/>
  <c r="O10" s="1"/>
  <c r="O28" i="90"/>
  <c r="M28" i="91"/>
  <c r="M28" i="88"/>
  <c r="M28" i="86"/>
  <c r="M28" i="92"/>
  <c r="M28" i="89"/>
  <c r="O25" i="80"/>
  <c r="N28" i="120"/>
  <c r="O28" s="1"/>
  <c r="N28" i="118"/>
  <c r="O28" s="1"/>
  <c r="N28" i="116"/>
  <c r="O28" s="1"/>
  <c r="N28" i="114"/>
  <c r="O28" s="1"/>
  <c r="M28" i="85"/>
  <c r="O25" i="76"/>
  <c r="N28" i="119"/>
  <c r="O28" s="1"/>
  <c r="N28" i="117"/>
  <c r="O28" s="1"/>
  <c r="N28" i="113"/>
  <c r="O28" s="1"/>
  <c r="M21" i="92"/>
  <c r="M21" i="89"/>
  <c r="O21" i="90"/>
  <c r="M21" i="91"/>
  <c r="M21" i="88"/>
  <c r="M21" i="86"/>
  <c r="M21" i="85"/>
  <c r="O18" i="76"/>
  <c r="N21" i="119"/>
  <c r="O21" s="1"/>
  <c r="N21" i="117"/>
  <c r="O21" s="1"/>
  <c r="N21" i="113"/>
  <c r="O21" s="1"/>
  <c r="O18" i="80"/>
  <c r="N21" i="120"/>
  <c r="O21" s="1"/>
  <c r="N21" i="118"/>
  <c r="O21" s="1"/>
  <c r="N21" i="116"/>
  <c r="O21" s="1"/>
  <c r="N21" i="114"/>
  <c r="O21" s="1"/>
  <c r="M49" i="92"/>
  <c r="M49" i="89"/>
  <c r="M49" i="85"/>
  <c r="O49" i="90"/>
  <c r="M49" i="91"/>
  <c r="M49" i="88"/>
  <c r="M49" i="86"/>
  <c r="O46" i="76"/>
  <c r="N49" i="119"/>
  <c r="O49" s="1"/>
  <c r="N49" i="117"/>
  <c r="O49" s="1"/>
  <c r="N49" i="113"/>
  <c r="O49" s="1"/>
  <c r="O46" i="80"/>
  <c r="N49" i="120"/>
  <c r="O49" s="1"/>
  <c r="N49" i="118"/>
  <c r="O49" s="1"/>
  <c r="N49" i="116"/>
  <c r="O49" s="1"/>
  <c r="N49" i="114"/>
  <c r="O49" s="1"/>
  <c r="O32" i="90"/>
  <c r="M32" i="91"/>
  <c r="M32" i="88"/>
  <c r="M32" i="86"/>
  <c r="M32" i="92"/>
  <c r="M32" i="89"/>
  <c r="O29" i="80"/>
  <c r="N32" i="120"/>
  <c r="O32" s="1"/>
  <c r="N32" i="118"/>
  <c r="O32" s="1"/>
  <c r="N32" i="116"/>
  <c r="O32" s="1"/>
  <c r="N32" i="114"/>
  <c r="O32" s="1"/>
  <c r="M32" i="85"/>
  <c r="O29" i="76"/>
  <c r="N32" i="119"/>
  <c r="O32" s="1"/>
  <c r="N32" i="117"/>
  <c r="O32" s="1"/>
  <c r="N32" i="113"/>
  <c r="O32" s="1"/>
  <c r="M45" i="92"/>
  <c r="M45" i="89"/>
  <c r="O45" i="90"/>
  <c r="M45" i="91"/>
  <c r="M45" i="88"/>
  <c r="M45" i="86"/>
  <c r="M45" i="85"/>
  <c r="O42" i="76"/>
  <c r="N45" i="119"/>
  <c r="O45" s="1"/>
  <c r="N45" i="117"/>
  <c r="O45" s="1"/>
  <c r="N45" i="113"/>
  <c r="O45" s="1"/>
  <c r="O42" i="80"/>
  <c r="N45" i="120"/>
  <c r="O45" s="1"/>
  <c r="N45" i="118"/>
  <c r="O45" s="1"/>
  <c r="N45" i="116"/>
  <c r="O45" s="1"/>
  <c r="N45" i="114"/>
  <c r="O45" s="1"/>
  <c r="L61" i="100"/>
  <c r="P62" i="115"/>
  <c r="AK61" i="72" s="1"/>
  <c r="L50" i="100"/>
  <c r="P51" i="115"/>
  <c r="AK50" i="72" s="1"/>
  <c r="L62" i="100"/>
  <c r="P63" i="115"/>
  <c r="AK62" i="72" s="1"/>
  <c r="T23" i="115"/>
  <c r="O38" i="90"/>
  <c r="M38" i="91"/>
  <c r="M38" i="88"/>
  <c r="M38" i="86"/>
  <c r="M38" i="92"/>
  <c r="M38" i="89"/>
  <c r="O35" i="80"/>
  <c r="N38" i="120"/>
  <c r="O38" s="1"/>
  <c r="N38" i="118"/>
  <c r="O38" s="1"/>
  <c r="N38" i="116"/>
  <c r="O38" s="1"/>
  <c r="N38" i="114"/>
  <c r="O38" s="1"/>
  <c r="M38" i="85"/>
  <c r="O35" i="76"/>
  <c r="N38" i="119"/>
  <c r="O38" s="1"/>
  <c r="N38" i="117"/>
  <c r="O38" s="1"/>
  <c r="N38" i="113"/>
  <c r="O38" s="1"/>
  <c r="M33" i="92"/>
  <c r="M33" i="89"/>
  <c r="O33" i="90"/>
  <c r="M33" i="91"/>
  <c r="M33" i="88"/>
  <c r="M33" i="86"/>
  <c r="M33" i="85"/>
  <c r="O30" i="76"/>
  <c r="N33" i="119"/>
  <c r="O33" s="1"/>
  <c r="N33" i="117"/>
  <c r="O33" s="1"/>
  <c r="N33" i="113"/>
  <c r="O33" s="1"/>
  <c r="O30" i="80"/>
  <c r="N33" i="120"/>
  <c r="O33" s="1"/>
  <c r="N33" i="118"/>
  <c r="O33" s="1"/>
  <c r="N33" i="116"/>
  <c r="O33" s="1"/>
  <c r="N33" i="114"/>
  <c r="O33" s="1"/>
  <c r="T67" i="115"/>
  <c r="L30" i="100"/>
  <c r="P31" i="115"/>
  <c r="AK30" i="72" s="1"/>
  <c r="L18" i="100"/>
  <c r="P19" i="115"/>
  <c r="AK18" i="72" s="1"/>
  <c r="Q57" i="115"/>
  <c r="S57" s="1"/>
  <c r="Q25"/>
  <c r="S25" s="1"/>
  <c r="Q59"/>
  <c r="S59" s="1"/>
  <c r="Q27"/>
  <c r="S27" s="1"/>
  <c r="Q18"/>
  <c r="S18" s="1"/>
  <c r="Q65"/>
  <c r="S65" s="1"/>
  <c r="Q48"/>
  <c r="S48" s="1"/>
  <c r="O65" i="31"/>
  <c r="P65" s="1"/>
  <c r="R65" s="1"/>
  <c r="S65" s="1"/>
  <c r="O60"/>
  <c r="P60" s="1"/>
  <c r="R60" s="1"/>
  <c r="S60" s="1"/>
  <c r="O39"/>
  <c r="P39" s="1"/>
  <c r="R39" s="1"/>
  <c r="S39" s="1"/>
  <c r="O35"/>
  <c r="P35" s="1"/>
  <c r="R35" s="1"/>
  <c r="S35" s="1"/>
  <c r="O23"/>
  <c r="P23" s="1"/>
  <c r="R23" s="1"/>
  <c r="S23" s="1"/>
  <c r="O18"/>
  <c r="P18" s="1"/>
  <c r="R18" s="1"/>
  <c r="S18" s="1"/>
  <c r="O13"/>
  <c r="P13" s="1"/>
  <c r="R13" s="1"/>
  <c r="S13" s="1"/>
  <c r="Q42" i="115"/>
  <c r="S42" s="1"/>
  <c r="O66" i="31"/>
  <c r="P66" s="1"/>
  <c r="R66" s="1"/>
  <c r="S66" s="1"/>
  <c r="O62"/>
  <c r="P62" s="1"/>
  <c r="R62" s="1"/>
  <c r="S62" s="1"/>
  <c r="S11" i="101"/>
  <c r="S80" s="1"/>
  <c r="Q80"/>
  <c r="E87" i="81" s="1"/>
  <c r="E72" s="1"/>
  <c r="H72" s="1"/>
  <c r="G86"/>
  <c r="H86"/>
  <c r="H82"/>
  <c r="M76" i="117"/>
  <c r="M76" i="119"/>
  <c r="M76" i="113"/>
  <c r="N77" i="83"/>
  <c r="G65" i="81"/>
  <c r="G66"/>
  <c r="H66"/>
  <c r="E16" i="96"/>
  <c r="L16" s="1"/>
  <c r="F16"/>
  <c r="D8"/>
  <c r="C6" i="100"/>
  <c r="D43" i="96"/>
  <c r="F43" s="1"/>
  <c r="AF76" i="33"/>
  <c r="C41" i="100"/>
  <c r="H85" i="81"/>
  <c r="G85"/>
  <c r="G68"/>
  <c r="H68"/>
  <c r="L76" i="85"/>
  <c r="L76" i="91"/>
  <c r="C6" i="72"/>
  <c r="AD76" i="33"/>
  <c r="N76" i="90"/>
  <c r="L76" i="89"/>
  <c r="L76" i="86"/>
  <c r="L76" i="87"/>
  <c r="N76" i="84"/>
  <c r="AA75" i="72"/>
  <c r="Z75"/>
  <c r="H62" i="81"/>
  <c r="G62"/>
  <c r="N4" i="80"/>
  <c r="N73" s="1"/>
  <c r="M73"/>
  <c r="M77" s="1"/>
  <c r="M73" i="76"/>
  <c r="M77" s="1"/>
  <c r="N4"/>
  <c r="T74" i="115" l="1"/>
  <c r="V74" s="1"/>
  <c r="U55"/>
  <c r="T22"/>
  <c r="U17"/>
  <c r="T71"/>
  <c r="H70" i="72" s="1"/>
  <c r="U16" i="115"/>
  <c r="T69"/>
  <c r="U29"/>
  <c r="T28"/>
  <c r="H27" i="72" s="1"/>
  <c r="T36" i="115"/>
  <c r="V36" s="1"/>
  <c r="T41"/>
  <c r="T43"/>
  <c r="U53"/>
  <c r="U54"/>
  <c r="U40"/>
  <c r="U72"/>
  <c r="U39"/>
  <c r="U10"/>
  <c r="Q11"/>
  <c r="S11" s="1"/>
  <c r="Q62"/>
  <c r="S62" s="1"/>
  <c r="U62" s="1"/>
  <c r="Q8"/>
  <c r="S8" s="1"/>
  <c r="U8" s="1"/>
  <c r="Q14"/>
  <c r="S14" s="1"/>
  <c r="U14" s="1"/>
  <c r="Q12"/>
  <c r="S12" s="1"/>
  <c r="T12" s="1"/>
  <c r="Q73"/>
  <c r="S73" s="1"/>
  <c r="T73" s="1"/>
  <c r="Q63"/>
  <c r="S63" s="1"/>
  <c r="T63" s="1"/>
  <c r="T65"/>
  <c r="U65"/>
  <c r="T27"/>
  <c r="U27"/>
  <c r="T25"/>
  <c r="U25"/>
  <c r="K32" i="100"/>
  <c r="P33" i="114"/>
  <c r="AJ32" i="72" s="1"/>
  <c r="O32" i="100"/>
  <c r="P33" i="118"/>
  <c r="AN32" i="72" s="1"/>
  <c r="N32" i="100"/>
  <c r="P33" i="117"/>
  <c r="AM32" i="72" s="1"/>
  <c r="J37" i="100"/>
  <c r="P38" i="113"/>
  <c r="AI37" i="72" s="1"/>
  <c r="P37" i="100"/>
  <c r="P38" i="119"/>
  <c r="AO37" i="72" s="1"/>
  <c r="M37" i="100"/>
  <c r="P38" i="116"/>
  <c r="AL37" i="72" s="1"/>
  <c r="Q37" i="100"/>
  <c r="P38" i="120"/>
  <c r="AP37" i="72" s="1"/>
  <c r="M44" i="100"/>
  <c r="P45" i="116"/>
  <c r="AL44" i="72" s="1"/>
  <c r="Q44" i="100"/>
  <c r="P45" i="120"/>
  <c r="AP44" i="72" s="1"/>
  <c r="J44" i="100"/>
  <c r="P45" i="113"/>
  <c r="AI44" i="72" s="1"/>
  <c r="P44" i="100"/>
  <c r="P45" i="119"/>
  <c r="AO44" i="72" s="1"/>
  <c r="H15"/>
  <c r="V16" i="115"/>
  <c r="N31" i="100"/>
  <c r="P32" i="117"/>
  <c r="AM31" i="72" s="1"/>
  <c r="K31" i="100"/>
  <c r="P32" i="114"/>
  <c r="AJ31" i="72" s="1"/>
  <c r="O31" i="100"/>
  <c r="P32" i="118"/>
  <c r="AN31" i="72" s="1"/>
  <c r="M48" i="100"/>
  <c r="P49" i="116"/>
  <c r="AL48" i="72" s="1"/>
  <c r="Q48" i="100"/>
  <c r="P49" i="120"/>
  <c r="AP48" i="72" s="1"/>
  <c r="J48" i="100"/>
  <c r="P49" i="113"/>
  <c r="P48" i="100"/>
  <c r="P49" i="119"/>
  <c r="AO48" i="72" s="1"/>
  <c r="H38"/>
  <c r="V39" i="115"/>
  <c r="M20" i="100"/>
  <c r="P21" i="116"/>
  <c r="AL20" i="72" s="1"/>
  <c r="Q20" i="100"/>
  <c r="P21" i="120"/>
  <c r="AP20" i="72" s="1"/>
  <c r="J20" i="100"/>
  <c r="P21" i="113"/>
  <c r="AI20" i="72" s="1"/>
  <c r="P20" i="100"/>
  <c r="P21" i="119"/>
  <c r="AO20" i="72" s="1"/>
  <c r="H52"/>
  <c r="V53" i="115"/>
  <c r="N27" i="100"/>
  <c r="P28" i="117"/>
  <c r="AM27" i="72" s="1"/>
  <c r="K27" i="100"/>
  <c r="P28" i="114"/>
  <c r="AJ27" i="72" s="1"/>
  <c r="O27" i="100"/>
  <c r="P28" i="118"/>
  <c r="AN27" i="72" s="1"/>
  <c r="N9" i="100"/>
  <c r="P10" i="117"/>
  <c r="AM9" i="72" s="1"/>
  <c r="K9" i="100"/>
  <c r="P10" i="114"/>
  <c r="AJ9" i="72" s="1"/>
  <c r="O9" i="100"/>
  <c r="P10" i="118"/>
  <c r="AN9" i="72" s="1"/>
  <c r="M42" i="100"/>
  <c r="P43" i="116"/>
  <c r="AL42" i="72" s="1"/>
  <c r="P43" i="120"/>
  <c r="AP42" i="72" s="1"/>
  <c r="Q42" i="100"/>
  <c r="J42"/>
  <c r="P43" i="113"/>
  <c r="AI42" i="72" s="1"/>
  <c r="P42" i="100"/>
  <c r="P43" i="119"/>
  <c r="AO42" i="72" s="1"/>
  <c r="N23" i="100"/>
  <c r="P24" i="117"/>
  <c r="AM23" i="72" s="1"/>
  <c r="K23" i="100"/>
  <c r="P24" i="114"/>
  <c r="AJ23" i="72" s="1"/>
  <c r="O23" i="100"/>
  <c r="P24" i="118"/>
  <c r="AN23" i="72" s="1"/>
  <c r="N71" i="100"/>
  <c r="P72" i="117"/>
  <c r="AM71" i="72" s="1"/>
  <c r="M71" i="100"/>
  <c r="P72" i="116"/>
  <c r="AL71" i="72" s="1"/>
  <c r="Q71" i="100"/>
  <c r="P72" i="120"/>
  <c r="AP71" i="72" s="1"/>
  <c r="N45" i="100"/>
  <c r="P46" i="117"/>
  <c r="AM45" i="72" s="1"/>
  <c r="K45" i="100"/>
  <c r="P46" i="114"/>
  <c r="AJ45" i="72" s="1"/>
  <c r="O45" i="100"/>
  <c r="P46" i="118"/>
  <c r="AN45" i="72" s="1"/>
  <c r="M11" i="92"/>
  <c r="M11" i="89"/>
  <c r="O11" i="90"/>
  <c r="M11" i="91"/>
  <c r="M11" i="88"/>
  <c r="M11" i="86"/>
  <c r="M11" i="85"/>
  <c r="O8" i="76"/>
  <c r="N11" i="119"/>
  <c r="O11" s="1"/>
  <c r="N11" i="117"/>
  <c r="O11" s="1"/>
  <c r="N11" i="113"/>
  <c r="O11" s="1"/>
  <c r="O8" i="80"/>
  <c r="N11" i="120"/>
  <c r="O11" s="1"/>
  <c r="N11" i="118"/>
  <c r="O11" s="1"/>
  <c r="N11" i="116"/>
  <c r="O11" s="1"/>
  <c r="N11" i="114"/>
  <c r="O11" s="1"/>
  <c r="J51" i="100"/>
  <c r="P52" i="113"/>
  <c r="AI51" i="72" s="1"/>
  <c r="P51" i="100"/>
  <c r="P52" i="119"/>
  <c r="AO51" i="72" s="1"/>
  <c r="K51" i="100"/>
  <c r="P52" i="114"/>
  <c r="AJ51" i="72" s="1"/>
  <c r="O51" i="100"/>
  <c r="P52" i="118"/>
  <c r="AN51" i="72" s="1"/>
  <c r="J57" i="100"/>
  <c r="P58" i="113"/>
  <c r="AI57" i="72" s="1"/>
  <c r="P57" i="100"/>
  <c r="P58" i="119"/>
  <c r="AO57" i="72" s="1"/>
  <c r="K57" i="100"/>
  <c r="P58" i="114"/>
  <c r="AJ57" i="72" s="1"/>
  <c r="O57" i="100"/>
  <c r="P58" i="118"/>
  <c r="AN57" i="72" s="1"/>
  <c r="K12" i="100"/>
  <c r="P13" i="114"/>
  <c r="AJ12" i="72" s="1"/>
  <c r="O12" i="100"/>
  <c r="P13" i="118"/>
  <c r="AN12" i="72" s="1"/>
  <c r="N12" i="100"/>
  <c r="P13" i="117"/>
  <c r="AM12" i="72" s="1"/>
  <c r="J49" i="100"/>
  <c r="P50" i="113"/>
  <c r="P49" i="100"/>
  <c r="P50" i="119"/>
  <c r="AO49" i="72" s="1"/>
  <c r="K49" i="100"/>
  <c r="P50" i="114"/>
  <c r="AJ49" i="72" s="1"/>
  <c r="O49" i="100"/>
  <c r="P50" i="118"/>
  <c r="AN49" i="72" s="1"/>
  <c r="K52" i="100"/>
  <c r="P53" i="114"/>
  <c r="AJ52" i="72" s="1"/>
  <c r="O52" i="100"/>
  <c r="P53" i="118"/>
  <c r="AN52" i="72" s="1"/>
  <c r="N52" i="100"/>
  <c r="P53" i="117"/>
  <c r="AM52" i="72" s="1"/>
  <c r="T35" i="115"/>
  <c r="U35"/>
  <c r="T33"/>
  <c r="U33"/>
  <c r="T70"/>
  <c r="U70"/>
  <c r="T45"/>
  <c r="U45"/>
  <c r="T49"/>
  <c r="U49"/>
  <c r="T46"/>
  <c r="U46"/>
  <c r="T37"/>
  <c r="U37"/>
  <c r="T13"/>
  <c r="U13"/>
  <c r="T61"/>
  <c r="U61"/>
  <c r="T75"/>
  <c r="U75"/>
  <c r="T30"/>
  <c r="U30"/>
  <c r="M31" i="92"/>
  <c r="M31" i="89"/>
  <c r="O31" i="90"/>
  <c r="M31" i="91"/>
  <c r="M31" i="88"/>
  <c r="M31" i="86"/>
  <c r="M31" i="85"/>
  <c r="O28" i="76"/>
  <c r="N31" i="119"/>
  <c r="O31" s="1"/>
  <c r="N31" i="117"/>
  <c r="O31" s="1"/>
  <c r="N31" i="113"/>
  <c r="O31" s="1"/>
  <c r="O28" i="80"/>
  <c r="N31" i="120"/>
  <c r="O31" s="1"/>
  <c r="N31" i="118"/>
  <c r="O31" s="1"/>
  <c r="N31" i="116"/>
  <c r="O31" s="1"/>
  <c r="N31" i="114"/>
  <c r="O31" s="1"/>
  <c r="M66" i="100"/>
  <c r="P67" i="116"/>
  <c r="AL66" i="72" s="1"/>
  <c r="Q66" i="100"/>
  <c r="P67" i="120"/>
  <c r="AP66" i="72" s="1"/>
  <c r="J66" i="100"/>
  <c r="P67" i="113"/>
  <c r="AI66" i="72" s="1"/>
  <c r="P66" i="100"/>
  <c r="P67" i="119"/>
  <c r="AO66" i="72" s="1"/>
  <c r="M16" i="100"/>
  <c r="P17" i="116"/>
  <c r="AL16" i="72" s="1"/>
  <c r="Q16" i="100"/>
  <c r="P17" i="120"/>
  <c r="AP16" i="72" s="1"/>
  <c r="J16" i="100"/>
  <c r="P17" i="113"/>
  <c r="AI16" i="72" s="1"/>
  <c r="P16" i="100"/>
  <c r="P17" i="119"/>
  <c r="AO16" i="72" s="1"/>
  <c r="N53" i="100"/>
  <c r="P54" i="117"/>
  <c r="AM53" i="72" s="1"/>
  <c r="M53" i="100"/>
  <c r="P54" i="116"/>
  <c r="AL53" i="72" s="1"/>
  <c r="Q53" i="100"/>
  <c r="P54" i="120"/>
  <c r="AP53" i="72" s="1"/>
  <c r="H54"/>
  <c r="V55" i="115"/>
  <c r="M70" i="100"/>
  <c r="P71" i="116"/>
  <c r="AL70" i="72" s="1"/>
  <c r="Q70" i="100"/>
  <c r="P71" i="120"/>
  <c r="AP70" i="72" s="1"/>
  <c r="J70" i="100"/>
  <c r="P71" i="113"/>
  <c r="AI70" i="72" s="1"/>
  <c r="P70" i="100"/>
  <c r="P71" i="119"/>
  <c r="AO70" i="72" s="1"/>
  <c r="N35" i="100"/>
  <c r="P36" i="117"/>
  <c r="AM35" i="72" s="1"/>
  <c r="K35" i="100"/>
  <c r="P36" i="114"/>
  <c r="AJ35" i="72" s="1"/>
  <c r="O35" i="100"/>
  <c r="P36" i="118"/>
  <c r="AN35" i="72" s="1"/>
  <c r="M36" i="100"/>
  <c r="P37" i="116"/>
  <c r="AL36" i="72" s="1"/>
  <c r="Q36" i="100"/>
  <c r="P37" i="120"/>
  <c r="AP36" i="72" s="1"/>
  <c r="J36" i="100"/>
  <c r="P37" i="113"/>
  <c r="AI36" i="72" s="1"/>
  <c r="P36" i="100"/>
  <c r="P37" i="119"/>
  <c r="AO36" i="72" s="1"/>
  <c r="N25" i="100"/>
  <c r="P26" i="117"/>
  <c r="AM25" i="72" s="1"/>
  <c r="K25" i="100"/>
  <c r="P26" i="114"/>
  <c r="AJ25" i="72" s="1"/>
  <c r="O25" i="100"/>
  <c r="P26" i="118"/>
  <c r="AN25" i="72" s="1"/>
  <c r="N41" i="100"/>
  <c r="P42" i="117"/>
  <c r="AM41" i="72" s="1"/>
  <c r="M17" i="31"/>
  <c r="N17"/>
  <c r="L69"/>
  <c r="K41" i="100"/>
  <c r="P42" i="114"/>
  <c r="AJ41" i="72" s="1"/>
  <c r="O41" i="100"/>
  <c r="P42" i="118"/>
  <c r="AN41" i="72" s="1"/>
  <c r="N73" i="100"/>
  <c r="P74" i="117"/>
  <c r="AM73" i="72" s="1"/>
  <c r="M73" i="100"/>
  <c r="P74" i="116"/>
  <c r="AL73" i="72" s="1"/>
  <c r="Q73" i="100"/>
  <c r="P74" i="120"/>
  <c r="AP73" i="72" s="1"/>
  <c r="N59" i="100"/>
  <c r="P60" i="117"/>
  <c r="AM59" i="72" s="1"/>
  <c r="M59" i="100"/>
  <c r="P60" i="116"/>
  <c r="AL59" i="72" s="1"/>
  <c r="Q59" i="100"/>
  <c r="P60" i="120"/>
  <c r="AP59" i="72" s="1"/>
  <c r="M60" i="100"/>
  <c r="P61" i="116"/>
  <c r="AL60" i="72" s="1"/>
  <c r="Q60" i="100"/>
  <c r="P61" i="120"/>
  <c r="AP60" i="72" s="1"/>
  <c r="J60" i="100"/>
  <c r="P61" i="113"/>
  <c r="AI60" i="72" s="1"/>
  <c r="P60" i="100"/>
  <c r="P61" i="119"/>
  <c r="AO60" i="72" s="1"/>
  <c r="N65" i="100"/>
  <c r="P66" i="117"/>
  <c r="AM65" i="72" s="1"/>
  <c r="M65" i="100"/>
  <c r="P66" i="116"/>
  <c r="AL65" i="72" s="1"/>
  <c r="Q65" i="100"/>
  <c r="P66" i="120"/>
  <c r="AP65" i="72" s="1"/>
  <c r="M74" i="100"/>
  <c r="P75" i="116"/>
  <c r="AL74" i="72" s="1"/>
  <c r="Q74" i="100"/>
  <c r="P75" i="120"/>
  <c r="AP74" i="72" s="1"/>
  <c r="J74" i="100"/>
  <c r="P75" i="113"/>
  <c r="AI74" i="72" s="1"/>
  <c r="P74" i="100"/>
  <c r="P75" i="119"/>
  <c r="AO74" i="72" s="1"/>
  <c r="N55" i="100"/>
  <c r="P56" i="117"/>
  <c r="AM55" i="72" s="1"/>
  <c r="M55" i="100"/>
  <c r="P56" i="116"/>
  <c r="AL55" i="72" s="1"/>
  <c r="Q55" i="100"/>
  <c r="P56" i="120"/>
  <c r="AP55" i="72" s="1"/>
  <c r="M40" i="100"/>
  <c r="P41" i="116"/>
  <c r="AL40" i="72" s="1"/>
  <c r="Q40" i="100"/>
  <c r="P41" i="120"/>
  <c r="AP40" i="72" s="1"/>
  <c r="J40" i="100"/>
  <c r="P41" i="113"/>
  <c r="AI40" i="72" s="1"/>
  <c r="P40" i="100"/>
  <c r="P41" i="119"/>
  <c r="AO40" i="72" s="1"/>
  <c r="N29" i="100"/>
  <c r="P30" i="117"/>
  <c r="AM29" i="72" s="1"/>
  <c r="K29" i="100"/>
  <c r="P30" i="114"/>
  <c r="AJ29" i="72" s="1"/>
  <c r="O29" i="100"/>
  <c r="P30" i="118"/>
  <c r="AN29" i="72" s="1"/>
  <c r="M63" i="92"/>
  <c r="M63" i="89"/>
  <c r="M63" i="85"/>
  <c r="O63" i="90"/>
  <c r="M63" i="91"/>
  <c r="M63" i="88"/>
  <c r="M63" i="86"/>
  <c r="O60" i="76"/>
  <c r="N63" i="119"/>
  <c r="O63" s="1"/>
  <c r="N63" i="117"/>
  <c r="O63" s="1"/>
  <c r="N63" i="113"/>
  <c r="O63" s="1"/>
  <c r="O60" i="80"/>
  <c r="N63" i="120"/>
  <c r="O63" s="1"/>
  <c r="N63" i="118"/>
  <c r="O63" s="1"/>
  <c r="N63" i="116"/>
  <c r="O63" s="1"/>
  <c r="N63" i="114"/>
  <c r="O63" s="1"/>
  <c r="M51" i="92"/>
  <c r="M51" i="89"/>
  <c r="M51" i="85"/>
  <c r="O51" i="90"/>
  <c r="M51" i="91"/>
  <c r="M51" i="88"/>
  <c r="M51" i="86"/>
  <c r="O48" i="76"/>
  <c r="N51" i="119"/>
  <c r="O51" s="1"/>
  <c r="N51" i="117"/>
  <c r="O51" s="1"/>
  <c r="N51" i="113"/>
  <c r="O51" s="1"/>
  <c r="O48" i="80"/>
  <c r="N51" i="120"/>
  <c r="O51" s="1"/>
  <c r="N51" i="118"/>
  <c r="O51" s="1"/>
  <c r="N51" i="116"/>
  <c r="O51" s="1"/>
  <c r="N51" i="114"/>
  <c r="O51" s="1"/>
  <c r="N15" i="100"/>
  <c r="P16" i="117"/>
  <c r="AM15" i="72" s="1"/>
  <c r="K15" i="100"/>
  <c r="P16" i="114"/>
  <c r="AJ15" i="72" s="1"/>
  <c r="O15" i="100"/>
  <c r="P16" i="118"/>
  <c r="AN15" i="72" s="1"/>
  <c r="N47" i="100"/>
  <c r="P48" i="117"/>
  <c r="AM47" i="72" s="1"/>
  <c r="M47" i="100"/>
  <c r="P48" i="116"/>
  <c r="AL47" i="72" s="1"/>
  <c r="Q47" i="100"/>
  <c r="P48" i="120"/>
  <c r="AP47" i="72" s="1"/>
  <c r="M64" i="100"/>
  <c r="P65" i="116"/>
  <c r="AL64" i="72" s="1"/>
  <c r="Q64" i="100"/>
  <c r="P65" i="120"/>
  <c r="AP64" i="72" s="1"/>
  <c r="J64" i="100"/>
  <c r="P65" i="113"/>
  <c r="AI64" i="72" s="1"/>
  <c r="P64" i="100"/>
  <c r="P65" i="119"/>
  <c r="AO64" i="72" s="1"/>
  <c r="H49"/>
  <c r="V50" i="115"/>
  <c r="M38" i="100"/>
  <c r="P39" i="116"/>
  <c r="AL38" i="72" s="1"/>
  <c r="Q38" i="100"/>
  <c r="P39" i="120"/>
  <c r="AP38" i="72" s="1"/>
  <c r="J38" i="100"/>
  <c r="P39" i="113"/>
  <c r="AI38" i="72" s="1"/>
  <c r="P38" i="100"/>
  <c r="P39" i="119"/>
  <c r="AO38" i="72" s="1"/>
  <c r="N17" i="100"/>
  <c r="P18" i="117"/>
  <c r="AM17" i="72" s="1"/>
  <c r="K17" i="100"/>
  <c r="P18" i="114"/>
  <c r="AJ17" i="72" s="1"/>
  <c r="O17" i="100"/>
  <c r="P18" i="118"/>
  <c r="AN17" i="72" s="1"/>
  <c r="H9"/>
  <c r="V10" i="115"/>
  <c r="M26" i="100"/>
  <c r="P27" i="116"/>
  <c r="AL26" i="72" s="1"/>
  <c r="Q26" i="100"/>
  <c r="P27" i="120"/>
  <c r="AP26" i="72" s="1"/>
  <c r="J26" i="100"/>
  <c r="P27" i="113"/>
  <c r="AI26" i="72" s="1"/>
  <c r="P26" i="100"/>
  <c r="P27" i="119"/>
  <c r="AO26" i="72" s="1"/>
  <c r="H42"/>
  <c r="V43" i="115"/>
  <c r="M58" i="100"/>
  <c r="P59" i="116"/>
  <c r="AL58" i="72" s="1"/>
  <c r="Q58" i="100"/>
  <c r="P59" i="120"/>
  <c r="AP58" i="72" s="1"/>
  <c r="J58" i="100"/>
  <c r="P59" i="113"/>
  <c r="AI58" i="72" s="1"/>
  <c r="P58" i="100"/>
  <c r="P59" i="119"/>
  <c r="AO58" i="72" s="1"/>
  <c r="H23"/>
  <c r="V24" i="115"/>
  <c r="M24" i="100"/>
  <c r="P25" i="116"/>
  <c r="AL24" i="72" s="1"/>
  <c r="Q24" i="100"/>
  <c r="P25" i="120"/>
  <c r="AP24" i="72" s="1"/>
  <c r="J24" i="100"/>
  <c r="P25" i="113"/>
  <c r="AI24" i="72" s="1"/>
  <c r="P24" i="100"/>
  <c r="P25" i="119"/>
  <c r="AO24" i="72" s="1"/>
  <c r="H71"/>
  <c r="V72" i="115"/>
  <c r="M56" i="100"/>
  <c r="P57" i="116"/>
  <c r="AL56" i="72" s="1"/>
  <c r="Q56" i="100"/>
  <c r="P57" i="120"/>
  <c r="AP56" i="72" s="1"/>
  <c r="J56" i="100"/>
  <c r="P57" i="113"/>
  <c r="AI56" i="72" s="1"/>
  <c r="P56" i="100"/>
  <c r="P57" i="119"/>
  <c r="AO56" i="72" s="1"/>
  <c r="O8" i="90"/>
  <c r="M8" i="91"/>
  <c r="M8" i="88"/>
  <c r="M8" i="86"/>
  <c r="M8" i="92"/>
  <c r="M8" i="89"/>
  <c r="O5" i="80"/>
  <c r="N8" i="120"/>
  <c r="O8" s="1"/>
  <c r="N8" i="118"/>
  <c r="O8" s="1"/>
  <c r="N8" i="116"/>
  <c r="O8" s="1"/>
  <c r="N8" i="114"/>
  <c r="O8" s="1"/>
  <c r="M8" i="85"/>
  <c r="O5" i="76"/>
  <c r="N8" i="119"/>
  <c r="O8" s="1"/>
  <c r="N8" i="117"/>
  <c r="O8" s="1"/>
  <c r="N8" i="113"/>
  <c r="O8" s="1"/>
  <c r="O14" i="90"/>
  <c r="M14" i="91"/>
  <c r="M14" i="88"/>
  <c r="M14" i="86"/>
  <c r="M14" i="92"/>
  <c r="M14" i="89"/>
  <c r="O11" i="80"/>
  <c r="N14" i="120"/>
  <c r="O14" s="1"/>
  <c r="N14" i="118"/>
  <c r="O14" s="1"/>
  <c r="N14" i="116"/>
  <c r="O14" s="1"/>
  <c r="N14" i="114"/>
  <c r="O14" s="1"/>
  <c r="M14" i="85"/>
  <c r="O11" i="76"/>
  <c r="N14" i="119"/>
  <c r="O14" s="1"/>
  <c r="N14" i="117"/>
  <c r="O14" s="1"/>
  <c r="N14" i="113"/>
  <c r="O14" s="1"/>
  <c r="M34" i="100"/>
  <c r="P35" i="116"/>
  <c r="AL34" i="72" s="1"/>
  <c r="Q34" i="100"/>
  <c r="P35" i="120"/>
  <c r="AP34" i="72" s="1"/>
  <c r="J34" i="100"/>
  <c r="P35" i="113"/>
  <c r="AI34" i="72" s="1"/>
  <c r="P34" i="100"/>
  <c r="P35" i="119"/>
  <c r="AO34" i="72" s="1"/>
  <c r="N63" i="100"/>
  <c r="P64" i="117"/>
  <c r="AM63" i="72" s="1"/>
  <c r="M63" i="100"/>
  <c r="P64" i="116"/>
  <c r="AL63" i="72" s="1"/>
  <c r="Q63" i="100"/>
  <c r="P64" i="120"/>
  <c r="AP63" i="72" s="1"/>
  <c r="N21" i="100"/>
  <c r="P22" i="117"/>
  <c r="AM21" i="72" s="1"/>
  <c r="K21" i="100"/>
  <c r="P22" i="114"/>
  <c r="AJ21" i="72" s="1"/>
  <c r="O21" i="100"/>
  <c r="P22" i="118"/>
  <c r="AN21" i="72" s="1"/>
  <c r="N69" i="100"/>
  <c r="P70" i="117"/>
  <c r="AM69" i="72" s="1"/>
  <c r="M69" i="100"/>
  <c r="P70" i="116"/>
  <c r="AL69" i="72" s="1"/>
  <c r="Q69" i="100"/>
  <c r="P70" i="120"/>
  <c r="AP69" i="72" s="1"/>
  <c r="M22" i="100"/>
  <c r="P23" i="116"/>
  <c r="AL22" i="72" s="1"/>
  <c r="Q22" i="100"/>
  <c r="P23" i="120"/>
  <c r="AP22" i="72" s="1"/>
  <c r="J22" i="100"/>
  <c r="P23" i="113"/>
  <c r="AI22" i="72" s="1"/>
  <c r="P22" i="100"/>
  <c r="P23" i="119"/>
  <c r="AO22" i="72" s="1"/>
  <c r="M54" i="100"/>
  <c r="P55" i="116"/>
  <c r="AL54" i="72" s="1"/>
  <c r="Q54" i="100"/>
  <c r="P55" i="120"/>
  <c r="AP54" i="72" s="1"/>
  <c r="J54" i="100"/>
  <c r="P55" i="113"/>
  <c r="AI54" i="72" s="1"/>
  <c r="P54" i="100"/>
  <c r="P55" i="119"/>
  <c r="AO54" i="72" s="1"/>
  <c r="N19" i="100"/>
  <c r="P20" i="117"/>
  <c r="AM19" i="72" s="1"/>
  <c r="K19" i="100"/>
  <c r="P20" i="114"/>
  <c r="AJ19" i="72" s="1"/>
  <c r="O19" i="100"/>
  <c r="P20" i="118"/>
  <c r="AN19" i="72" s="1"/>
  <c r="N67" i="100"/>
  <c r="P68" i="117"/>
  <c r="AM67" i="72" s="1"/>
  <c r="M67" i="100"/>
  <c r="P68" i="116"/>
  <c r="AL67" i="72" s="1"/>
  <c r="Q67" i="100"/>
  <c r="P68" i="120"/>
  <c r="AP67" i="72" s="1"/>
  <c r="M68" i="100"/>
  <c r="P69" i="116"/>
  <c r="AL68" i="72" s="1"/>
  <c r="Q68" i="100"/>
  <c r="P69" i="120"/>
  <c r="AP68" i="72" s="1"/>
  <c r="J68" i="100"/>
  <c r="P69" i="113"/>
  <c r="AI68" i="72" s="1"/>
  <c r="P68" i="100"/>
  <c r="P69" i="119"/>
  <c r="AO68" i="72" s="1"/>
  <c r="N43" i="100"/>
  <c r="P44" i="117"/>
  <c r="AM43" i="72" s="1"/>
  <c r="K43" i="100"/>
  <c r="P44" i="114"/>
  <c r="AJ43" i="72" s="1"/>
  <c r="O43" i="100"/>
  <c r="P44" i="118"/>
  <c r="AN43" i="72" s="1"/>
  <c r="M28" i="100"/>
  <c r="P29" i="116"/>
  <c r="AL28" i="72" s="1"/>
  <c r="Q28" i="100"/>
  <c r="P29" i="120"/>
  <c r="AP28" i="72" s="1"/>
  <c r="J28" i="100"/>
  <c r="P29" i="113"/>
  <c r="AI28" i="72" s="1"/>
  <c r="P28" i="100"/>
  <c r="P29" i="119"/>
  <c r="AO28" i="72" s="1"/>
  <c r="N33" i="100"/>
  <c r="P34" i="117"/>
  <c r="AM33" i="72" s="1"/>
  <c r="K33" i="100"/>
  <c r="P34" i="114"/>
  <c r="AJ33" i="72" s="1"/>
  <c r="O33" i="100"/>
  <c r="P34" i="118"/>
  <c r="AN33" i="72" s="1"/>
  <c r="M8" i="100"/>
  <c r="P9" i="116"/>
  <c r="AL8" i="72" s="1"/>
  <c r="Q8" i="100"/>
  <c r="P9" i="120"/>
  <c r="AP8" i="72" s="1"/>
  <c r="J8" i="100"/>
  <c r="P9" i="113"/>
  <c r="AI8" i="72" s="1"/>
  <c r="P8" i="100"/>
  <c r="P9" i="119"/>
  <c r="AO8" i="72" s="1"/>
  <c r="N39" i="100"/>
  <c r="P40" i="117"/>
  <c r="AM39" i="72" s="1"/>
  <c r="K39" i="100"/>
  <c r="P40" i="114"/>
  <c r="AJ39" i="72" s="1"/>
  <c r="P40" i="118"/>
  <c r="AN39" i="72" s="1"/>
  <c r="O39" i="100"/>
  <c r="U12" i="115"/>
  <c r="U73"/>
  <c r="Q19"/>
  <c r="S19" s="1"/>
  <c r="T42"/>
  <c r="U42"/>
  <c r="T48"/>
  <c r="U48"/>
  <c r="T18"/>
  <c r="U18"/>
  <c r="T59"/>
  <c r="U59"/>
  <c r="T57"/>
  <c r="U57"/>
  <c r="M19" i="92"/>
  <c r="M19" i="89"/>
  <c r="O19" i="90"/>
  <c r="M19" i="91"/>
  <c r="M19" i="88"/>
  <c r="M19" i="86"/>
  <c r="M19" i="85"/>
  <c r="O16" i="76"/>
  <c r="N19" i="119"/>
  <c r="O19" s="1"/>
  <c r="N19" i="117"/>
  <c r="O19" s="1"/>
  <c r="N19" i="113"/>
  <c r="O19" s="1"/>
  <c r="O16" i="80"/>
  <c r="N19" i="120"/>
  <c r="O19" s="1"/>
  <c r="N19" i="118"/>
  <c r="O19" s="1"/>
  <c r="N19" i="116"/>
  <c r="O19" s="1"/>
  <c r="N19" i="114"/>
  <c r="O19" s="1"/>
  <c r="H66" i="72"/>
  <c r="V67" i="115"/>
  <c r="H16" i="72"/>
  <c r="V17" i="115"/>
  <c r="M32" i="100"/>
  <c r="P33" i="116"/>
  <c r="AL32" i="72" s="1"/>
  <c r="Q32" i="100"/>
  <c r="P33" i="120"/>
  <c r="AP32" i="72" s="1"/>
  <c r="J32" i="100"/>
  <c r="P33" i="113"/>
  <c r="AI32" i="72" s="1"/>
  <c r="P32" i="100"/>
  <c r="P33" i="119"/>
  <c r="AO32" i="72" s="1"/>
  <c r="H21"/>
  <c r="V22" i="115"/>
  <c r="N37" i="100"/>
  <c r="P38" i="117"/>
  <c r="AM37" i="72" s="1"/>
  <c r="K37" i="100"/>
  <c r="P38" i="114"/>
  <c r="AJ37" i="72" s="1"/>
  <c r="O37" i="100"/>
  <c r="P38" i="118"/>
  <c r="AN37" i="72" s="1"/>
  <c r="H53"/>
  <c r="V54" i="115"/>
  <c r="H22" i="72"/>
  <c r="V23" i="115"/>
  <c r="V71"/>
  <c r="H35" i="72"/>
  <c r="O62" i="90"/>
  <c r="M62" i="91"/>
  <c r="M62" i="88"/>
  <c r="M62" i="86"/>
  <c r="M62" i="92"/>
  <c r="M62" i="89"/>
  <c r="M62" i="85"/>
  <c r="O59" i="80"/>
  <c r="N62" i="120"/>
  <c r="O62" s="1"/>
  <c r="N62" i="118"/>
  <c r="O62" s="1"/>
  <c r="N62" i="116"/>
  <c r="O62" s="1"/>
  <c r="N62" i="114"/>
  <c r="O62" s="1"/>
  <c r="O59" i="76"/>
  <c r="N62" i="119"/>
  <c r="O62" s="1"/>
  <c r="N62" i="117"/>
  <c r="O62" s="1"/>
  <c r="N62" i="113"/>
  <c r="O62" s="1"/>
  <c r="K44" i="100"/>
  <c r="P45" i="114"/>
  <c r="AJ44" i="72" s="1"/>
  <c r="O44" i="100"/>
  <c r="P45" i="118"/>
  <c r="AN44" i="72" s="1"/>
  <c r="N44" i="100"/>
  <c r="P45" i="117"/>
  <c r="AM44" i="72" s="1"/>
  <c r="J31" i="100"/>
  <c r="P32" i="113"/>
  <c r="AI31" i="72" s="1"/>
  <c r="P31" i="100"/>
  <c r="P32" i="119"/>
  <c r="AO31" i="72" s="1"/>
  <c r="M31" i="100"/>
  <c r="P32" i="116"/>
  <c r="AL31" i="72" s="1"/>
  <c r="Q31" i="100"/>
  <c r="P32" i="120"/>
  <c r="AP31" i="72" s="1"/>
  <c r="K48" i="100"/>
  <c r="P49" i="114"/>
  <c r="AJ48" i="72" s="1"/>
  <c r="O48" i="100"/>
  <c r="P49" i="118"/>
  <c r="AN48" i="72" s="1"/>
  <c r="N48" i="100"/>
  <c r="P49" i="117"/>
  <c r="AM48" i="72" s="1"/>
  <c r="K20" i="100"/>
  <c r="P21" i="114"/>
  <c r="AJ20" i="72" s="1"/>
  <c r="O20" i="100"/>
  <c r="P21" i="118"/>
  <c r="AN20" i="72" s="1"/>
  <c r="N20" i="100"/>
  <c r="P21" i="117"/>
  <c r="AM20" i="72" s="1"/>
  <c r="J27" i="100"/>
  <c r="P28" i="113"/>
  <c r="AI27" i="72" s="1"/>
  <c r="P27" i="100"/>
  <c r="P28" i="119"/>
  <c r="AO27" i="72" s="1"/>
  <c r="M27" i="100"/>
  <c r="P28" i="116"/>
  <c r="AL27" i="72" s="1"/>
  <c r="Q27" i="100"/>
  <c r="P28" i="120"/>
  <c r="AP27" i="72" s="1"/>
  <c r="J9" i="100"/>
  <c r="P10" i="113"/>
  <c r="AI9" i="72" s="1"/>
  <c r="P9" i="100"/>
  <c r="P10" i="119"/>
  <c r="AO9" i="72" s="1"/>
  <c r="M9" i="100"/>
  <c r="P10" i="116"/>
  <c r="AL9" i="72" s="1"/>
  <c r="Q9" i="100"/>
  <c r="P10" i="120"/>
  <c r="AP9" i="72" s="1"/>
  <c r="K42" i="100"/>
  <c r="P43" i="114"/>
  <c r="AJ42" i="72" s="1"/>
  <c r="O42" i="100"/>
  <c r="P43" i="118"/>
  <c r="AN42" i="72" s="1"/>
  <c r="N42" i="100"/>
  <c r="P43" i="117"/>
  <c r="AM42" i="72" s="1"/>
  <c r="J23" i="100"/>
  <c r="P24" i="113"/>
  <c r="AI23" i="72" s="1"/>
  <c r="P23" i="100"/>
  <c r="P24" i="119"/>
  <c r="AO23" i="72" s="1"/>
  <c r="M23" i="100"/>
  <c r="P24" i="116"/>
  <c r="AL23" i="72" s="1"/>
  <c r="Q23" i="100"/>
  <c r="P24" i="120"/>
  <c r="AP23" i="72" s="1"/>
  <c r="J71" i="100"/>
  <c r="P72" i="113"/>
  <c r="AI71" i="72" s="1"/>
  <c r="P71" i="100"/>
  <c r="P72" i="119"/>
  <c r="AO71" i="72" s="1"/>
  <c r="K71" i="100"/>
  <c r="P72" i="114"/>
  <c r="AJ71" i="72" s="1"/>
  <c r="O71" i="100"/>
  <c r="P72" i="118"/>
  <c r="AN71" i="72" s="1"/>
  <c r="J45" i="100"/>
  <c r="P46" i="113"/>
  <c r="AI45" i="72" s="1"/>
  <c r="P45" i="100"/>
  <c r="P46" i="119"/>
  <c r="AO45" i="72" s="1"/>
  <c r="M45" i="100"/>
  <c r="P46" i="116"/>
  <c r="AL45" i="72" s="1"/>
  <c r="Q45" i="100"/>
  <c r="P46" i="120"/>
  <c r="AP45" i="72" s="1"/>
  <c r="T11" i="115"/>
  <c r="U11"/>
  <c r="N51" i="100"/>
  <c r="P52" i="117"/>
  <c r="AM51" i="72" s="1"/>
  <c r="M51" i="100"/>
  <c r="P52" i="116"/>
  <c r="AL51" i="72" s="1"/>
  <c r="Q51" i="100"/>
  <c r="P52" i="120"/>
  <c r="AP51" i="72" s="1"/>
  <c r="H67"/>
  <c r="V68" i="115"/>
  <c r="H68" i="72"/>
  <c r="V69" i="115"/>
  <c r="N57" i="100"/>
  <c r="P58" i="117"/>
  <c r="AM57" i="72" s="1"/>
  <c r="M57" i="100"/>
  <c r="P58" i="116"/>
  <c r="AL57" i="72" s="1"/>
  <c r="Q57" i="100"/>
  <c r="P58" i="120"/>
  <c r="AP57" i="72" s="1"/>
  <c r="M12" i="100"/>
  <c r="P13" i="116"/>
  <c r="AL12" i="72" s="1"/>
  <c r="Q12" i="100"/>
  <c r="P13" i="120"/>
  <c r="AP12" i="72" s="1"/>
  <c r="J12" i="100"/>
  <c r="P13" i="113"/>
  <c r="AI12" i="72" s="1"/>
  <c r="P12" i="100"/>
  <c r="P13" i="119"/>
  <c r="AO12" i="72" s="1"/>
  <c r="H43"/>
  <c r="V44" i="115"/>
  <c r="H28" i="72"/>
  <c r="V29" i="115"/>
  <c r="H33" i="72"/>
  <c r="V34" i="115"/>
  <c r="H8" i="72"/>
  <c r="V9" i="115"/>
  <c r="H39" i="72"/>
  <c r="V40" i="115"/>
  <c r="H40" i="72"/>
  <c r="V41" i="115"/>
  <c r="M47" i="92"/>
  <c r="M47" i="89"/>
  <c r="M47" i="85"/>
  <c r="O47" i="90"/>
  <c r="M47" i="91"/>
  <c r="M47" i="88"/>
  <c r="M47" i="86"/>
  <c r="O44" i="76"/>
  <c r="N47" i="119"/>
  <c r="O47" s="1"/>
  <c r="N47" i="117"/>
  <c r="O47" s="1"/>
  <c r="N47" i="113"/>
  <c r="O47" s="1"/>
  <c r="O44" i="80"/>
  <c r="N47" i="120"/>
  <c r="O47" s="1"/>
  <c r="N47" i="118"/>
  <c r="O47" s="1"/>
  <c r="N47" i="116"/>
  <c r="O47" s="1"/>
  <c r="N47" i="114"/>
  <c r="O47" s="1"/>
  <c r="O12" i="90"/>
  <c r="M12" i="91"/>
  <c r="M12" i="88"/>
  <c r="M12" i="86"/>
  <c r="M12" i="92"/>
  <c r="M12" i="89"/>
  <c r="O9" i="80"/>
  <c r="N12" i="120"/>
  <c r="O12" s="1"/>
  <c r="N12" i="118"/>
  <c r="O12" s="1"/>
  <c r="N12" i="116"/>
  <c r="O12" s="1"/>
  <c r="N12" i="114"/>
  <c r="O12" s="1"/>
  <c r="M12" i="85"/>
  <c r="O9" i="76"/>
  <c r="N12" i="119"/>
  <c r="O12" s="1"/>
  <c r="N12" i="117"/>
  <c r="O12" s="1"/>
  <c r="N12" i="113"/>
  <c r="O12" s="1"/>
  <c r="M15" i="92"/>
  <c r="M15" i="89"/>
  <c r="O15" i="90"/>
  <c r="M15" i="91"/>
  <c r="M15" i="88"/>
  <c r="M15" i="86"/>
  <c r="M15" i="85"/>
  <c r="O12" i="76"/>
  <c r="N15" i="119"/>
  <c r="O15" s="1"/>
  <c r="N15" i="117"/>
  <c r="O15" s="1"/>
  <c r="N15" i="113"/>
  <c r="O15" s="1"/>
  <c r="O12" i="80"/>
  <c r="N15" i="120"/>
  <c r="O15" s="1"/>
  <c r="N15" i="118"/>
  <c r="O15" s="1"/>
  <c r="N15" i="116"/>
  <c r="O15" s="1"/>
  <c r="N15" i="114"/>
  <c r="O15" s="1"/>
  <c r="M73" i="92"/>
  <c r="M73" i="89"/>
  <c r="M73" i="85"/>
  <c r="O73" i="90"/>
  <c r="M73" i="91"/>
  <c r="M73" i="88"/>
  <c r="M73" i="86"/>
  <c r="O70" i="76"/>
  <c r="N73" i="119"/>
  <c r="O73" s="1"/>
  <c r="N73" i="117"/>
  <c r="O73" s="1"/>
  <c r="N73" i="113"/>
  <c r="O73" s="1"/>
  <c r="O70" i="80"/>
  <c r="N73" i="120"/>
  <c r="O73" s="1"/>
  <c r="N73" i="118"/>
  <c r="O73" s="1"/>
  <c r="N73" i="116"/>
  <c r="O73" s="1"/>
  <c r="N73" i="114"/>
  <c r="O73" s="1"/>
  <c r="N49" i="100"/>
  <c r="P50" i="117"/>
  <c r="AM49" i="72" s="1"/>
  <c r="M49" i="100"/>
  <c r="P50" i="116"/>
  <c r="AL49" i="72" s="1"/>
  <c r="Q49" i="100"/>
  <c r="P50" i="120"/>
  <c r="AP49" i="72" s="1"/>
  <c r="M52" i="100"/>
  <c r="P53" i="116"/>
  <c r="AL52" i="72" s="1"/>
  <c r="Q52" i="100"/>
  <c r="P53" i="120"/>
  <c r="AP52" i="72" s="1"/>
  <c r="J52" i="100"/>
  <c r="P53" i="113"/>
  <c r="AI52" i="72" s="1"/>
  <c r="P52" i="100"/>
  <c r="P53" i="119"/>
  <c r="AO52" i="72" s="1"/>
  <c r="T64" i="115"/>
  <c r="U64"/>
  <c r="T38"/>
  <c r="U38"/>
  <c r="T20"/>
  <c r="U20"/>
  <c r="T32"/>
  <c r="U32"/>
  <c r="T21"/>
  <c r="U21"/>
  <c r="T52"/>
  <c r="U52"/>
  <c r="T26"/>
  <c r="U26"/>
  <c r="T58"/>
  <c r="U58"/>
  <c r="T60"/>
  <c r="U60"/>
  <c r="T66"/>
  <c r="U66"/>
  <c r="T56"/>
  <c r="U56"/>
  <c r="K66" i="100"/>
  <c r="P67" i="114"/>
  <c r="AJ66" i="72" s="1"/>
  <c r="O66" i="100"/>
  <c r="P67" i="118"/>
  <c r="AN66" i="72" s="1"/>
  <c r="N66" i="100"/>
  <c r="P67" i="117"/>
  <c r="AM66" i="72" s="1"/>
  <c r="K16" i="100"/>
  <c r="P17" i="114"/>
  <c r="AJ16" i="72" s="1"/>
  <c r="O16" i="100"/>
  <c r="P17" i="118"/>
  <c r="AN16" i="72" s="1"/>
  <c r="N16" i="100"/>
  <c r="P17" i="117"/>
  <c r="AM16" i="72" s="1"/>
  <c r="J53" i="100"/>
  <c r="P54" i="113"/>
  <c r="AI53" i="72" s="1"/>
  <c r="P53" i="100"/>
  <c r="P54" i="119"/>
  <c r="AO53" i="72" s="1"/>
  <c r="K53" i="100"/>
  <c r="P54" i="114"/>
  <c r="AJ53" i="72" s="1"/>
  <c r="O53" i="100"/>
  <c r="P54" i="118"/>
  <c r="AN53" i="72" s="1"/>
  <c r="K70" i="100"/>
  <c r="P71" i="114"/>
  <c r="AJ70" i="72" s="1"/>
  <c r="O70" i="100"/>
  <c r="P71" i="118"/>
  <c r="AN70" i="72" s="1"/>
  <c r="N70" i="100"/>
  <c r="P71" i="117"/>
  <c r="AM70" i="72" s="1"/>
  <c r="J35" i="100"/>
  <c r="P36" i="113"/>
  <c r="AI35" i="72" s="1"/>
  <c r="P35" i="100"/>
  <c r="P36" i="119"/>
  <c r="AO35" i="72" s="1"/>
  <c r="M35" i="100"/>
  <c r="P36" i="116"/>
  <c r="AL35" i="72" s="1"/>
  <c r="Q35" i="100"/>
  <c r="P36" i="120"/>
  <c r="AP35" i="72" s="1"/>
  <c r="K36" i="100"/>
  <c r="P37" i="114"/>
  <c r="AJ36" i="72" s="1"/>
  <c r="O36" i="100"/>
  <c r="P37" i="118"/>
  <c r="AN36" i="72" s="1"/>
  <c r="N36" i="100"/>
  <c r="P37" i="117"/>
  <c r="AM36" i="72" s="1"/>
  <c r="J25" i="100"/>
  <c r="P26" i="113"/>
  <c r="AI25" i="72" s="1"/>
  <c r="P25" i="100"/>
  <c r="P26" i="119"/>
  <c r="AO25" i="72" s="1"/>
  <c r="M25" i="100"/>
  <c r="P26" i="116"/>
  <c r="AL25" i="72" s="1"/>
  <c r="Q25" i="100"/>
  <c r="P26" i="120"/>
  <c r="AP25" i="72" s="1"/>
  <c r="N21" i="31"/>
  <c r="M21"/>
  <c r="J41" i="100"/>
  <c r="P42" i="113"/>
  <c r="AI41" i="72" s="1"/>
  <c r="P41" i="100"/>
  <c r="P42" i="119"/>
  <c r="AO41" i="72" s="1"/>
  <c r="M41" i="100"/>
  <c r="P42" i="116"/>
  <c r="AL41" i="72" s="1"/>
  <c r="Q41" i="100"/>
  <c r="P42" i="120"/>
  <c r="AP41" i="72" s="1"/>
  <c r="J73" i="100"/>
  <c r="P74" i="113"/>
  <c r="AI73" i="72" s="1"/>
  <c r="P73" i="100"/>
  <c r="P74" i="119"/>
  <c r="AO73" i="72" s="1"/>
  <c r="K73" i="100"/>
  <c r="P74" i="114"/>
  <c r="AJ73" i="72" s="1"/>
  <c r="O73" i="100"/>
  <c r="P74" i="118"/>
  <c r="AN73" i="72" s="1"/>
  <c r="J59" i="100"/>
  <c r="P60" i="113"/>
  <c r="AI59" i="72" s="1"/>
  <c r="P59" i="100"/>
  <c r="P60" i="119"/>
  <c r="AO59" i="72" s="1"/>
  <c r="K59" i="100"/>
  <c r="P60" i="114"/>
  <c r="AJ59" i="72" s="1"/>
  <c r="O59" i="100"/>
  <c r="P60" i="118"/>
  <c r="AN59" i="72" s="1"/>
  <c r="K60" i="100"/>
  <c r="P61" i="114"/>
  <c r="AJ60" i="72" s="1"/>
  <c r="O60" i="100"/>
  <c r="P61" i="118"/>
  <c r="AN60" i="72" s="1"/>
  <c r="N60" i="100"/>
  <c r="P61" i="117"/>
  <c r="AM60" i="72" s="1"/>
  <c r="J65" i="100"/>
  <c r="P66" i="113"/>
  <c r="AI65" i="72" s="1"/>
  <c r="P65" i="100"/>
  <c r="P66" i="119"/>
  <c r="AO65" i="72" s="1"/>
  <c r="K65" i="100"/>
  <c r="P66" i="114"/>
  <c r="AJ65" i="72" s="1"/>
  <c r="O65" i="100"/>
  <c r="P66" i="118"/>
  <c r="AN65" i="72" s="1"/>
  <c r="K74" i="100"/>
  <c r="P75" i="114"/>
  <c r="AJ74" i="72" s="1"/>
  <c r="O74" i="100"/>
  <c r="P75" i="118"/>
  <c r="AN74" i="72" s="1"/>
  <c r="N74" i="100"/>
  <c r="P75" i="117"/>
  <c r="AM74" i="72" s="1"/>
  <c r="J55" i="100"/>
  <c r="P56" i="113"/>
  <c r="AI55" i="72" s="1"/>
  <c r="P55" i="100"/>
  <c r="P56" i="119"/>
  <c r="AO55" i="72" s="1"/>
  <c r="K55" i="100"/>
  <c r="P56" i="114"/>
  <c r="AJ55" i="72" s="1"/>
  <c r="O55" i="100"/>
  <c r="P56" i="118"/>
  <c r="AN55" i="72" s="1"/>
  <c r="K40" i="100"/>
  <c r="P41" i="114"/>
  <c r="AJ40" i="72" s="1"/>
  <c r="O40" i="100"/>
  <c r="P41" i="118"/>
  <c r="AN40" i="72" s="1"/>
  <c r="N40" i="100"/>
  <c r="P41" i="117"/>
  <c r="AM40" i="72" s="1"/>
  <c r="J29" i="100"/>
  <c r="P30" i="113"/>
  <c r="AI29" i="72" s="1"/>
  <c r="P29" i="100"/>
  <c r="P30" i="119"/>
  <c r="AO29" i="72" s="1"/>
  <c r="M29" i="100"/>
  <c r="P30" i="116"/>
  <c r="AL29" i="72" s="1"/>
  <c r="Q29" i="100"/>
  <c r="P30" i="120"/>
  <c r="AP29" i="72" s="1"/>
  <c r="J15" i="100"/>
  <c r="P16" i="113"/>
  <c r="AI15" i="72" s="1"/>
  <c r="P15" i="100"/>
  <c r="P16" i="119"/>
  <c r="AO15" i="72" s="1"/>
  <c r="M15" i="100"/>
  <c r="P16" i="116"/>
  <c r="AL15" i="72" s="1"/>
  <c r="Q15" i="100"/>
  <c r="P16" i="120"/>
  <c r="AP15" i="72" s="1"/>
  <c r="J47" i="100"/>
  <c r="P48" i="113"/>
  <c r="AI47" i="72" s="1"/>
  <c r="P47" i="100"/>
  <c r="P48" i="119"/>
  <c r="AO47" i="72" s="1"/>
  <c r="K47" i="100"/>
  <c r="P48" i="114"/>
  <c r="AJ47" i="72" s="1"/>
  <c r="O47" i="100"/>
  <c r="P48" i="118"/>
  <c r="AN47" i="72" s="1"/>
  <c r="K64" i="100"/>
  <c r="P65" i="114"/>
  <c r="AJ64" i="72" s="1"/>
  <c r="O64" i="100"/>
  <c r="P65" i="118"/>
  <c r="AN64" i="72" s="1"/>
  <c r="N64" i="100"/>
  <c r="P65" i="117"/>
  <c r="AM64" i="72" s="1"/>
  <c r="K38" i="100"/>
  <c r="P39" i="114"/>
  <c r="AJ38" i="72" s="1"/>
  <c r="O38" i="100"/>
  <c r="P39" i="118"/>
  <c r="AN38" i="72" s="1"/>
  <c r="N38" i="100"/>
  <c r="P39" i="117"/>
  <c r="AM38" i="72" s="1"/>
  <c r="J17" i="100"/>
  <c r="P18" i="113"/>
  <c r="AI17" i="72" s="1"/>
  <c r="P17" i="100"/>
  <c r="P18" i="119"/>
  <c r="AO17" i="72" s="1"/>
  <c r="M17" i="100"/>
  <c r="P18" i="116"/>
  <c r="AL17" i="72" s="1"/>
  <c r="Q17" i="100"/>
  <c r="P18" i="120"/>
  <c r="AP17" i="72" s="1"/>
  <c r="K26" i="100"/>
  <c r="P27" i="114"/>
  <c r="AJ26" i="72" s="1"/>
  <c r="O26" i="100"/>
  <c r="P27" i="118"/>
  <c r="AN26" i="72" s="1"/>
  <c r="N26" i="100"/>
  <c r="P27" i="117"/>
  <c r="AM26" i="72" s="1"/>
  <c r="K58" i="100"/>
  <c r="P59" i="114"/>
  <c r="AJ58" i="72" s="1"/>
  <c r="O58" i="100"/>
  <c r="P59" i="118"/>
  <c r="AN58" i="72" s="1"/>
  <c r="N58" i="100"/>
  <c r="P59" i="117"/>
  <c r="AM58" i="72" s="1"/>
  <c r="K24" i="100"/>
  <c r="P25" i="114"/>
  <c r="AJ24" i="72" s="1"/>
  <c r="O24" i="100"/>
  <c r="P25" i="118"/>
  <c r="AN24" i="72" s="1"/>
  <c r="N24" i="100"/>
  <c r="P25" i="117"/>
  <c r="AM24" i="72" s="1"/>
  <c r="K56" i="100"/>
  <c r="P57" i="114"/>
  <c r="AJ56" i="72" s="1"/>
  <c r="O56" i="100"/>
  <c r="P57" i="118"/>
  <c r="AN56" i="72" s="1"/>
  <c r="N56" i="100"/>
  <c r="P57" i="117"/>
  <c r="AM56" i="72" s="1"/>
  <c r="K34" i="100"/>
  <c r="P35" i="114"/>
  <c r="AJ34" i="72" s="1"/>
  <c r="O34" i="100"/>
  <c r="P35" i="118"/>
  <c r="AN34" i="72" s="1"/>
  <c r="N34" i="100"/>
  <c r="P35" i="117"/>
  <c r="AM34" i="72" s="1"/>
  <c r="J63" i="100"/>
  <c r="P64" i="113"/>
  <c r="AI63" i="72" s="1"/>
  <c r="P63" i="100"/>
  <c r="P64" i="119"/>
  <c r="AO63" i="72" s="1"/>
  <c r="K63" i="100"/>
  <c r="P64" i="114"/>
  <c r="AJ63" i="72" s="1"/>
  <c r="O63" i="100"/>
  <c r="P64" i="118"/>
  <c r="AN63" i="72" s="1"/>
  <c r="J21" i="100"/>
  <c r="P22" i="113"/>
  <c r="AI21" i="72" s="1"/>
  <c r="P21" i="100"/>
  <c r="P22" i="119"/>
  <c r="AO21" i="72" s="1"/>
  <c r="M21" i="100"/>
  <c r="P22" i="116"/>
  <c r="AL21" i="72" s="1"/>
  <c r="Q21" i="100"/>
  <c r="P22" i="120"/>
  <c r="AP21" i="72" s="1"/>
  <c r="J69" i="100"/>
  <c r="P70" i="113"/>
  <c r="AI69" i="72" s="1"/>
  <c r="P69" i="100"/>
  <c r="P70" i="119"/>
  <c r="AO69" i="72" s="1"/>
  <c r="K69" i="100"/>
  <c r="P70" i="114"/>
  <c r="O69" i="100"/>
  <c r="P70" i="118"/>
  <c r="AN69" i="72" s="1"/>
  <c r="K22" i="100"/>
  <c r="P23" i="114"/>
  <c r="AJ22" i="72" s="1"/>
  <c r="O22" i="100"/>
  <c r="P23" i="118"/>
  <c r="AN22" i="72" s="1"/>
  <c r="N22" i="100"/>
  <c r="P23" i="117"/>
  <c r="AM22" i="72" s="1"/>
  <c r="K54" i="100"/>
  <c r="P55" i="114"/>
  <c r="AJ54" i="72" s="1"/>
  <c r="O54" i="100"/>
  <c r="P55" i="118"/>
  <c r="AN54" i="72" s="1"/>
  <c r="N54" i="100"/>
  <c r="P55" i="117"/>
  <c r="AM54" i="72" s="1"/>
  <c r="J19" i="100"/>
  <c r="P20" i="113"/>
  <c r="AI19" i="72" s="1"/>
  <c r="P19" i="100"/>
  <c r="P20" i="119"/>
  <c r="AO19" i="72" s="1"/>
  <c r="M19" i="100"/>
  <c r="P20" i="116"/>
  <c r="AL19" i="72" s="1"/>
  <c r="Q19" i="100"/>
  <c r="P20" i="120"/>
  <c r="AP19" i="72" s="1"/>
  <c r="J67" i="100"/>
  <c r="P68" i="113"/>
  <c r="AI67" i="72" s="1"/>
  <c r="P67" i="100"/>
  <c r="P68" i="119"/>
  <c r="AO67" i="72" s="1"/>
  <c r="K67" i="100"/>
  <c r="P68" i="114"/>
  <c r="AJ67" i="72" s="1"/>
  <c r="O67" i="100"/>
  <c r="P68" i="118"/>
  <c r="AN67" i="72" s="1"/>
  <c r="K68" i="100"/>
  <c r="P69" i="114"/>
  <c r="AJ68" i="72" s="1"/>
  <c r="O68" i="100"/>
  <c r="P69" i="118"/>
  <c r="AN68" i="72" s="1"/>
  <c r="N68" i="100"/>
  <c r="P69" i="117"/>
  <c r="AM68" i="72" s="1"/>
  <c r="J43" i="100"/>
  <c r="P44" i="113"/>
  <c r="AI43" i="72" s="1"/>
  <c r="P43" i="100"/>
  <c r="P44" i="119"/>
  <c r="AO43" i="72" s="1"/>
  <c r="M43" i="100"/>
  <c r="P44" i="116"/>
  <c r="AL43" i="72" s="1"/>
  <c r="P44" i="120"/>
  <c r="AP43" i="72" s="1"/>
  <c r="Q43" i="100"/>
  <c r="K28"/>
  <c r="P29" i="114"/>
  <c r="AJ28" i="72" s="1"/>
  <c r="O28" i="100"/>
  <c r="P29" i="118"/>
  <c r="AN28" i="72" s="1"/>
  <c r="N28" i="100"/>
  <c r="P29" i="117"/>
  <c r="AM28" i="72" s="1"/>
  <c r="J33" i="100"/>
  <c r="P34" i="113"/>
  <c r="AI33" i="72" s="1"/>
  <c r="P33" i="100"/>
  <c r="P34" i="119"/>
  <c r="AO33" i="72" s="1"/>
  <c r="M33" i="100"/>
  <c r="P34" i="116"/>
  <c r="AL33" i="72" s="1"/>
  <c r="Q33" i="100"/>
  <c r="P34" i="120"/>
  <c r="AP33" i="72" s="1"/>
  <c r="K8" i="100"/>
  <c r="P9" i="114"/>
  <c r="AJ8" i="72" s="1"/>
  <c r="O8" i="100"/>
  <c r="P9" i="118"/>
  <c r="AN8" i="72" s="1"/>
  <c r="N8" i="100"/>
  <c r="P9" i="117"/>
  <c r="AM8" i="72" s="1"/>
  <c r="J39" i="100"/>
  <c r="P40" i="113"/>
  <c r="AI39" i="72" s="1"/>
  <c r="P39" i="100"/>
  <c r="P40" i="119"/>
  <c r="AO39" i="72" s="1"/>
  <c r="P40" i="116"/>
  <c r="AL39" i="72" s="1"/>
  <c r="M39" i="100"/>
  <c r="P40" i="120"/>
  <c r="AP39" i="72" s="1"/>
  <c r="Q39" i="100"/>
  <c r="Q31" i="115"/>
  <c r="S31" s="1"/>
  <c r="Q51"/>
  <c r="S51" s="1"/>
  <c r="Q47"/>
  <c r="S47" s="1"/>
  <c r="Q15"/>
  <c r="S15" s="1"/>
  <c r="G87" i="81"/>
  <c r="H87"/>
  <c r="C75" i="100"/>
  <c r="E8" i="96"/>
  <c r="L8" s="1"/>
  <c r="F8"/>
  <c r="E43"/>
  <c r="D77"/>
  <c r="G72" i="81"/>
  <c r="C75" i="72"/>
  <c r="N73" i="76"/>
  <c r="H73" i="72" l="1"/>
  <c r="V28" i="115"/>
  <c r="T62"/>
  <c r="H61" i="72" s="1"/>
  <c r="Q40" i="118"/>
  <c r="S40" s="1"/>
  <c r="T40" s="1"/>
  <c r="T8" i="115"/>
  <c r="H7" i="72" s="1"/>
  <c r="Q40" i="120"/>
  <c r="S40" s="1"/>
  <c r="U40" s="1"/>
  <c r="T14" i="115"/>
  <c r="H13" i="72" s="1"/>
  <c r="Q43" i="120"/>
  <c r="S43" s="1"/>
  <c r="T43" s="1"/>
  <c r="U63" i="115"/>
  <c r="Q52" i="113"/>
  <c r="S52" s="1"/>
  <c r="U52" s="1"/>
  <c r="Q34" i="116"/>
  <c r="S34" s="1"/>
  <c r="T34" s="1"/>
  <c r="Q20" i="118"/>
  <c r="S20" s="1"/>
  <c r="U20" s="1"/>
  <c r="Q50" i="117"/>
  <c r="S50" s="1"/>
  <c r="U50" s="1"/>
  <c r="Q56" i="119"/>
  <c r="S56" s="1"/>
  <c r="Q40" i="117"/>
  <c r="S40" s="1"/>
  <c r="T40" s="1"/>
  <c r="Q68" i="113"/>
  <c r="S68" s="1"/>
  <c r="T68" s="1"/>
  <c r="Q75" i="116"/>
  <c r="S75" s="1"/>
  <c r="U75" s="1"/>
  <c r="Q67" i="113"/>
  <c r="S67" s="1"/>
  <c r="U67" s="1"/>
  <c r="Q45"/>
  <c r="S45" s="1"/>
  <c r="U45" s="1"/>
  <c r="Q45" i="120"/>
  <c r="S45" s="1"/>
  <c r="T45" s="1"/>
  <c r="Q45" i="116"/>
  <c r="S45" s="1"/>
  <c r="U45" s="1"/>
  <c r="Q48" i="114"/>
  <c r="S48" s="1"/>
  <c r="U48" s="1"/>
  <c r="Q42" i="119"/>
  <c r="S42" s="1"/>
  <c r="T42" s="1"/>
  <c r="Q52" i="117"/>
  <c r="S52" s="1"/>
  <c r="T52" s="1"/>
  <c r="Q34" i="114"/>
  <c r="S34" s="1"/>
  <c r="T34" s="1"/>
  <c r="Q22" i="118"/>
  <c r="S22" s="1"/>
  <c r="T22" s="1"/>
  <c r="Q21" i="120"/>
  <c r="S21" s="1"/>
  <c r="T21" s="1"/>
  <c r="Q40" i="116"/>
  <c r="S40" s="1"/>
  <c r="T40" s="1"/>
  <c r="Q40" i="119"/>
  <c r="S40" s="1"/>
  <c r="T40" s="1"/>
  <c r="Q44"/>
  <c r="S44" s="1"/>
  <c r="Q20" i="116"/>
  <c r="S20" s="1"/>
  <c r="T20" s="1"/>
  <c r="Q43" i="114"/>
  <c r="S43" s="1"/>
  <c r="T43" s="1"/>
  <c r="Q33" i="116"/>
  <c r="S33" s="1"/>
  <c r="U33" s="1"/>
  <c r="Q16" i="118"/>
  <c r="S16" s="1"/>
  <c r="U16" s="1"/>
  <c r="Q39"/>
  <c r="S39" s="1"/>
  <c r="U39" s="1"/>
  <c r="Q30" i="116"/>
  <c r="S30" s="1"/>
  <c r="T30" s="1"/>
  <c r="Q75" i="117"/>
  <c r="S75" s="1"/>
  <c r="T75" s="1"/>
  <c r="Q26" i="120"/>
  <c r="S26" s="1"/>
  <c r="T26" s="1"/>
  <c r="Q49" i="114"/>
  <c r="S49" s="1"/>
  <c r="T49" s="1"/>
  <c r="Q44" i="118"/>
  <c r="S44" s="1"/>
  <c r="T44" s="1"/>
  <c r="Q55" i="116"/>
  <c r="S55" s="1"/>
  <c r="U55" s="1"/>
  <c r="Q22" i="117"/>
  <c r="S22" s="1"/>
  <c r="Q41" i="120"/>
  <c r="S41" s="1"/>
  <c r="U41" s="1"/>
  <c r="Q60"/>
  <c r="S60" s="1"/>
  <c r="T60" s="1"/>
  <c r="Q54" i="117"/>
  <c r="S54" s="1"/>
  <c r="T54" s="1"/>
  <c r="Q67" i="116"/>
  <c r="S67" s="1"/>
  <c r="T67" s="1"/>
  <c r="Q49" i="120"/>
  <c r="S49" s="1"/>
  <c r="U49" s="1"/>
  <c r="Q38"/>
  <c r="S38" s="1"/>
  <c r="T38" s="1"/>
  <c r="Q9" i="114"/>
  <c r="S9" s="1"/>
  <c r="U9" s="1"/>
  <c r="Q34" i="113"/>
  <c r="S34" s="1"/>
  <c r="U34" s="1"/>
  <c r="Q69" i="114"/>
  <c r="S69" s="1"/>
  <c r="U69" s="1"/>
  <c r="Q23" i="117"/>
  <c r="S23" s="1"/>
  <c r="T23" s="1"/>
  <c r="Q22" i="120"/>
  <c r="S22" s="1"/>
  <c r="T22" s="1"/>
  <c r="Q35" i="117"/>
  <c r="S35" s="1"/>
  <c r="Q25"/>
  <c r="S25" s="1"/>
  <c r="T25" s="1"/>
  <c r="Q27" i="114"/>
  <c r="S27" s="1"/>
  <c r="T27" s="1"/>
  <c r="Q66"/>
  <c r="S66" s="1"/>
  <c r="T66" s="1"/>
  <c r="Q74" i="118"/>
  <c r="S74" s="1"/>
  <c r="Q36" i="113"/>
  <c r="S36" s="1"/>
  <c r="T36" s="1"/>
  <c r="Q67" i="118"/>
  <c r="S67" s="1"/>
  <c r="T67" s="1"/>
  <c r="Q43"/>
  <c r="S43" s="1"/>
  <c r="T43" s="1"/>
  <c r="Q10" i="116"/>
  <c r="S10" s="1"/>
  <c r="Q21" i="118"/>
  <c r="S21" s="1"/>
  <c r="T21" s="1"/>
  <c r="Q32" i="113"/>
  <c r="S32" s="1"/>
  <c r="T32" s="1"/>
  <c r="Q9"/>
  <c r="S9" s="1"/>
  <c r="T9" s="1"/>
  <c r="Q35" i="119"/>
  <c r="S35" s="1"/>
  <c r="T35" s="1"/>
  <c r="Q25"/>
  <c r="S25" s="1"/>
  <c r="U25" s="1"/>
  <c r="Q27"/>
  <c r="S27" s="1"/>
  <c r="U27" s="1"/>
  <c r="Q39" i="113"/>
  <c r="S39" s="1"/>
  <c r="T39" s="1"/>
  <c r="O17" i="31"/>
  <c r="P17" s="1"/>
  <c r="R17" s="1"/>
  <c r="S17" s="1"/>
  <c r="Q37" i="116"/>
  <c r="S37" s="1"/>
  <c r="U37" s="1"/>
  <c r="Q13" i="117"/>
  <c r="S13" s="1"/>
  <c r="T13" s="1"/>
  <c r="Q24" i="114"/>
  <c r="S24" s="1"/>
  <c r="T24" s="1"/>
  <c r="Q10" i="117"/>
  <c r="S10" s="1"/>
  <c r="Q38" i="119"/>
  <c r="S38" s="1"/>
  <c r="T38" s="1"/>
  <c r="Q20" i="113"/>
  <c r="S20" s="1"/>
  <c r="U20" s="1"/>
  <c r="Q70" i="119"/>
  <c r="S70" s="1"/>
  <c r="T70" s="1"/>
  <c r="Q64" i="118"/>
  <c r="S64" s="1"/>
  <c r="U64" s="1"/>
  <c r="Q35" i="114"/>
  <c r="S35" s="1"/>
  <c r="T35" s="1"/>
  <c r="Q59" i="118"/>
  <c r="S59" s="1"/>
  <c r="U59" s="1"/>
  <c r="Q18" i="113"/>
  <c r="S18" s="1"/>
  <c r="T18" s="1"/>
  <c r="Q65" i="117"/>
  <c r="S65" s="1"/>
  <c r="U65" s="1"/>
  <c r="Q16" i="116"/>
  <c r="S16" s="1"/>
  <c r="U16" s="1"/>
  <c r="Q41" i="118"/>
  <c r="S41" s="1"/>
  <c r="U41" s="1"/>
  <c r="Q61"/>
  <c r="S61" s="1"/>
  <c r="T61" s="1"/>
  <c r="Q37" i="117"/>
  <c r="S37" s="1"/>
  <c r="Q54" i="119"/>
  <c r="S54" s="1"/>
  <c r="U54" s="1"/>
  <c r="Q53" i="120"/>
  <c r="S53" s="1"/>
  <c r="T53" s="1"/>
  <c r="Q13" i="116"/>
  <c r="S13" s="1"/>
  <c r="U13" s="1"/>
  <c r="Q46" i="113"/>
  <c r="S46" s="1"/>
  <c r="Q28" i="116"/>
  <c r="S28" s="1"/>
  <c r="T28" s="1"/>
  <c r="Q38" i="117"/>
  <c r="S38" s="1"/>
  <c r="T38" s="1"/>
  <c r="Q9" i="116"/>
  <c r="S9" s="1"/>
  <c r="T9" s="1"/>
  <c r="Q29" i="119"/>
  <c r="S29" s="1"/>
  <c r="Q69" i="113"/>
  <c r="S69" s="1"/>
  <c r="T69" s="1"/>
  <c r="Q20" i="117"/>
  <c r="S20" s="1"/>
  <c r="T20" s="1"/>
  <c r="Q23" i="113"/>
  <c r="S23" s="1"/>
  <c r="U23" s="1"/>
  <c r="Q57" i="119"/>
  <c r="S57" s="1"/>
  <c r="U57" s="1"/>
  <c r="Q59"/>
  <c r="S59" s="1"/>
  <c r="U59" s="1"/>
  <c r="Q18" i="118"/>
  <c r="S18" s="1"/>
  <c r="U18" s="1"/>
  <c r="Q65" i="116"/>
  <c r="S65" s="1"/>
  <c r="U65" s="1"/>
  <c r="Q30" i="114"/>
  <c r="S30" s="1"/>
  <c r="Q56" i="117"/>
  <c r="S56" s="1"/>
  <c r="U56" s="1"/>
  <c r="Q61" i="119"/>
  <c r="S61" s="1"/>
  <c r="T61" s="1"/>
  <c r="Q74" i="116"/>
  <c r="S74" s="1"/>
  <c r="T74" s="1"/>
  <c r="Q26" i="117"/>
  <c r="S26" s="1"/>
  <c r="T26" s="1"/>
  <c r="Q71" i="120"/>
  <c r="S71" s="1"/>
  <c r="U71" s="1"/>
  <c r="Q17" i="113"/>
  <c r="S17" s="1"/>
  <c r="T17" s="1"/>
  <c r="Q58"/>
  <c r="S58" s="1"/>
  <c r="T58" s="1"/>
  <c r="Q72" i="120"/>
  <c r="S72" s="1"/>
  <c r="U72" s="1"/>
  <c r="Q28" i="117"/>
  <c r="S28" s="1"/>
  <c r="U28" s="1"/>
  <c r="Q49" i="119"/>
  <c r="S49" s="1"/>
  <c r="T49" s="1"/>
  <c r="Q32" i="118"/>
  <c r="S32" s="1"/>
  <c r="T32" s="1"/>
  <c r="Q33" i="117"/>
  <c r="S33" s="1"/>
  <c r="Q9"/>
  <c r="S9" s="1"/>
  <c r="T9" s="1"/>
  <c r="Q29" i="118"/>
  <c r="S29" s="1"/>
  <c r="U29" s="1"/>
  <c r="Q69" i="117"/>
  <c r="S69" s="1"/>
  <c r="U69" s="1"/>
  <c r="Q68" i="114"/>
  <c r="S68" s="1"/>
  <c r="U68" s="1"/>
  <c r="Q55" i="118"/>
  <c r="S55" s="1"/>
  <c r="U55" s="1"/>
  <c r="Q23" i="114"/>
  <c r="S23" s="1"/>
  <c r="U23" s="1"/>
  <c r="Q57" i="118"/>
  <c r="S57" s="1"/>
  <c r="T57" s="1"/>
  <c r="Q25" i="114"/>
  <c r="S25" s="1"/>
  <c r="U25" s="1"/>
  <c r="Q27" i="117"/>
  <c r="S27" s="1"/>
  <c r="T27" s="1"/>
  <c r="Q18" i="116"/>
  <c r="S18" s="1"/>
  <c r="U18" s="1"/>
  <c r="Q65" i="114"/>
  <c r="S65" s="1"/>
  <c r="T65" s="1"/>
  <c r="Q48" i="113"/>
  <c r="S48" s="1"/>
  <c r="U48" s="1"/>
  <c r="Q16"/>
  <c r="S16" s="1"/>
  <c r="U16" s="1"/>
  <c r="Q30"/>
  <c r="S30" s="1"/>
  <c r="U30" s="1"/>
  <c r="Q56" i="118"/>
  <c r="S56" s="1"/>
  <c r="T56" s="1"/>
  <c r="Q60" i="119"/>
  <c r="S60" s="1"/>
  <c r="U60" s="1"/>
  <c r="Q74"/>
  <c r="S74" s="1"/>
  <c r="T74" s="1"/>
  <c r="Q26"/>
  <c r="S26" s="1"/>
  <c r="U26" s="1"/>
  <c r="Q37" i="114"/>
  <c r="S37" s="1"/>
  <c r="U37" s="1"/>
  <c r="Q17"/>
  <c r="S17" s="1"/>
  <c r="U17" s="1"/>
  <c r="Q53" i="119"/>
  <c r="S53" s="1"/>
  <c r="U53" s="1"/>
  <c r="Q50" i="120"/>
  <c r="S50" s="1"/>
  <c r="U50" s="1"/>
  <c r="Q13" i="113"/>
  <c r="S13" s="1"/>
  <c r="U13" s="1"/>
  <c r="Q58" i="116"/>
  <c r="S58" s="1"/>
  <c r="U58" s="1"/>
  <c r="Q24"/>
  <c r="S24" s="1"/>
  <c r="U24" s="1"/>
  <c r="Q38" i="118"/>
  <c r="S38" s="1"/>
  <c r="U38" s="1"/>
  <c r="Q33" i="113"/>
  <c r="S33" s="1"/>
  <c r="U33" s="1"/>
  <c r="Q68" i="116"/>
  <c r="S68" s="1"/>
  <c r="T68" s="1"/>
  <c r="Q23"/>
  <c r="S23" s="1"/>
  <c r="T23" s="1"/>
  <c r="Q64"/>
  <c r="S64" s="1"/>
  <c r="T64" s="1"/>
  <c r="Q35" i="120"/>
  <c r="S35" s="1"/>
  <c r="U35" s="1"/>
  <c r="Q57"/>
  <c r="S57" s="1"/>
  <c r="T57" s="1"/>
  <c r="Q25"/>
  <c r="S25" s="1"/>
  <c r="U25" s="1"/>
  <c r="Q59"/>
  <c r="S59" s="1"/>
  <c r="T59" s="1"/>
  <c r="Q27"/>
  <c r="S27" s="1"/>
  <c r="U27" s="1"/>
  <c r="Q18" i="117"/>
  <c r="S18" s="1"/>
  <c r="Q39" i="116"/>
  <c r="S39" s="1"/>
  <c r="U39" s="1"/>
  <c r="Q48"/>
  <c r="S48" s="1"/>
  <c r="T48" s="1"/>
  <c r="Q16" i="117"/>
  <c r="S16" s="1"/>
  <c r="U16" s="1"/>
  <c r="Q41" i="119"/>
  <c r="S41" s="1"/>
  <c r="U41" s="1"/>
  <c r="Q56" i="120"/>
  <c r="S56" s="1"/>
  <c r="U56" s="1"/>
  <c r="Q75" i="113"/>
  <c r="S75" s="1"/>
  <c r="U75" s="1"/>
  <c r="Q66" i="116"/>
  <c r="S66" s="1"/>
  <c r="U66" s="1"/>
  <c r="Q61" i="120"/>
  <c r="S61" s="1"/>
  <c r="T61" s="1"/>
  <c r="Q60" i="117"/>
  <c r="S60" s="1"/>
  <c r="U60" s="1"/>
  <c r="Q42" i="118"/>
  <c r="S42" s="1"/>
  <c r="T42" s="1"/>
  <c r="Q26"/>
  <c r="S26" s="1"/>
  <c r="U26" s="1"/>
  <c r="Q37" i="113"/>
  <c r="S37" s="1"/>
  <c r="T37" s="1"/>
  <c r="Q36" i="114"/>
  <c r="S36" s="1"/>
  <c r="U36" s="1"/>
  <c r="Q36" i="117"/>
  <c r="S36" s="1"/>
  <c r="U36" s="1"/>
  <c r="Q71" i="119"/>
  <c r="S71" s="1"/>
  <c r="U71" s="1"/>
  <c r="Q54" i="120"/>
  <c r="S54" s="1"/>
  <c r="U54" s="1"/>
  <c r="Q17" i="119"/>
  <c r="S17" s="1"/>
  <c r="T17" s="1"/>
  <c r="Q17" i="116"/>
  <c r="S17" s="1"/>
  <c r="T17" s="1"/>
  <c r="Q67" i="120"/>
  <c r="S67" s="1"/>
  <c r="U67" s="1"/>
  <c r="Q53" i="117"/>
  <c r="S53" s="1"/>
  <c r="T53" s="1"/>
  <c r="Q50" i="114"/>
  <c r="S50" s="1"/>
  <c r="T50" s="1"/>
  <c r="Q13"/>
  <c r="S13" s="1"/>
  <c r="U13" s="1"/>
  <c r="Q52"/>
  <c r="S52" s="1"/>
  <c r="T52" s="1"/>
  <c r="Q46"/>
  <c r="S46" s="1"/>
  <c r="T46" s="1"/>
  <c r="Q72" i="117"/>
  <c r="S72" s="1"/>
  <c r="T72" s="1"/>
  <c r="Q43" i="119"/>
  <c r="S43" s="1"/>
  <c r="U43" s="1"/>
  <c r="Q10" i="118"/>
  <c r="S10" s="1"/>
  <c r="U10" s="1"/>
  <c r="Q28" i="114"/>
  <c r="S28" s="1"/>
  <c r="T28" s="1"/>
  <c r="Q21" i="119"/>
  <c r="S21" s="1"/>
  <c r="T21" s="1"/>
  <c r="Q21" i="116"/>
  <c r="S21" s="1"/>
  <c r="T21" s="1"/>
  <c r="Q38"/>
  <c r="S38" s="1"/>
  <c r="U38" s="1"/>
  <c r="Q38" i="113"/>
  <c r="S38" s="1"/>
  <c r="Q33" i="114"/>
  <c r="S33" s="1"/>
  <c r="T33" s="1"/>
  <c r="Q22" i="119"/>
  <c r="S22" s="1"/>
  <c r="U22" s="1"/>
  <c r="Q64"/>
  <c r="S64" s="1"/>
  <c r="T64" s="1"/>
  <c r="Q75" i="114"/>
  <c r="S75" s="1"/>
  <c r="U75" s="1"/>
  <c r="Q66" i="113"/>
  <c r="S66" s="1"/>
  <c r="T66" s="1"/>
  <c r="Q60" i="118"/>
  <c r="S60" s="1"/>
  <c r="U60" s="1"/>
  <c r="Q42" i="120"/>
  <c r="S42" s="1"/>
  <c r="U42" s="1"/>
  <c r="Q36" i="116"/>
  <c r="S36" s="1"/>
  <c r="U36" s="1"/>
  <c r="Q71" i="118"/>
  <c r="S71" s="1"/>
  <c r="T71" s="1"/>
  <c r="Q71" i="114"/>
  <c r="S71" s="1"/>
  <c r="U71" s="1"/>
  <c r="Q54" i="118"/>
  <c r="S54" s="1"/>
  <c r="U54" s="1"/>
  <c r="Q17" i="117"/>
  <c r="S17" s="1"/>
  <c r="U17" s="1"/>
  <c r="Q52" i="120"/>
  <c r="S52" s="1"/>
  <c r="T52" s="1"/>
  <c r="Q46" i="116"/>
  <c r="S46" s="1"/>
  <c r="U46" s="1"/>
  <c r="Q72" i="114"/>
  <c r="S72" s="1"/>
  <c r="U72" s="1"/>
  <c r="Q24" i="113"/>
  <c r="S24" s="1"/>
  <c r="U24" s="1"/>
  <c r="Q10"/>
  <c r="S10" s="1"/>
  <c r="T10" s="1"/>
  <c r="Q28"/>
  <c r="S28" s="1"/>
  <c r="T28" s="1"/>
  <c r="Q49" i="117"/>
  <c r="S49" s="1"/>
  <c r="U49" s="1"/>
  <c r="Q32" i="116"/>
  <c r="S32" s="1"/>
  <c r="Q45" i="118"/>
  <c r="S45" s="1"/>
  <c r="T45" s="1"/>
  <c r="Q29" i="120"/>
  <c r="S29" s="1"/>
  <c r="T29" s="1"/>
  <c r="Q44" i="117"/>
  <c r="S44" s="1"/>
  <c r="U44" s="1"/>
  <c r="Q69" i="116"/>
  <c r="S69" s="1"/>
  <c r="Q55" i="113"/>
  <c r="S55" s="1"/>
  <c r="T55" s="1"/>
  <c r="Q70" i="116"/>
  <c r="S70" s="1"/>
  <c r="T70" s="1"/>
  <c r="Q53" i="114"/>
  <c r="S53" s="1"/>
  <c r="U53" s="1"/>
  <c r="Q49" i="116"/>
  <c r="S49" s="1"/>
  <c r="T49" s="1"/>
  <c r="Q32" i="117"/>
  <c r="S32" s="1"/>
  <c r="U32" s="1"/>
  <c r="T15" i="115"/>
  <c r="U15"/>
  <c r="T51"/>
  <c r="U51"/>
  <c r="T34" i="113"/>
  <c r="T29" i="118"/>
  <c r="T44" i="119"/>
  <c r="U44"/>
  <c r="U68" i="113"/>
  <c r="U23" i="117"/>
  <c r="Q70" i="114"/>
  <c r="S70" s="1"/>
  <c r="AJ69" i="72"/>
  <c r="U70" i="119"/>
  <c r="T22"/>
  <c r="U64"/>
  <c r="T35" i="117"/>
  <c r="U35"/>
  <c r="T18" i="116"/>
  <c r="T65" i="117"/>
  <c r="T48" i="114"/>
  <c r="U30" i="116"/>
  <c r="T56" i="119"/>
  <c r="U56"/>
  <c r="T74" i="118"/>
  <c r="U74"/>
  <c r="T37" i="117"/>
  <c r="U37"/>
  <c r="M72" i="100"/>
  <c r="P73" i="116"/>
  <c r="AL72" i="72" s="1"/>
  <c r="Q72" i="100"/>
  <c r="P73" i="120"/>
  <c r="AP72" i="72" s="1"/>
  <c r="J72" i="100"/>
  <c r="P73" i="113"/>
  <c r="AI72" i="72" s="1"/>
  <c r="P72" i="100"/>
  <c r="P73" i="119"/>
  <c r="AO72" i="72" s="1"/>
  <c r="M14" i="100"/>
  <c r="P15" i="116"/>
  <c r="AL14" i="72" s="1"/>
  <c r="Q14" i="100"/>
  <c r="P15" i="120"/>
  <c r="AP14" i="72" s="1"/>
  <c r="J14" i="100"/>
  <c r="P15" i="113"/>
  <c r="AI14" i="72" s="1"/>
  <c r="P14" i="100"/>
  <c r="P15" i="119"/>
  <c r="AO14" i="72" s="1"/>
  <c r="N11" i="100"/>
  <c r="P12" i="117"/>
  <c r="AM11" i="72" s="1"/>
  <c r="K11" i="100"/>
  <c r="P12" i="114"/>
  <c r="AJ11" i="72" s="1"/>
  <c r="O11" i="100"/>
  <c r="P12" i="118"/>
  <c r="AN11" i="72" s="1"/>
  <c r="M46" i="100"/>
  <c r="P47" i="116"/>
  <c r="AL46" i="72" s="1"/>
  <c r="Q46" i="100"/>
  <c r="P47" i="120"/>
  <c r="AP46" i="72" s="1"/>
  <c r="J46" i="100"/>
  <c r="P47" i="113"/>
  <c r="AI46" i="72" s="1"/>
  <c r="P46" i="100"/>
  <c r="P47" i="119"/>
  <c r="AO46" i="72" s="1"/>
  <c r="T58" i="116"/>
  <c r="U52" i="117"/>
  <c r="V14" i="115"/>
  <c r="H10" i="72"/>
  <c r="V11" i="115"/>
  <c r="T46" i="113"/>
  <c r="U46"/>
  <c r="N61" i="100"/>
  <c r="P62" i="117"/>
  <c r="AM61" i="72" s="1"/>
  <c r="M61" i="100"/>
  <c r="P62" i="116"/>
  <c r="AL61" i="72" s="1"/>
  <c r="Q61" i="100"/>
  <c r="P62" i="120"/>
  <c r="AP61" i="72" s="1"/>
  <c r="K18" i="100"/>
  <c r="P19" i="114"/>
  <c r="AJ18" i="72" s="1"/>
  <c r="O18" i="100"/>
  <c r="P19" i="118"/>
  <c r="AN18" i="72" s="1"/>
  <c r="N18" i="100"/>
  <c r="P19" i="117"/>
  <c r="AM18" i="72" s="1"/>
  <c r="T19" i="115"/>
  <c r="U19"/>
  <c r="H72" i="72"/>
  <c r="V73" i="115"/>
  <c r="H11" i="72"/>
  <c r="V12" i="115"/>
  <c r="N13" i="100"/>
  <c r="P14" i="117"/>
  <c r="AM13" i="72" s="1"/>
  <c r="K13" i="100"/>
  <c r="P14" i="114"/>
  <c r="AJ13" i="72" s="1"/>
  <c r="O13" i="100"/>
  <c r="P14" i="118"/>
  <c r="AN13" i="72" s="1"/>
  <c r="N7" i="100"/>
  <c r="P8" i="117"/>
  <c r="AM7" i="72" s="1"/>
  <c r="K7" i="100"/>
  <c r="P8" i="114"/>
  <c r="AJ7" i="72" s="1"/>
  <c r="O7" i="100"/>
  <c r="P8" i="118"/>
  <c r="AN7" i="72" s="1"/>
  <c r="K50" i="100"/>
  <c r="P51" i="114"/>
  <c r="AJ50" i="72" s="1"/>
  <c r="O50" i="100"/>
  <c r="P51" i="118"/>
  <c r="AN50" i="72" s="1"/>
  <c r="N50" i="100"/>
  <c r="P51" i="117"/>
  <c r="AM50" i="72" s="1"/>
  <c r="K62" i="100"/>
  <c r="P63" i="114"/>
  <c r="AJ62" i="72" s="1"/>
  <c r="O62" i="100"/>
  <c r="P63" i="118"/>
  <c r="AN62" i="72" s="1"/>
  <c r="N62" i="100"/>
  <c r="P63" i="117"/>
  <c r="AM62" i="72" s="1"/>
  <c r="K30" i="100"/>
  <c r="P31" i="114"/>
  <c r="AJ30" i="72" s="1"/>
  <c r="O30" i="100"/>
  <c r="P31" i="118"/>
  <c r="AN30" i="72" s="1"/>
  <c r="N30" i="100"/>
  <c r="P31" i="117"/>
  <c r="AM30" i="72" s="1"/>
  <c r="U53" i="117"/>
  <c r="Q50" i="113"/>
  <c r="S50" s="1"/>
  <c r="AI49" i="72"/>
  <c r="T13" i="114"/>
  <c r="U52"/>
  <c r="T52" i="113"/>
  <c r="M10" i="100"/>
  <c r="P11" i="116"/>
  <c r="Q10" i="100"/>
  <c r="P11" i="120"/>
  <c r="AP10" i="72" s="1"/>
  <c r="J10" i="100"/>
  <c r="P11" i="113"/>
  <c r="AI10" i="72" s="1"/>
  <c r="P10" i="100"/>
  <c r="P11" i="119"/>
  <c r="AO10" i="72" s="1"/>
  <c r="U46" i="114"/>
  <c r="T72" i="120"/>
  <c r="T43" i="119"/>
  <c r="T10" i="117"/>
  <c r="U10"/>
  <c r="U49" i="119"/>
  <c r="U38" i="120"/>
  <c r="T33" i="117"/>
  <c r="U33"/>
  <c r="H24" i="72"/>
  <c r="V25" i="115"/>
  <c r="H26" i="72"/>
  <c r="V27" i="115"/>
  <c r="H64" i="72"/>
  <c r="V65" i="115"/>
  <c r="Q10" i="120"/>
  <c r="S10" s="1"/>
  <c r="Q10" i="119"/>
  <c r="S10" s="1"/>
  <c r="Q28" i="120"/>
  <c r="S28" s="1"/>
  <c r="Q28" i="119"/>
  <c r="S28" s="1"/>
  <c r="Q21" i="117"/>
  <c r="S21" s="1"/>
  <c r="Q21" i="114"/>
  <c r="S21" s="1"/>
  <c r="Q49" i="118"/>
  <c r="S49" s="1"/>
  <c r="Q32" i="120"/>
  <c r="S32" s="1"/>
  <c r="Q32" i="119"/>
  <c r="S32" s="1"/>
  <c r="Q45" i="117"/>
  <c r="S45" s="1"/>
  <c r="Q45" i="114"/>
  <c r="S45" s="1"/>
  <c r="Q38"/>
  <c r="S38" s="1"/>
  <c r="Q33" i="119"/>
  <c r="S33" s="1"/>
  <c r="Q33" i="120"/>
  <c r="S33" s="1"/>
  <c r="Q40" i="114"/>
  <c r="S40" s="1"/>
  <c r="Q9" i="119"/>
  <c r="S9" s="1"/>
  <c r="Q9" i="120"/>
  <c r="S9" s="1"/>
  <c r="Q34" i="118"/>
  <c r="S34" s="1"/>
  <c r="Q34" i="117"/>
  <c r="S34" s="1"/>
  <c r="Q29" i="113"/>
  <c r="S29" s="1"/>
  <c r="Q29" i="116"/>
  <c r="S29" s="1"/>
  <c r="Q44" i="114"/>
  <c r="S44" s="1"/>
  <c r="Q69" i="119"/>
  <c r="S69" s="1"/>
  <c r="Q69" i="120"/>
  <c r="S69" s="1"/>
  <c r="Q68"/>
  <c r="S68" s="1"/>
  <c r="Q68" i="117"/>
  <c r="S68" s="1"/>
  <c r="Q20" i="114"/>
  <c r="S20" s="1"/>
  <c r="Q55" i="119"/>
  <c r="S55" s="1"/>
  <c r="Q55" i="120"/>
  <c r="S55" s="1"/>
  <c r="Q23" i="119"/>
  <c r="S23" s="1"/>
  <c r="Q23" i="120"/>
  <c r="S23" s="1"/>
  <c r="Q70"/>
  <c r="S70" s="1"/>
  <c r="Q70" i="117"/>
  <c r="S70" s="1"/>
  <c r="Q22" i="114"/>
  <c r="S22" s="1"/>
  <c r="Q64" i="120"/>
  <c r="S64" s="1"/>
  <c r="Q64" i="117"/>
  <c r="S64" s="1"/>
  <c r="Q35" i="113"/>
  <c r="S35" s="1"/>
  <c r="Q35" i="116"/>
  <c r="S35" s="1"/>
  <c r="Q57" i="113"/>
  <c r="S57" s="1"/>
  <c r="Q57" i="116"/>
  <c r="S57" s="1"/>
  <c r="Q25" i="113"/>
  <c r="S25" s="1"/>
  <c r="Q25" i="116"/>
  <c r="S25" s="1"/>
  <c r="Q59" i="113"/>
  <c r="S59" s="1"/>
  <c r="Q59" i="116"/>
  <c r="S59" s="1"/>
  <c r="Q27" i="113"/>
  <c r="S27" s="1"/>
  <c r="Q27" i="116"/>
  <c r="S27" s="1"/>
  <c r="Q18" i="114"/>
  <c r="S18" s="1"/>
  <c r="Q39" i="119"/>
  <c r="S39" s="1"/>
  <c r="Q39" i="120"/>
  <c r="S39" s="1"/>
  <c r="Q65" i="119"/>
  <c r="S65" s="1"/>
  <c r="Q65" i="113"/>
  <c r="S65" s="1"/>
  <c r="Q65" i="120"/>
  <c r="S65" s="1"/>
  <c r="Q48"/>
  <c r="S48" s="1"/>
  <c r="Q48" i="117"/>
  <c r="S48" s="1"/>
  <c r="Q16" i="114"/>
  <c r="S16" s="1"/>
  <c r="Q30" i="118"/>
  <c r="S30" s="1"/>
  <c r="Q30" i="117"/>
  <c r="S30" s="1"/>
  <c r="Q41" i="113"/>
  <c r="S41" s="1"/>
  <c r="Q41" i="116"/>
  <c r="S41" s="1"/>
  <c r="Q56"/>
  <c r="S56" s="1"/>
  <c r="Q75" i="119"/>
  <c r="S75" s="1"/>
  <c r="Q75" i="120"/>
  <c r="S75" s="1"/>
  <c r="Q66"/>
  <c r="S66" s="1"/>
  <c r="Q66" i="117"/>
  <c r="S66" s="1"/>
  <c r="Q61" i="113"/>
  <c r="S61" s="1"/>
  <c r="Q61" i="116"/>
  <c r="S61" s="1"/>
  <c r="Q60"/>
  <c r="S60" s="1"/>
  <c r="Q74" i="120"/>
  <c r="S74" s="1"/>
  <c r="Q74" i="117"/>
  <c r="S74" s="1"/>
  <c r="Q42" i="114"/>
  <c r="S42" s="1"/>
  <c r="Q42" i="117"/>
  <c r="S42" s="1"/>
  <c r="Q26" i="114"/>
  <c r="S26" s="1"/>
  <c r="Q37" i="119"/>
  <c r="S37" s="1"/>
  <c r="Q37" i="120"/>
  <c r="S37" s="1"/>
  <c r="Q36" i="118"/>
  <c r="S36" s="1"/>
  <c r="Q71" i="113"/>
  <c r="S71" s="1"/>
  <c r="Q71" i="116"/>
  <c r="S71" s="1"/>
  <c r="Q54"/>
  <c r="S54" s="1"/>
  <c r="Q17" i="120"/>
  <c r="S17" s="1"/>
  <c r="Q67" i="119"/>
  <c r="S67" s="1"/>
  <c r="Q32" i="114"/>
  <c r="S32" s="1"/>
  <c r="Q45" i="119"/>
  <c r="S45" s="1"/>
  <c r="T47" i="115"/>
  <c r="U47"/>
  <c r="T31"/>
  <c r="U31"/>
  <c r="H55" i="72"/>
  <c r="V56" i="115"/>
  <c r="H65" i="72"/>
  <c r="V66" i="115"/>
  <c r="H59" i="72"/>
  <c r="V60" i="115"/>
  <c r="H57" i="72"/>
  <c r="V58" i="115"/>
  <c r="H25" i="72"/>
  <c r="V26" i="115"/>
  <c r="H51" i="72"/>
  <c r="V52" i="115"/>
  <c r="H20" i="72"/>
  <c r="V21" i="115"/>
  <c r="H31" i="72"/>
  <c r="V32" i="115"/>
  <c r="H19" i="72"/>
  <c r="V20" i="115"/>
  <c r="H37" i="72"/>
  <c r="V38" i="115"/>
  <c r="H63" i="72"/>
  <c r="V64" i="115"/>
  <c r="K72" i="100"/>
  <c r="P73" i="114"/>
  <c r="AJ72" i="72" s="1"/>
  <c r="O72" i="100"/>
  <c r="P73" i="118"/>
  <c r="AN72" i="72" s="1"/>
  <c r="N72" i="100"/>
  <c r="P73" i="117"/>
  <c r="AM72" i="72" s="1"/>
  <c r="K14" i="100"/>
  <c r="P15" i="114"/>
  <c r="AJ14" i="72" s="1"/>
  <c r="O14" i="100"/>
  <c r="P15" i="118"/>
  <c r="AN14" i="72" s="1"/>
  <c r="N14" i="100"/>
  <c r="P15" i="117"/>
  <c r="AM14" i="72" s="1"/>
  <c r="J11" i="100"/>
  <c r="P12" i="113"/>
  <c r="AI11" i="72" s="1"/>
  <c r="P11" i="100"/>
  <c r="P12" i="119"/>
  <c r="AO11" i="72" s="1"/>
  <c r="M11" i="100"/>
  <c r="P12" i="116"/>
  <c r="AL11" i="72" s="1"/>
  <c r="Q11" i="100"/>
  <c r="P12" i="120"/>
  <c r="AP11" i="72" s="1"/>
  <c r="K46" i="100"/>
  <c r="P47" i="114"/>
  <c r="AJ46" i="72" s="1"/>
  <c r="O46" i="100"/>
  <c r="P47" i="118"/>
  <c r="AN46" i="72" s="1"/>
  <c r="N46" i="100"/>
  <c r="P47" i="117"/>
  <c r="AM46" i="72" s="1"/>
  <c r="M7" i="87"/>
  <c r="N7" i="115"/>
  <c r="O7" s="1"/>
  <c r="T10" i="116"/>
  <c r="U10"/>
  <c r="T32"/>
  <c r="U32"/>
  <c r="J61" i="100"/>
  <c r="P62" i="113"/>
  <c r="AI61" i="72" s="1"/>
  <c r="P61" i="100"/>
  <c r="P62" i="119"/>
  <c r="AO61" i="72" s="1"/>
  <c r="K61" i="100"/>
  <c r="P62" i="114"/>
  <c r="AJ61" i="72" s="1"/>
  <c r="O61" i="100"/>
  <c r="P62" i="118"/>
  <c r="AN61" i="72" s="1"/>
  <c r="T38" i="118"/>
  <c r="T33" i="116"/>
  <c r="M18" i="100"/>
  <c r="P19" i="116"/>
  <c r="AL18" i="72" s="1"/>
  <c r="Q18" i="100"/>
  <c r="P19" i="120"/>
  <c r="AP18" i="72" s="1"/>
  <c r="J18" i="100"/>
  <c r="P19" i="113"/>
  <c r="AI18" i="72" s="1"/>
  <c r="P18" i="100"/>
  <c r="P19" i="119"/>
  <c r="AO18" i="72" s="1"/>
  <c r="H56"/>
  <c r="V57" i="115"/>
  <c r="H58" i="72"/>
  <c r="V59" i="115"/>
  <c r="H17" i="72"/>
  <c r="V18" i="115"/>
  <c r="H47" i="72"/>
  <c r="V48" i="115"/>
  <c r="H41" i="72"/>
  <c r="V42" i="115"/>
  <c r="U9" i="113"/>
  <c r="T29" i="119"/>
  <c r="U29"/>
  <c r="U44" i="118"/>
  <c r="T69" i="116"/>
  <c r="U69"/>
  <c r="T20" i="118"/>
  <c r="U23" i="116"/>
  <c r="T22" i="117"/>
  <c r="U22"/>
  <c r="U64" i="116"/>
  <c r="U35" i="119"/>
  <c r="J13" i="100"/>
  <c r="P14" i="113"/>
  <c r="AI13" i="72" s="1"/>
  <c r="P13" i="100"/>
  <c r="P14" i="119"/>
  <c r="AO13" i="72" s="1"/>
  <c r="M13" i="100"/>
  <c r="P14" i="116"/>
  <c r="AL13" i="72" s="1"/>
  <c r="Q13" i="100"/>
  <c r="P14" i="120"/>
  <c r="AP13" i="72" s="1"/>
  <c r="P8" i="113"/>
  <c r="AI7" i="72" s="1"/>
  <c r="J7" i="100"/>
  <c r="P7"/>
  <c r="P8" i="119"/>
  <c r="AO7" i="72" s="1"/>
  <c r="M7" i="100"/>
  <c r="P8" i="116"/>
  <c r="AL7" i="72" s="1"/>
  <c r="Q7" i="100"/>
  <c r="P8" i="120"/>
  <c r="AP7" i="72" s="1"/>
  <c r="T57" i="119"/>
  <c r="U57" i="120"/>
  <c r="T25"/>
  <c r="T27" i="119"/>
  <c r="T18" i="118"/>
  <c r="T18" i="117"/>
  <c r="U18"/>
  <c r="M50" i="100"/>
  <c r="P51" i="116"/>
  <c r="AL50" i="72" s="1"/>
  <c r="Q50" i="100"/>
  <c r="P51" i="120"/>
  <c r="AP50" i="72" s="1"/>
  <c r="J50" i="100"/>
  <c r="P51" i="113"/>
  <c r="AI50" i="72" s="1"/>
  <c r="P50" i="100"/>
  <c r="P51" i="119"/>
  <c r="AO50" i="72" s="1"/>
  <c r="M62" i="100"/>
  <c r="P63" i="116"/>
  <c r="AL62" i="72" s="1"/>
  <c r="Q62" i="100"/>
  <c r="P63" i="120"/>
  <c r="AP62" i="72" s="1"/>
  <c r="J62" i="100"/>
  <c r="P63" i="113"/>
  <c r="AI62" i="72" s="1"/>
  <c r="P62" i="100"/>
  <c r="P63" i="119"/>
  <c r="AO62" i="72" s="1"/>
  <c r="T30" i="114"/>
  <c r="U30"/>
  <c r="T75" i="113"/>
  <c r="U42" i="118"/>
  <c r="T71" i="120"/>
  <c r="U17" i="116"/>
  <c r="T67" i="113"/>
  <c r="U67" i="116"/>
  <c r="M30" i="100"/>
  <c r="P31" i="116"/>
  <c r="AL30" i="72" s="1"/>
  <c r="Q30" i="100"/>
  <c r="P31" i="120"/>
  <c r="AP30" i="72" s="1"/>
  <c r="J30" i="100"/>
  <c r="P31" i="113"/>
  <c r="AI30" i="72" s="1"/>
  <c r="P30" i="100"/>
  <c r="P31" i="119"/>
  <c r="AO30" i="72" s="1"/>
  <c r="H29"/>
  <c r="V30" i="115"/>
  <c r="H74" i="72"/>
  <c r="V75" i="115"/>
  <c r="H60" i="72"/>
  <c r="V61" i="115"/>
  <c r="H12" i="72"/>
  <c r="V13" i="115"/>
  <c r="H36" i="72"/>
  <c r="V37" i="115"/>
  <c r="H45" i="72"/>
  <c r="V46" i="115"/>
  <c r="H48" i="72"/>
  <c r="V49" i="115"/>
  <c r="H44" i="72"/>
  <c r="V45" i="115"/>
  <c r="H69" i="72"/>
  <c r="V70" i="115"/>
  <c r="H32" i="72"/>
  <c r="V33" i="115"/>
  <c r="H34" i="72"/>
  <c r="V35" i="115"/>
  <c r="K10" i="100"/>
  <c r="P11" i="114"/>
  <c r="AJ10" i="72" s="1"/>
  <c r="O10" i="100"/>
  <c r="P11" i="118"/>
  <c r="AN10" i="72" s="1"/>
  <c r="N10" i="100"/>
  <c r="P11" i="117"/>
  <c r="AM10" i="72" s="1"/>
  <c r="Q49" i="113"/>
  <c r="S49" s="1"/>
  <c r="AI48" i="72"/>
  <c r="V62" i="115"/>
  <c r="H62" i="72"/>
  <c r="V63" i="115"/>
  <c r="T38" i="113"/>
  <c r="U38"/>
  <c r="Q40"/>
  <c r="S40" s="1"/>
  <c r="Q9" i="118"/>
  <c r="S9" s="1"/>
  <c r="Q34" i="120"/>
  <c r="S34" s="1"/>
  <c r="Q34" i="119"/>
  <c r="S34" s="1"/>
  <c r="Q29" i="117"/>
  <c r="S29" s="1"/>
  <c r="Q29" i="114"/>
  <c r="S29" s="1"/>
  <c r="Q44" i="120"/>
  <c r="S44" s="1"/>
  <c r="Q44" i="116"/>
  <c r="S44" s="1"/>
  <c r="Q44" i="113"/>
  <c r="S44" s="1"/>
  <c r="Q69" i="118"/>
  <c r="S69" s="1"/>
  <c r="Q68"/>
  <c r="S68" s="1"/>
  <c r="Q68" i="119"/>
  <c r="S68" s="1"/>
  <c r="Q20" i="120"/>
  <c r="S20" s="1"/>
  <c r="Q20" i="119"/>
  <c r="S20" s="1"/>
  <c r="Q55" i="117"/>
  <c r="S55" s="1"/>
  <c r="Q55" i="114"/>
  <c r="S55" s="1"/>
  <c r="Q23" i="118"/>
  <c r="S23" s="1"/>
  <c r="Q70"/>
  <c r="S70" s="1"/>
  <c r="Q70" i="113"/>
  <c r="S70" s="1"/>
  <c r="Q22" i="116"/>
  <c r="S22" s="1"/>
  <c r="Q22" i="113"/>
  <c r="S22" s="1"/>
  <c r="Q64" i="114"/>
  <c r="S64" s="1"/>
  <c r="Q64" i="113"/>
  <c r="S64" s="1"/>
  <c r="Q35" i="118"/>
  <c r="S35" s="1"/>
  <c r="Q57" i="117"/>
  <c r="S57" s="1"/>
  <c r="Q57" i="114"/>
  <c r="S57" s="1"/>
  <c r="Q25" i="118"/>
  <c r="S25" s="1"/>
  <c r="Q59" i="117"/>
  <c r="S59" s="1"/>
  <c r="Q59" i="114"/>
  <c r="S59" s="1"/>
  <c r="Q27" i="118"/>
  <c r="S27" s="1"/>
  <c r="Q18" i="120"/>
  <c r="S18" s="1"/>
  <c r="Q18" i="119"/>
  <c r="S18" s="1"/>
  <c r="Q39" i="117"/>
  <c r="S39" s="1"/>
  <c r="Q39" i="114"/>
  <c r="S39" s="1"/>
  <c r="Q65" i="118"/>
  <c r="S65" s="1"/>
  <c r="Q48"/>
  <c r="S48" s="1"/>
  <c r="Q48" i="119"/>
  <c r="S48" s="1"/>
  <c r="Q16" i="120"/>
  <c r="S16" s="1"/>
  <c r="Q16" i="119"/>
  <c r="S16" s="1"/>
  <c r="Q30" i="120"/>
  <c r="S30" s="1"/>
  <c r="Q30" i="119"/>
  <c r="S30" s="1"/>
  <c r="Q41" i="117"/>
  <c r="S41" s="1"/>
  <c r="Q41" i="114"/>
  <c r="S41" s="1"/>
  <c r="Q56"/>
  <c r="S56" s="1"/>
  <c r="Q56" i="113"/>
  <c r="S56" s="1"/>
  <c r="Q75" i="118"/>
  <c r="S75" s="1"/>
  <c r="Q66"/>
  <c r="S66" s="1"/>
  <c r="Q66" i="119"/>
  <c r="S66" s="1"/>
  <c r="Q61" i="117"/>
  <c r="S61" s="1"/>
  <c r="Q61" i="114"/>
  <c r="S61" s="1"/>
  <c r="Q60"/>
  <c r="S60" s="1"/>
  <c r="Q60" i="113"/>
  <c r="S60" s="1"/>
  <c r="Q74" i="114"/>
  <c r="S74" s="1"/>
  <c r="Q74" i="113"/>
  <c r="S74" s="1"/>
  <c r="Q42" i="116"/>
  <c r="S42" s="1"/>
  <c r="Q42" i="113"/>
  <c r="S42" s="1"/>
  <c r="Q26" i="116"/>
  <c r="S26" s="1"/>
  <c r="Q26" i="113"/>
  <c r="S26" s="1"/>
  <c r="Q37" i="118"/>
  <c r="S37" s="1"/>
  <c r="Q36" i="120"/>
  <c r="S36" s="1"/>
  <c r="Q36" i="119"/>
  <c r="S36" s="1"/>
  <c r="Q71" i="117"/>
  <c r="S71" s="1"/>
  <c r="Q54" i="114"/>
  <c r="S54" s="1"/>
  <c r="Q54" i="113"/>
  <c r="S54" s="1"/>
  <c r="Q17" i="118"/>
  <c r="S17" s="1"/>
  <c r="Q67" i="117"/>
  <c r="S67" s="1"/>
  <c r="Q67" i="114"/>
  <c r="S67" s="1"/>
  <c r="Q53" i="113"/>
  <c r="S53" s="1"/>
  <c r="Q53" i="116"/>
  <c r="S53" s="1"/>
  <c r="Q50"/>
  <c r="S50" s="1"/>
  <c r="Q13" i="119"/>
  <c r="S13" s="1"/>
  <c r="Q13" i="120"/>
  <c r="S13" s="1"/>
  <c r="Q58"/>
  <c r="S58" s="1"/>
  <c r="Q58" i="117"/>
  <c r="S58" s="1"/>
  <c r="Q52" i="116"/>
  <c r="S52" s="1"/>
  <c r="Q46" i="120"/>
  <c r="S46" s="1"/>
  <c r="Q46" i="119"/>
  <c r="S46" s="1"/>
  <c r="Q72" i="118"/>
  <c r="S72" s="1"/>
  <c r="Q72" i="119"/>
  <c r="S72" s="1"/>
  <c r="Q72" i="113"/>
  <c r="S72" s="1"/>
  <c r="Q24" i="120"/>
  <c r="S24" s="1"/>
  <c r="Q24" i="119"/>
  <c r="S24" s="1"/>
  <c r="Q43" i="117"/>
  <c r="S43" s="1"/>
  <c r="Q53" i="118"/>
  <c r="S53" s="1"/>
  <c r="Q50"/>
  <c r="S50" s="1"/>
  <c r="Q50" i="119"/>
  <c r="S50" s="1"/>
  <c r="Q13" i="118"/>
  <c r="S13" s="1"/>
  <c r="Q58"/>
  <c r="S58" s="1"/>
  <c r="Q58" i="114"/>
  <c r="S58" s="1"/>
  <c r="Q58" i="119"/>
  <c r="S58" s="1"/>
  <c r="Q52" i="118"/>
  <c r="S52" s="1"/>
  <c r="Q52" i="119"/>
  <c r="S52" s="1"/>
  <c r="Q46" i="118"/>
  <c r="S46" s="1"/>
  <c r="Q46" i="117"/>
  <c r="S46" s="1"/>
  <c r="Q72" i="116"/>
  <c r="S72" s="1"/>
  <c r="Q24" i="118"/>
  <c r="S24" s="1"/>
  <c r="Q24" i="117"/>
  <c r="S24" s="1"/>
  <c r="Q43" i="113"/>
  <c r="S43" s="1"/>
  <c r="Q43" i="116"/>
  <c r="S43" s="1"/>
  <c r="Q10" i="114"/>
  <c r="S10" s="1"/>
  <c r="Q28" i="118"/>
  <c r="S28" s="1"/>
  <c r="Q21" i="113"/>
  <c r="S21" s="1"/>
  <c r="Q33" i="118"/>
  <c r="S33" s="1"/>
  <c r="E77" i="96"/>
  <c r="L43"/>
  <c r="F77"/>
  <c r="T37" i="116" l="1"/>
  <c r="T60" i="117"/>
  <c r="U21" i="119"/>
  <c r="U34" i="116"/>
  <c r="T49" i="120"/>
  <c r="U37" i="113"/>
  <c r="U61" i="120"/>
  <c r="U22" i="118"/>
  <c r="U68" i="116"/>
  <c r="U28" i="114"/>
  <c r="U52" i="120"/>
  <c r="U26"/>
  <c r="T60" i="119"/>
  <c r="T68" i="114"/>
  <c r="V68" s="1"/>
  <c r="T54" i="120"/>
  <c r="N53" i="72" s="1"/>
  <c r="T41" i="119"/>
  <c r="T16" i="118"/>
  <c r="U40" i="117"/>
  <c r="U28" i="116"/>
  <c r="U49"/>
  <c r="T24" i="113"/>
  <c r="T36" i="116"/>
  <c r="U66" i="114"/>
  <c r="T25"/>
  <c r="T64" i="118"/>
  <c r="T69" i="114"/>
  <c r="G68" i="72" s="1"/>
  <c r="T40" i="120"/>
  <c r="N39" i="72" s="1"/>
  <c r="T56" i="120"/>
  <c r="U69" i="113"/>
  <c r="U49" i="114"/>
  <c r="T54" i="118"/>
  <c r="V54" s="1"/>
  <c r="U24" i="114"/>
  <c r="T26" i="118"/>
  <c r="V26" s="1"/>
  <c r="U32"/>
  <c r="T17" i="117"/>
  <c r="K16" i="72" s="1"/>
  <c r="U65" i="114"/>
  <c r="U56" i="118"/>
  <c r="T46" i="116"/>
  <c r="V46" s="1"/>
  <c r="T36" i="117"/>
  <c r="V36" s="1"/>
  <c r="U26"/>
  <c r="T45" i="116"/>
  <c r="I44" i="72" s="1"/>
  <c r="T75" i="116"/>
  <c r="T55"/>
  <c r="I54" i="72" s="1"/>
  <c r="U9" i="116"/>
  <c r="T72" i="114"/>
  <c r="G71" i="72" s="1"/>
  <c r="T13" i="113"/>
  <c r="F12" i="72" s="1"/>
  <c r="T42" i="120"/>
  <c r="N41" i="72" s="1"/>
  <c r="U61" i="118"/>
  <c r="U22" i="120"/>
  <c r="T69" i="117"/>
  <c r="V69" s="1"/>
  <c r="U40" i="119"/>
  <c r="U54" i="117"/>
  <c r="T71" i="119"/>
  <c r="T65" i="116"/>
  <c r="V65" s="1"/>
  <c r="T35" i="120"/>
  <c r="V35" s="1"/>
  <c r="T33" i="113"/>
  <c r="F32" i="72" s="1"/>
  <c r="V8" i="115"/>
  <c r="U58" i="113"/>
  <c r="T53" i="114"/>
  <c r="G52" i="72" s="1"/>
  <c r="U43" i="118"/>
  <c r="U75" i="117"/>
  <c r="U57" i="118"/>
  <c r="T38" i="116"/>
  <c r="I37" i="72" s="1"/>
  <c r="U74" i="116"/>
  <c r="T66"/>
  <c r="I65" i="72" s="1"/>
  <c r="T16" i="117"/>
  <c r="V16" s="1"/>
  <c r="U39" i="113"/>
  <c r="T27" i="120"/>
  <c r="N26" i="72" s="1"/>
  <c r="T23" i="113"/>
  <c r="V23" s="1"/>
  <c r="T44" i="117"/>
  <c r="V44" s="1"/>
  <c r="U34" i="114"/>
  <c r="T49" i="117"/>
  <c r="K48" i="72" s="1"/>
  <c r="T10" i="118"/>
  <c r="L9" i="72" s="1"/>
  <c r="T67" i="120"/>
  <c r="N66" i="72" s="1"/>
  <c r="T13" i="116"/>
  <c r="V13" s="1"/>
  <c r="T50" i="117"/>
  <c r="K49" i="72" s="1"/>
  <c r="T37" i="114"/>
  <c r="G36" i="72" s="1"/>
  <c r="U18" i="113"/>
  <c r="T9" i="114"/>
  <c r="G8" i="72" s="1"/>
  <c r="U21" i="118"/>
  <c r="U17" i="119"/>
  <c r="T39" i="118"/>
  <c r="L38" i="72" s="1"/>
  <c r="T55" i="118"/>
  <c r="V55" s="1"/>
  <c r="T32" i="117"/>
  <c r="T39" i="116"/>
  <c r="I38" i="72" s="1"/>
  <c r="T53" i="119"/>
  <c r="V53" s="1"/>
  <c r="U36" i="113"/>
  <c r="T16" i="116"/>
  <c r="I15" i="72" s="1"/>
  <c r="U9" i="117"/>
  <c r="U60" i="120"/>
  <c r="U61" i="119"/>
  <c r="U59" i="120"/>
  <c r="U20" i="117"/>
  <c r="U40" i="118"/>
  <c r="U38" i="117"/>
  <c r="U32" i="113"/>
  <c r="U28"/>
  <c r="U43" i="120"/>
  <c r="U13" i="117"/>
  <c r="T50" i="120"/>
  <c r="N49" i="72" s="1"/>
  <c r="U67" i="118"/>
  <c r="U27" i="114"/>
  <c r="U40" i="116"/>
  <c r="U29" i="120"/>
  <c r="U43" i="114"/>
  <c r="U53" i="120"/>
  <c r="T26" i="119"/>
  <c r="V26" s="1"/>
  <c r="T60" i="118"/>
  <c r="L59" i="72" s="1"/>
  <c r="T41" i="118"/>
  <c r="V41" s="1"/>
  <c r="U45" i="120"/>
  <c r="U21" i="116"/>
  <c r="U17" i="113"/>
  <c r="U48" i="116"/>
  <c r="U70"/>
  <c r="T24"/>
  <c r="I23" i="72" s="1"/>
  <c r="T17" i="114"/>
  <c r="G16" i="72" s="1"/>
  <c r="T71" i="114"/>
  <c r="V71" s="1"/>
  <c r="T75"/>
  <c r="G74" i="72" s="1"/>
  <c r="T30" i="113"/>
  <c r="F29" i="72" s="1"/>
  <c r="T48" i="113"/>
  <c r="V48" s="1"/>
  <c r="T59" i="118"/>
  <c r="V59" s="1"/>
  <c r="T23" i="114"/>
  <c r="G22" i="72" s="1"/>
  <c r="T20" i="113"/>
  <c r="F19" i="72" s="1"/>
  <c r="T45" i="113"/>
  <c r="F44" i="72" s="1"/>
  <c r="T28" i="117"/>
  <c r="V28" s="1"/>
  <c r="T36" i="114"/>
  <c r="G35" i="72" s="1"/>
  <c r="T56" i="117"/>
  <c r="K55" i="72" s="1"/>
  <c r="T41" i="120"/>
  <c r="V41" s="1"/>
  <c r="T59" i="119"/>
  <c r="M58" i="72" s="1"/>
  <c r="T25" i="119"/>
  <c r="M24" i="72" s="1"/>
  <c r="U55" i="113"/>
  <c r="U45" i="118"/>
  <c r="U10" i="113"/>
  <c r="U33" i="114"/>
  <c r="U38" i="119"/>
  <c r="U21" i="120"/>
  <c r="U72" i="117"/>
  <c r="U50" i="114"/>
  <c r="T54" i="119"/>
  <c r="M53" i="72" s="1"/>
  <c r="U71" i="118"/>
  <c r="U42" i="119"/>
  <c r="U74"/>
  <c r="U66" i="113"/>
  <c r="T16"/>
  <c r="V16" s="1"/>
  <c r="U27" i="117"/>
  <c r="U25"/>
  <c r="U35" i="114"/>
  <c r="U20" i="116"/>
  <c r="Q8" i="113"/>
  <c r="S8" s="1"/>
  <c r="T8" s="1"/>
  <c r="Q62" i="116"/>
  <c r="S62" s="1"/>
  <c r="T62" s="1"/>
  <c r="Q11" i="114"/>
  <c r="S11" s="1"/>
  <c r="T11" s="1"/>
  <c r="Q73"/>
  <c r="S73" s="1"/>
  <c r="Q47" i="120"/>
  <c r="S47" s="1"/>
  <c r="U47" s="1"/>
  <c r="Q73" i="116"/>
  <c r="S73" s="1"/>
  <c r="U73" s="1"/>
  <c r="Q31"/>
  <c r="S31" s="1"/>
  <c r="T31" s="1"/>
  <c r="Q14" i="113"/>
  <c r="S14" s="1"/>
  <c r="T14" s="1"/>
  <c r="Q11" i="120"/>
  <c r="S11" s="1"/>
  <c r="U11" s="1"/>
  <c r="Q47" i="119"/>
  <c r="S47" s="1"/>
  <c r="T47" s="1"/>
  <c r="Q12" i="117"/>
  <c r="S12" s="1"/>
  <c r="T12" s="1"/>
  <c r="Q63" i="116"/>
  <c r="S63" s="1"/>
  <c r="T63" s="1"/>
  <c r="Q47" i="114"/>
  <c r="S47" s="1"/>
  <c r="U47" s="1"/>
  <c r="Q31" i="118"/>
  <c r="S31" s="1"/>
  <c r="T31" s="1"/>
  <c r="Q8"/>
  <c r="S8" s="1"/>
  <c r="T8" s="1"/>
  <c r="Q19" i="117"/>
  <c r="S19" s="1"/>
  <c r="U19" s="1"/>
  <c r="Q12" i="118"/>
  <c r="S12" s="1"/>
  <c r="U12" s="1"/>
  <c r="Q15" i="116"/>
  <c r="S15" s="1"/>
  <c r="U15" s="1"/>
  <c r="Q51"/>
  <c r="S51" s="1"/>
  <c r="T51" s="1"/>
  <c r="Q14"/>
  <c r="S14" s="1"/>
  <c r="T14" s="1"/>
  <c r="Q62" i="114"/>
  <c r="S62" s="1"/>
  <c r="U62" s="1"/>
  <c r="Q15" i="118"/>
  <c r="S15" s="1"/>
  <c r="T15" s="1"/>
  <c r="Q63" i="114"/>
  <c r="S63" s="1"/>
  <c r="T63" s="1"/>
  <c r="Q14"/>
  <c r="S14" s="1"/>
  <c r="T14" s="1"/>
  <c r="Q19" i="116"/>
  <c r="S19" s="1"/>
  <c r="U19" s="1"/>
  <c r="Q62" i="113"/>
  <c r="S62" s="1"/>
  <c r="T62" s="1"/>
  <c r="Q12"/>
  <c r="S12" s="1"/>
  <c r="T12" s="1"/>
  <c r="Q73" i="117"/>
  <c r="S73" s="1"/>
  <c r="T73" s="1"/>
  <c r="Q11" i="119"/>
  <c r="S11" s="1"/>
  <c r="U11" s="1"/>
  <c r="Q19" i="114"/>
  <c r="S19" s="1"/>
  <c r="T19" s="1"/>
  <c r="Q15" i="113"/>
  <c r="S15" s="1"/>
  <c r="T15" s="1"/>
  <c r="Q73"/>
  <c r="S73" s="1"/>
  <c r="T73" s="1"/>
  <c r="Q11" i="117"/>
  <c r="S11" s="1"/>
  <c r="T11" s="1"/>
  <c r="Q31" i="113"/>
  <c r="S31" s="1"/>
  <c r="T31" s="1"/>
  <c r="Q63"/>
  <c r="S63" s="1"/>
  <c r="T63" s="1"/>
  <c r="Q51"/>
  <c r="S51" s="1"/>
  <c r="T51" s="1"/>
  <c r="Q8" i="116"/>
  <c r="S8" s="1"/>
  <c r="T8" s="1"/>
  <c r="Q19" i="113"/>
  <c r="S19" s="1"/>
  <c r="U19" s="1"/>
  <c r="Q47" i="117"/>
  <c r="S47" s="1"/>
  <c r="T47" s="1"/>
  <c r="Q12" i="116"/>
  <c r="S12" s="1"/>
  <c r="Q63" i="117"/>
  <c r="S63" s="1"/>
  <c r="U63" s="1"/>
  <c r="Q51" i="118"/>
  <c r="S51" s="1"/>
  <c r="T51" s="1"/>
  <c r="Q8" i="117"/>
  <c r="S8" s="1"/>
  <c r="T8" s="1"/>
  <c r="T21" i="113"/>
  <c r="U21"/>
  <c r="T10" i="114"/>
  <c r="U10"/>
  <c r="T24" i="118"/>
  <c r="U24"/>
  <c r="T52" i="119"/>
  <c r="U52"/>
  <c r="T58" i="118"/>
  <c r="U58"/>
  <c r="T53"/>
  <c r="U53"/>
  <c r="T24" i="119"/>
  <c r="U24"/>
  <c r="T72" i="113"/>
  <c r="U72"/>
  <c r="T72" i="118"/>
  <c r="U72"/>
  <c r="T46" i="120"/>
  <c r="U46"/>
  <c r="T58" i="117"/>
  <c r="U58"/>
  <c r="T13" i="120"/>
  <c r="U13"/>
  <c r="T50" i="116"/>
  <c r="U50"/>
  <c r="T53" i="113"/>
  <c r="U53"/>
  <c r="T67" i="117"/>
  <c r="U67"/>
  <c r="T54" i="113"/>
  <c r="U54"/>
  <c r="T71" i="117"/>
  <c r="U71"/>
  <c r="T36" i="120"/>
  <c r="U36"/>
  <c r="T26" i="113"/>
  <c r="U26"/>
  <c r="T42"/>
  <c r="U42"/>
  <c r="T74"/>
  <c r="U74"/>
  <c r="T60"/>
  <c r="U60"/>
  <c r="T61" i="114"/>
  <c r="U61"/>
  <c r="T66" i="119"/>
  <c r="U66"/>
  <c r="T75" i="118"/>
  <c r="U75"/>
  <c r="T56" i="114"/>
  <c r="U56"/>
  <c r="T41" i="117"/>
  <c r="U41"/>
  <c r="T30" i="120"/>
  <c r="U30"/>
  <c r="T16"/>
  <c r="U16"/>
  <c r="T48" i="118"/>
  <c r="U48"/>
  <c r="T39" i="114"/>
  <c r="U39"/>
  <c r="T18" i="119"/>
  <c r="U18"/>
  <c r="T27" i="118"/>
  <c r="U27"/>
  <c r="T59" i="117"/>
  <c r="U59"/>
  <c r="T57" i="114"/>
  <c r="U57"/>
  <c r="T35" i="118"/>
  <c r="U35"/>
  <c r="T64" i="114"/>
  <c r="U64"/>
  <c r="T22" i="116"/>
  <c r="U22"/>
  <c r="T43" i="113"/>
  <c r="U43"/>
  <c r="T46" i="117"/>
  <c r="U46"/>
  <c r="T58" i="119"/>
  <c r="U58"/>
  <c r="T50"/>
  <c r="U50"/>
  <c r="T33" i="118"/>
  <c r="U33"/>
  <c r="T28"/>
  <c r="U28"/>
  <c r="T43" i="116"/>
  <c r="U43"/>
  <c r="T24" i="117"/>
  <c r="U24"/>
  <c r="T72" i="116"/>
  <c r="U72"/>
  <c r="T46" i="118"/>
  <c r="U46"/>
  <c r="T52"/>
  <c r="U52"/>
  <c r="T58" i="114"/>
  <c r="U58"/>
  <c r="T13" i="118"/>
  <c r="U13"/>
  <c r="T50"/>
  <c r="U50"/>
  <c r="T43" i="117"/>
  <c r="U43"/>
  <c r="T24" i="120"/>
  <c r="U24"/>
  <c r="T72" i="119"/>
  <c r="U72"/>
  <c r="T46"/>
  <c r="U46"/>
  <c r="T52" i="116"/>
  <c r="U52"/>
  <c r="T58" i="120"/>
  <c r="U58"/>
  <c r="T13" i="119"/>
  <c r="U13"/>
  <c r="T53" i="116"/>
  <c r="U53"/>
  <c r="T67" i="114"/>
  <c r="U67"/>
  <c r="T17" i="118"/>
  <c r="U17"/>
  <c r="T54" i="114"/>
  <c r="U54"/>
  <c r="T36" i="119"/>
  <c r="U36"/>
  <c r="T37" i="118"/>
  <c r="U37"/>
  <c r="T26" i="116"/>
  <c r="U26"/>
  <c r="T42"/>
  <c r="U42"/>
  <c r="T74" i="114"/>
  <c r="U74"/>
  <c r="T60"/>
  <c r="U60"/>
  <c r="T61" i="117"/>
  <c r="U61"/>
  <c r="T66" i="118"/>
  <c r="U66"/>
  <c r="T56" i="113"/>
  <c r="U56"/>
  <c r="T41" i="114"/>
  <c r="U41"/>
  <c r="T30" i="119"/>
  <c r="U30"/>
  <c r="T16"/>
  <c r="U16"/>
  <c r="T70" i="118"/>
  <c r="U70"/>
  <c r="T55" i="114"/>
  <c r="U55"/>
  <c r="T20" i="119"/>
  <c r="U20"/>
  <c r="T68"/>
  <c r="U68"/>
  <c r="T69" i="118"/>
  <c r="U69"/>
  <c r="T44" i="116"/>
  <c r="U44"/>
  <c r="T29" i="114"/>
  <c r="U29"/>
  <c r="T34" i="119"/>
  <c r="U34"/>
  <c r="T9" i="118"/>
  <c r="U9"/>
  <c r="I66" i="72"/>
  <c r="V67" i="116"/>
  <c r="F66" i="72"/>
  <c r="V67" i="113"/>
  <c r="I16" i="72"/>
  <c r="V17" i="116"/>
  <c r="F16" i="72"/>
  <c r="V17" i="113"/>
  <c r="K53" i="72"/>
  <c r="V54" i="117"/>
  <c r="V54" i="120"/>
  <c r="N70" i="72"/>
  <c r="V71" i="120"/>
  <c r="M70" i="72"/>
  <c r="V71" i="119"/>
  <c r="V36" i="114"/>
  <c r="I36" i="72"/>
  <c r="V37" i="116"/>
  <c r="F36" i="72"/>
  <c r="V37" i="113"/>
  <c r="K25" i="72"/>
  <c r="V26" i="117"/>
  <c r="L25" i="72"/>
  <c r="L41"/>
  <c r="V42" i="118"/>
  <c r="I73" i="72"/>
  <c r="V74" i="116"/>
  <c r="K59" i="72"/>
  <c r="V60" i="117"/>
  <c r="N59" i="72"/>
  <c r="V60" i="120"/>
  <c r="N60" i="72"/>
  <c r="V61" i="120"/>
  <c r="M60" i="72"/>
  <c r="V61" i="119"/>
  <c r="I74" i="72"/>
  <c r="V75" i="116"/>
  <c r="F74" i="72"/>
  <c r="V75" i="113"/>
  <c r="N55" i="72"/>
  <c r="V56" i="120"/>
  <c r="N40" i="72"/>
  <c r="M40"/>
  <c r="V41" i="119"/>
  <c r="G29" i="72"/>
  <c r="V30" i="114"/>
  <c r="U63" i="116"/>
  <c r="K15" i="72"/>
  <c r="L15"/>
  <c r="V16" i="118"/>
  <c r="I47" i="72"/>
  <c r="V48" i="116"/>
  <c r="F38" i="72"/>
  <c r="V39" i="113"/>
  <c r="K17" i="72"/>
  <c r="V18" i="117"/>
  <c r="L17" i="72"/>
  <c r="V18" i="118"/>
  <c r="M26" i="72"/>
  <c r="V27" i="119"/>
  <c r="N58" i="72"/>
  <c r="V59" i="120"/>
  <c r="N24" i="72"/>
  <c r="V25" i="120"/>
  <c r="N56" i="72"/>
  <c r="V57" i="120"/>
  <c r="M56" i="72"/>
  <c r="V57" i="119"/>
  <c r="U14" i="116"/>
  <c r="M34" i="72"/>
  <c r="V35" i="119"/>
  <c r="I63" i="72"/>
  <c r="V64" i="116"/>
  <c r="K21" i="72"/>
  <c r="V22" i="117"/>
  <c r="L21" i="72"/>
  <c r="V22" i="118"/>
  <c r="I69" i="72"/>
  <c r="V70" i="116"/>
  <c r="I22" i="72"/>
  <c r="V23" i="116"/>
  <c r="V55"/>
  <c r="F54" i="72"/>
  <c r="V55" i="113"/>
  <c r="K19" i="72"/>
  <c r="V20" i="117"/>
  <c r="L19" i="72"/>
  <c r="V20" i="118"/>
  <c r="I67" i="72"/>
  <c r="V68" i="116"/>
  <c r="I68" i="72"/>
  <c r="V69" i="116"/>
  <c r="F68" i="72"/>
  <c r="V69" i="113"/>
  <c r="L43" i="72"/>
  <c r="V44" i="118"/>
  <c r="N28" i="72"/>
  <c r="V29" i="120"/>
  <c r="M28" i="72"/>
  <c r="V29" i="119"/>
  <c r="G33" i="72"/>
  <c r="V34" i="114"/>
  <c r="I8" i="72"/>
  <c r="V9" i="116"/>
  <c r="F8" i="72"/>
  <c r="V9" i="113"/>
  <c r="K39" i="72"/>
  <c r="V40" i="117"/>
  <c r="L39" i="72"/>
  <c r="V40" i="118"/>
  <c r="I32" i="72"/>
  <c r="V33" i="116"/>
  <c r="K37" i="72"/>
  <c r="V38" i="117"/>
  <c r="L37" i="72"/>
  <c r="V38" i="118"/>
  <c r="L44" i="72"/>
  <c r="V45" i="118"/>
  <c r="F31" i="72"/>
  <c r="V32" i="113"/>
  <c r="I31" i="72"/>
  <c r="V32" i="116"/>
  <c r="G48" i="72"/>
  <c r="V49" i="114"/>
  <c r="L20" i="72"/>
  <c r="V21" i="118"/>
  <c r="F27" i="72"/>
  <c r="V28" i="113"/>
  <c r="I27" i="72"/>
  <c r="V28" i="116"/>
  <c r="F9" i="72"/>
  <c r="V10" i="113"/>
  <c r="I9" i="72"/>
  <c r="V10" i="116"/>
  <c r="G42" i="72"/>
  <c r="V43" i="114"/>
  <c r="T45" i="119"/>
  <c r="U45"/>
  <c r="T67"/>
  <c r="U67"/>
  <c r="T54" i="116"/>
  <c r="U54"/>
  <c r="T71" i="113"/>
  <c r="U71"/>
  <c r="T37" i="120"/>
  <c r="U37"/>
  <c r="T26" i="114"/>
  <c r="U26"/>
  <c r="T42"/>
  <c r="U42"/>
  <c r="T74" i="120"/>
  <c r="U74"/>
  <c r="T61" i="116"/>
  <c r="U61"/>
  <c r="T66" i="117"/>
  <c r="U66"/>
  <c r="T75" i="120"/>
  <c r="U75"/>
  <c r="T56" i="116"/>
  <c r="U56"/>
  <c r="T41" i="113"/>
  <c r="U41"/>
  <c r="T30" i="118"/>
  <c r="U30"/>
  <c r="T48" i="117"/>
  <c r="U48"/>
  <c r="T65" i="120"/>
  <c r="U65"/>
  <c r="T65" i="119"/>
  <c r="U65"/>
  <c r="T39"/>
  <c r="U39"/>
  <c r="T27" i="116"/>
  <c r="U27"/>
  <c r="T59"/>
  <c r="U59"/>
  <c r="T25"/>
  <c r="U25"/>
  <c r="T57"/>
  <c r="U57"/>
  <c r="T35"/>
  <c r="U35"/>
  <c r="T64" i="117"/>
  <c r="U64"/>
  <c r="T22" i="114"/>
  <c r="U22"/>
  <c r="T70" i="120"/>
  <c r="U70"/>
  <c r="T23" i="119"/>
  <c r="U23"/>
  <c r="T55"/>
  <c r="U55"/>
  <c r="T68" i="117"/>
  <c r="U68"/>
  <c r="T69" i="120"/>
  <c r="U69"/>
  <c r="T44" i="114"/>
  <c r="U44"/>
  <c r="T29" i="113"/>
  <c r="U29"/>
  <c r="T34" i="118"/>
  <c r="U34"/>
  <c r="T9" i="119"/>
  <c r="U9"/>
  <c r="T33" i="120"/>
  <c r="U33"/>
  <c r="T38" i="114"/>
  <c r="U38"/>
  <c r="T45" i="117"/>
  <c r="U45"/>
  <c r="T32" i="120"/>
  <c r="U32"/>
  <c r="T21" i="114"/>
  <c r="U21"/>
  <c r="T28" i="119"/>
  <c r="U28"/>
  <c r="T10"/>
  <c r="U10"/>
  <c r="T11" i="120"/>
  <c r="F51" i="72"/>
  <c r="V52" i="113"/>
  <c r="G51" i="72"/>
  <c r="V52" i="114"/>
  <c r="F57" i="72"/>
  <c r="V58" i="113"/>
  <c r="G12" i="72"/>
  <c r="V13" i="114"/>
  <c r="K12" i="72"/>
  <c r="V13" i="117"/>
  <c r="T50" i="113"/>
  <c r="U50"/>
  <c r="G49" i="72"/>
  <c r="V50" i="114"/>
  <c r="K52" i="72"/>
  <c r="V53" i="117"/>
  <c r="T63"/>
  <c r="T19"/>
  <c r="T47" i="120"/>
  <c r="T15" i="116"/>
  <c r="V50" i="120"/>
  <c r="N52" i="72"/>
  <c r="V53" i="120"/>
  <c r="L66" i="72"/>
  <c r="V67" i="118"/>
  <c r="V17" i="114"/>
  <c r="V54" i="119"/>
  <c r="L70" i="72"/>
  <c r="V71" i="118"/>
  <c r="F35" i="72"/>
  <c r="V36" i="113"/>
  <c r="I35" i="72"/>
  <c r="V36" i="116"/>
  <c r="V37" i="114"/>
  <c r="K36" i="72"/>
  <c r="V37" i="117"/>
  <c r="M25" i="72"/>
  <c r="N25"/>
  <c r="V26" i="120"/>
  <c r="M41" i="72"/>
  <c r="V42" i="119"/>
  <c r="M73" i="72"/>
  <c r="V74" i="119"/>
  <c r="L73" i="72"/>
  <c r="V74" i="118"/>
  <c r="M59" i="72"/>
  <c r="V60" i="119"/>
  <c r="L60" i="72"/>
  <c r="V61" i="118"/>
  <c r="F65" i="72"/>
  <c r="V66" i="113"/>
  <c r="G65" i="72"/>
  <c r="V66" i="114"/>
  <c r="K74" i="72"/>
  <c r="V75" i="117"/>
  <c r="M55" i="72"/>
  <c r="V56" i="119"/>
  <c r="L55" i="72"/>
  <c r="V56" i="118"/>
  <c r="I29" i="72"/>
  <c r="V30" i="116"/>
  <c r="F15" i="72"/>
  <c r="F47"/>
  <c r="G47"/>
  <c r="V48" i="114"/>
  <c r="G64" i="72"/>
  <c r="V65" i="114"/>
  <c r="K64" i="72"/>
  <c r="V65" i="117"/>
  <c r="V39" i="118"/>
  <c r="F17" i="72"/>
  <c r="V18" i="113"/>
  <c r="I17" i="72"/>
  <c r="V18" i="116"/>
  <c r="G26" i="72"/>
  <c r="V27" i="114"/>
  <c r="K26" i="72"/>
  <c r="V27" i="117"/>
  <c r="G24" i="72"/>
  <c r="V25" i="114"/>
  <c r="K24" i="72"/>
  <c r="V25" i="117"/>
  <c r="L56" i="72"/>
  <c r="V57" i="118"/>
  <c r="G34" i="72"/>
  <c r="V35" i="114"/>
  <c r="K34" i="72"/>
  <c r="V35" i="117"/>
  <c r="M63" i="72"/>
  <c r="V64" i="119"/>
  <c r="L63" i="72"/>
  <c r="V64" i="118"/>
  <c r="M21" i="72"/>
  <c r="V22" i="119"/>
  <c r="N21" i="72"/>
  <c r="V22" i="120"/>
  <c r="M69" i="72"/>
  <c r="V70" i="119"/>
  <c r="T70" i="114"/>
  <c r="U70"/>
  <c r="K22" i="72"/>
  <c r="V23" i="117"/>
  <c r="L54" i="72"/>
  <c r="I19"/>
  <c r="V20" i="116"/>
  <c r="F67" i="72"/>
  <c r="V68" i="113"/>
  <c r="G67" i="72"/>
  <c r="V69" i="114"/>
  <c r="K68" i="72"/>
  <c r="M43"/>
  <c r="V44" i="119"/>
  <c r="L28" i="72"/>
  <c r="V29" i="118"/>
  <c r="F33" i="72"/>
  <c r="V34" i="113"/>
  <c r="I33" i="72"/>
  <c r="V34" i="116"/>
  <c r="K8" i="72"/>
  <c r="V9" i="117"/>
  <c r="M39" i="72"/>
  <c r="V40" i="119"/>
  <c r="I39" i="72"/>
  <c r="V40" i="116"/>
  <c r="H50" i="72"/>
  <c r="V51" i="115"/>
  <c r="H14" i="72"/>
  <c r="V15" i="115"/>
  <c r="Q47" i="118"/>
  <c r="S47" s="1"/>
  <c r="Q12" i="120"/>
  <c r="S12" s="1"/>
  <c r="Q12" i="119"/>
  <c r="S12" s="1"/>
  <c r="Q15" i="117"/>
  <c r="S15" s="1"/>
  <c r="Q15" i="114"/>
  <c r="S15" s="1"/>
  <c r="Q73" i="118"/>
  <c r="S73" s="1"/>
  <c r="T48" i="119"/>
  <c r="U48"/>
  <c r="T65" i="118"/>
  <c r="U65"/>
  <c r="T39" i="117"/>
  <c r="U39"/>
  <c r="T18" i="120"/>
  <c r="U18"/>
  <c r="T59" i="114"/>
  <c r="U59"/>
  <c r="T25" i="118"/>
  <c r="U25"/>
  <c r="T57" i="117"/>
  <c r="U57"/>
  <c r="T64" i="113"/>
  <c r="U64"/>
  <c r="T22"/>
  <c r="U22"/>
  <c r="T70"/>
  <c r="U70"/>
  <c r="T23" i="118"/>
  <c r="U23"/>
  <c r="T55" i="117"/>
  <c r="U55"/>
  <c r="T20" i="120"/>
  <c r="U20"/>
  <c r="T68" i="118"/>
  <c r="U68"/>
  <c r="T44" i="113"/>
  <c r="U44"/>
  <c r="T44" i="120"/>
  <c r="U44"/>
  <c r="T29" i="117"/>
  <c r="U29"/>
  <c r="T34" i="120"/>
  <c r="U34"/>
  <c r="T40" i="113"/>
  <c r="U40"/>
  <c r="F37" i="72"/>
  <c r="V38" i="113"/>
  <c r="V45" i="116"/>
  <c r="N44" i="72"/>
  <c r="V45" i="120"/>
  <c r="V45" i="113"/>
  <c r="K31" i="72"/>
  <c r="V32" i="117"/>
  <c r="L31" i="72"/>
  <c r="V32" i="118"/>
  <c r="N48" i="72"/>
  <c r="V49" i="120"/>
  <c r="T49" i="113"/>
  <c r="U49"/>
  <c r="I20" i="72"/>
  <c r="V21" i="116"/>
  <c r="L6" i="100"/>
  <c r="P7" i="115"/>
  <c r="Q7" s="1"/>
  <c r="O76"/>
  <c r="T12" i="116"/>
  <c r="U12"/>
  <c r="U15" i="118"/>
  <c r="U73" i="117"/>
  <c r="T73" i="114"/>
  <c r="U73"/>
  <c r="H30" i="72"/>
  <c r="V31" i="115"/>
  <c r="H46" i="72"/>
  <c r="V47" i="115"/>
  <c r="T32" i="114"/>
  <c r="U32"/>
  <c r="T17" i="120"/>
  <c r="U17"/>
  <c r="T71" i="116"/>
  <c r="U71"/>
  <c r="T36" i="118"/>
  <c r="U36"/>
  <c r="T37" i="119"/>
  <c r="U37"/>
  <c r="T42" i="117"/>
  <c r="U42"/>
  <c r="T74"/>
  <c r="U74"/>
  <c r="T60" i="116"/>
  <c r="U60"/>
  <c r="T61" i="113"/>
  <c r="U61"/>
  <c r="T66" i="120"/>
  <c r="U66"/>
  <c r="T75" i="119"/>
  <c r="U75"/>
  <c r="T41" i="116"/>
  <c r="U41"/>
  <c r="T30" i="117"/>
  <c r="U30"/>
  <c r="T16" i="114"/>
  <c r="U16"/>
  <c r="T48" i="120"/>
  <c r="U48"/>
  <c r="T65" i="113"/>
  <c r="U65"/>
  <c r="T39" i="120"/>
  <c r="U39"/>
  <c r="T18" i="114"/>
  <c r="U18"/>
  <c r="T27" i="113"/>
  <c r="U27"/>
  <c r="T59"/>
  <c r="U59"/>
  <c r="T25"/>
  <c r="U25"/>
  <c r="T57"/>
  <c r="U57"/>
  <c r="T35"/>
  <c r="U35"/>
  <c r="T64" i="120"/>
  <c r="U64"/>
  <c r="T70" i="117"/>
  <c r="U70"/>
  <c r="T23" i="120"/>
  <c r="U23"/>
  <c r="T55"/>
  <c r="U55"/>
  <c r="T20" i="114"/>
  <c r="U20"/>
  <c r="T68" i="120"/>
  <c r="U68"/>
  <c r="T69" i="119"/>
  <c r="U69"/>
  <c r="T29" i="116"/>
  <c r="U29"/>
  <c r="T34" i="117"/>
  <c r="U34"/>
  <c r="T9" i="120"/>
  <c r="U9"/>
  <c r="T40" i="114"/>
  <c r="U40"/>
  <c r="T33" i="119"/>
  <c r="U33"/>
  <c r="T45" i="114"/>
  <c r="U45"/>
  <c r="T32" i="119"/>
  <c r="U32"/>
  <c r="T49" i="118"/>
  <c r="U49"/>
  <c r="T21" i="117"/>
  <c r="U21"/>
  <c r="T28" i="120"/>
  <c r="U28"/>
  <c r="T10"/>
  <c r="U10"/>
  <c r="G32" i="72"/>
  <c r="V33" i="114"/>
  <c r="K32" i="72"/>
  <c r="V33" i="117"/>
  <c r="M37" i="72"/>
  <c r="V38" i="119"/>
  <c r="N37" i="72"/>
  <c r="V38" i="120"/>
  <c r="I48" i="72"/>
  <c r="V49" i="116"/>
  <c r="M48" i="72"/>
  <c r="V49" i="119"/>
  <c r="N20" i="72"/>
  <c r="V21" i="120"/>
  <c r="M20" i="72"/>
  <c r="V21" i="119"/>
  <c r="G27" i="72"/>
  <c r="V28" i="114"/>
  <c r="K9" i="72"/>
  <c r="V10" i="117"/>
  <c r="V10" i="118"/>
  <c r="N42" i="72"/>
  <c r="V43" i="120"/>
  <c r="M42" i="72"/>
  <c r="V43" i="119"/>
  <c r="G23" i="72"/>
  <c r="V24" i="114"/>
  <c r="K71" i="72"/>
  <c r="V72" i="117"/>
  <c r="N71" i="72"/>
  <c r="V72" i="120"/>
  <c r="G45" i="72"/>
  <c r="V46" i="114"/>
  <c r="Q11" i="116"/>
  <c r="S11" s="1"/>
  <c r="AL10" i="72"/>
  <c r="M16"/>
  <c r="V17" i="119"/>
  <c r="H18" i="72"/>
  <c r="V19" i="115"/>
  <c r="L42" i="72"/>
  <c r="V43" i="118"/>
  <c r="F23" i="72"/>
  <c r="V24" i="113"/>
  <c r="V24" i="116"/>
  <c r="V72" i="114"/>
  <c r="F45" i="72"/>
  <c r="V46" i="113"/>
  <c r="I45" i="72"/>
  <c r="K51"/>
  <c r="V52" i="117"/>
  <c r="N51" i="72"/>
  <c r="V52" i="120"/>
  <c r="I57" i="72"/>
  <c r="V58" i="116"/>
  <c r="I12" i="72"/>
  <c r="V13" i="113"/>
  <c r="Q11" i="118"/>
  <c r="S11" s="1"/>
  <c r="Q31" i="119"/>
  <c r="S31" s="1"/>
  <c r="Q31" i="120"/>
  <c r="S31" s="1"/>
  <c r="Q63" i="119"/>
  <c r="S63" s="1"/>
  <c r="Q63" i="120"/>
  <c r="S63" s="1"/>
  <c r="Q51" i="119"/>
  <c r="S51" s="1"/>
  <c r="Q51" i="120"/>
  <c r="S51" s="1"/>
  <c r="Q8"/>
  <c r="S8" s="1"/>
  <c r="Q8" i="119"/>
  <c r="S8" s="1"/>
  <c r="Q14" i="120"/>
  <c r="S14" s="1"/>
  <c r="Q14" i="119"/>
  <c r="S14" s="1"/>
  <c r="Q19"/>
  <c r="S19" s="1"/>
  <c r="Q19" i="120"/>
  <c r="S19" s="1"/>
  <c r="Q62" i="118"/>
  <c r="S62" s="1"/>
  <c r="Q62" i="119"/>
  <c r="S62" s="1"/>
  <c r="Q11" i="113"/>
  <c r="S11" s="1"/>
  <c r="Q31" i="117"/>
  <c r="S31" s="1"/>
  <c r="Q31" i="114"/>
  <c r="S31" s="1"/>
  <c r="Q63" i="118"/>
  <c r="S63" s="1"/>
  <c r="Q51" i="117"/>
  <c r="S51" s="1"/>
  <c r="Q51" i="114"/>
  <c r="S51" s="1"/>
  <c r="Q8"/>
  <c r="S8" s="1"/>
  <c r="Q14" i="118"/>
  <c r="S14" s="1"/>
  <c r="Q14" i="117"/>
  <c r="S14" s="1"/>
  <c r="Q19" i="118"/>
  <c r="S19" s="1"/>
  <c r="Q62" i="120"/>
  <c r="S62" s="1"/>
  <c r="Q62" i="117"/>
  <c r="S62" s="1"/>
  <c r="Q47" i="113"/>
  <c r="S47" s="1"/>
  <c r="Q47" i="116"/>
  <c r="S47" s="1"/>
  <c r="Q12" i="114"/>
  <c r="S12" s="1"/>
  <c r="Q15" i="119"/>
  <c r="S15" s="1"/>
  <c r="Q15" i="120"/>
  <c r="S15" s="1"/>
  <c r="Q73" i="119"/>
  <c r="S73" s="1"/>
  <c r="Q73" i="120"/>
  <c r="S73" s="1"/>
  <c r="L77" i="96"/>
  <c r="V39" i="116" l="1"/>
  <c r="V38"/>
  <c r="V40" i="120"/>
  <c r="V9" i="114"/>
  <c r="V20" i="113"/>
  <c r="V30"/>
  <c r="V42" i="120"/>
  <c r="U8" i="117"/>
  <c r="V53" i="114"/>
  <c r="V67" i="120"/>
  <c r="U47" i="117"/>
  <c r="L53" i="72"/>
  <c r="M52"/>
  <c r="T73" i="116"/>
  <c r="U62"/>
  <c r="K43" i="72"/>
  <c r="N34"/>
  <c r="I64"/>
  <c r="K35"/>
  <c r="V17" i="117"/>
  <c r="U12"/>
  <c r="U63" i="113"/>
  <c r="F22" i="72"/>
  <c r="U8" i="113"/>
  <c r="T19"/>
  <c r="V19" s="1"/>
  <c r="V66" i="116"/>
  <c r="K27" i="72"/>
  <c r="T62" i="114"/>
  <c r="V62" s="1"/>
  <c r="U31" i="113"/>
  <c r="V16" i="116"/>
  <c r="V60" i="118"/>
  <c r="U73" i="113"/>
  <c r="U14" i="114"/>
  <c r="V33" i="113"/>
  <c r="V27" i="120"/>
  <c r="V50" i="117"/>
  <c r="V49"/>
  <c r="U14" i="113"/>
  <c r="U51"/>
  <c r="T47" i="114"/>
  <c r="G46" i="72" s="1"/>
  <c r="L58"/>
  <c r="L40"/>
  <c r="G70"/>
  <c r="T12" i="118"/>
  <c r="V12" s="1"/>
  <c r="T11" i="119"/>
  <c r="T19" i="116"/>
  <c r="U8"/>
  <c r="V59" i="119"/>
  <c r="U11" i="117"/>
  <c r="U51" i="118"/>
  <c r="U31"/>
  <c r="U62" i="113"/>
  <c r="V25" i="119"/>
  <c r="V23" i="114"/>
  <c r="V75"/>
  <c r="U47" i="119"/>
  <c r="U19" i="114"/>
  <c r="V56" i="117"/>
  <c r="U31" i="116"/>
  <c r="U11" i="114"/>
  <c r="U12" i="113"/>
  <c r="U15"/>
  <c r="U8" i="118"/>
  <c r="U63" i="114"/>
  <c r="U51" i="116"/>
  <c r="T73" i="119"/>
  <c r="U73"/>
  <c r="T47" i="116"/>
  <c r="U47"/>
  <c r="T62" i="117"/>
  <c r="U62"/>
  <c r="T14" i="118"/>
  <c r="U14"/>
  <c r="T63"/>
  <c r="U63"/>
  <c r="T62" i="119"/>
  <c r="U62"/>
  <c r="T14"/>
  <c r="U14"/>
  <c r="T51" i="120"/>
  <c r="U51"/>
  <c r="T31"/>
  <c r="U31"/>
  <c r="T11" i="116"/>
  <c r="U11"/>
  <c r="N9" i="72"/>
  <c r="V10" i="120"/>
  <c r="N27" i="72"/>
  <c r="V28" i="120"/>
  <c r="K20" i="72"/>
  <c r="V21" i="117"/>
  <c r="L48" i="72"/>
  <c r="V49" i="118"/>
  <c r="M31" i="72"/>
  <c r="V32" i="119"/>
  <c r="G44" i="72"/>
  <c r="V45" i="114"/>
  <c r="M32" i="72"/>
  <c r="V33" i="119"/>
  <c r="G39" i="72"/>
  <c r="V40" i="114"/>
  <c r="N8" i="72"/>
  <c r="V9" i="120"/>
  <c r="K33" i="72"/>
  <c r="V34" i="117"/>
  <c r="I28" i="72"/>
  <c r="V29" i="116"/>
  <c r="M68" i="72"/>
  <c r="V69" i="119"/>
  <c r="N67" i="72"/>
  <c r="V68" i="120"/>
  <c r="G19" i="72"/>
  <c r="V20" i="114"/>
  <c r="N54" i="72"/>
  <c r="V55" i="120"/>
  <c r="N22" i="72"/>
  <c r="V23" i="120"/>
  <c r="K69" i="72"/>
  <c r="V70" i="117"/>
  <c r="N63" i="72"/>
  <c r="V64" i="120"/>
  <c r="F34" i="72"/>
  <c r="V35" i="113"/>
  <c r="F56" i="72"/>
  <c r="V57" i="113"/>
  <c r="F24" i="72"/>
  <c r="V25" i="113"/>
  <c r="F58" i="72"/>
  <c r="V59" i="113"/>
  <c r="F26" i="72"/>
  <c r="V27" i="113"/>
  <c r="G17" i="72"/>
  <c r="V18" i="114"/>
  <c r="N38" i="72"/>
  <c r="V39" i="120"/>
  <c r="F64" i="72"/>
  <c r="V65" i="113"/>
  <c r="N47" i="72"/>
  <c r="V48" i="120"/>
  <c r="G15" i="72"/>
  <c r="V16" i="114"/>
  <c r="K29" i="72"/>
  <c r="V30" i="117"/>
  <c r="I40" i="72"/>
  <c r="V41" i="116"/>
  <c r="M74" i="72"/>
  <c r="V75" i="119"/>
  <c r="N65" i="72"/>
  <c r="V66" i="120"/>
  <c r="F60" i="72"/>
  <c r="V61" i="113"/>
  <c r="I59" i="72"/>
  <c r="V60" i="116"/>
  <c r="K73" i="72"/>
  <c r="V74" i="117"/>
  <c r="K41" i="72"/>
  <c r="V42" i="117"/>
  <c r="M36" i="72"/>
  <c r="V37" i="119"/>
  <c r="L35" i="72"/>
  <c r="V36" i="118"/>
  <c r="I70" i="72"/>
  <c r="V71" i="116"/>
  <c r="N16" i="72"/>
  <c r="V17" i="120"/>
  <c r="G31" i="72"/>
  <c r="V32" i="114"/>
  <c r="G72" i="72"/>
  <c r="V73" i="114"/>
  <c r="K72" i="72"/>
  <c r="V73" i="117"/>
  <c r="L14" i="72"/>
  <c r="V15" i="118"/>
  <c r="F11" i="72"/>
  <c r="V12" i="113"/>
  <c r="I11" i="72"/>
  <c r="V12" i="116"/>
  <c r="K46" i="72"/>
  <c r="V47" i="117"/>
  <c r="F48" i="72"/>
  <c r="V49" i="113"/>
  <c r="F39" i="72"/>
  <c r="V40" i="113"/>
  <c r="N33" i="72"/>
  <c r="V34" i="120"/>
  <c r="K28" i="72"/>
  <c r="V29" i="117"/>
  <c r="N43" i="72"/>
  <c r="V44" i="120"/>
  <c r="F43" i="72"/>
  <c r="V44" i="113"/>
  <c r="L67" i="72"/>
  <c r="V68" i="118"/>
  <c r="N19" i="72"/>
  <c r="V20" i="120"/>
  <c r="K54" i="72"/>
  <c r="V55" i="117"/>
  <c r="L22" i="72"/>
  <c r="V23" i="118"/>
  <c r="F69" i="72"/>
  <c r="V70" i="113"/>
  <c r="F21" i="72"/>
  <c r="V22" i="113"/>
  <c r="F63" i="72"/>
  <c r="V64" i="113"/>
  <c r="K56" i="72"/>
  <c r="V57" i="117"/>
  <c r="L24" i="72"/>
  <c r="V25" i="118"/>
  <c r="G58" i="72"/>
  <c r="V59" i="114"/>
  <c r="N17" i="72"/>
  <c r="V18" i="120"/>
  <c r="K38" i="72"/>
  <c r="V39" i="117"/>
  <c r="L64" i="72"/>
  <c r="V65" i="118"/>
  <c r="M47" i="72"/>
  <c r="V48" i="119"/>
  <c r="T15" i="114"/>
  <c r="U15"/>
  <c r="T12" i="119"/>
  <c r="U12"/>
  <c r="T47" i="118"/>
  <c r="U47"/>
  <c r="G69" i="72"/>
  <c r="V70" i="114"/>
  <c r="I72" i="72"/>
  <c r="V73" i="116"/>
  <c r="F72" i="72"/>
  <c r="V73" i="113"/>
  <c r="I14" i="72"/>
  <c r="V15" i="116"/>
  <c r="F14" i="72"/>
  <c r="V15" i="113"/>
  <c r="K11" i="72"/>
  <c r="V12" i="117"/>
  <c r="N46" i="72"/>
  <c r="V47" i="120"/>
  <c r="M46" i="72"/>
  <c r="V47" i="119"/>
  <c r="I61" i="72"/>
  <c r="V62" i="116"/>
  <c r="G18" i="72"/>
  <c r="V19" i="114"/>
  <c r="K18" i="72"/>
  <c r="V19" i="117"/>
  <c r="G13" i="72"/>
  <c r="V14" i="114"/>
  <c r="K7" i="72"/>
  <c r="V8" i="117"/>
  <c r="L7" i="72"/>
  <c r="V8" i="118"/>
  <c r="L50" i="72"/>
  <c r="V51" i="118"/>
  <c r="G62" i="72"/>
  <c r="V63" i="114"/>
  <c r="K62" i="72"/>
  <c r="V63" i="117"/>
  <c r="L30" i="72"/>
  <c r="V31" i="118"/>
  <c r="F49" i="72"/>
  <c r="V50" i="113"/>
  <c r="N10" i="72"/>
  <c r="V11" i="120"/>
  <c r="M10" i="72"/>
  <c r="V11" i="119"/>
  <c r="M9" i="72"/>
  <c r="V10" i="119"/>
  <c r="M27" i="72"/>
  <c r="V28" i="119"/>
  <c r="G20" i="72"/>
  <c r="V21" i="114"/>
  <c r="N31" i="72"/>
  <c r="V32" i="120"/>
  <c r="K44" i="72"/>
  <c r="V45" i="117"/>
  <c r="G37" i="72"/>
  <c r="V38" i="114"/>
  <c r="N32" i="72"/>
  <c r="V33" i="120"/>
  <c r="M8" i="72"/>
  <c r="V9" i="119"/>
  <c r="L33" i="72"/>
  <c r="V34" i="118"/>
  <c r="F28" i="72"/>
  <c r="V29" i="113"/>
  <c r="G43" i="72"/>
  <c r="V44" i="114"/>
  <c r="N68" i="72"/>
  <c r="V69" i="120"/>
  <c r="K67" i="72"/>
  <c r="V68" i="117"/>
  <c r="M54" i="72"/>
  <c r="V55" i="119"/>
  <c r="M22" i="72"/>
  <c r="V23" i="119"/>
  <c r="N69" i="72"/>
  <c r="V70" i="120"/>
  <c r="G21" i="72"/>
  <c r="V22" i="114"/>
  <c r="K63" i="72"/>
  <c r="V64" i="117"/>
  <c r="I34" i="72"/>
  <c r="V35" i="116"/>
  <c r="I56" i="72"/>
  <c r="V57" i="116"/>
  <c r="I24" i="72"/>
  <c r="V25" i="116"/>
  <c r="I58" i="72"/>
  <c r="V59" i="116"/>
  <c r="I26" i="72"/>
  <c r="V27" i="116"/>
  <c r="M38" i="72"/>
  <c r="V39" i="119"/>
  <c r="M64" i="72"/>
  <c r="V65" i="119"/>
  <c r="N64" i="72"/>
  <c r="V65" i="120"/>
  <c r="K47" i="72"/>
  <c r="V48" i="117"/>
  <c r="L29" i="72"/>
  <c r="V30" i="118"/>
  <c r="F40" i="72"/>
  <c r="V41" i="113"/>
  <c r="I55" i="72"/>
  <c r="V56" i="116"/>
  <c r="N74" i="72"/>
  <c r="V75" i="120"/>
  <c r="K65" i="72"/>
  <c r="V66" i="117"/>
  <c r="I60" i="72"/>
  <c r="V61" i="116"/>
  <c r="N73" i="72"/>
  <c r="V74" i="120"/>
  <c r="G41" i="72"/>
  <c r="V42" i="114"/>
  <c r="G25" i="72"/>
  <c r="V26" i="114"/>
  <c r="N36" i="72"/>
  <c r="V37" i="120"/>
  <c r="F70" i="72"/>
  <c r="V71" i="113"/>
  <c r="I53" i="72"/>
  <c r="V54" i="116"/>
  <c r="M66" i="72"/>
  <c r="V67" i="119"/>
  <c r="M44" i="72"/>
  <c r="V45" i="119"/>
  <c r="M7" i="92"/>
  <c r="M7" i="89"/>
  <c r="O7" i="90"/>
  <c r="M7" i="91"/>
  <c r="M7" i="88"/>
  <c r="M7" i="86"/>
  <c r="M7" i="85"/>
  <c r="O4" i="76"/>
  <c r="N7" i="119"/>
  <c r="O7" s="1"/>
  <c r="N7" i="117"/>
  <c r="O7" s="1"/>
  <c r="N7" i="113"/>
  <c r="O7" s="1"/>
  <c r="O4" i="80"/>
  <c r="N7" i="120"/>
  <c r="O7" s="1"/>
  <c r="N7" i="118"/>
  <c r="O7" s="1"/>
  <c r="N7" i="116"/>
  <c r="O7" s="1"/>
  <c r="N7" i="114"/>
  <c r="O7" s="1"/>
  <c r="F61" i="72"/>
  <c r="V62" i="113"/>
  <c r="I18" i="72"/>
  <c r="V19" i="116"/>
  <c r="F18" i="72"/>
  <c r="F13"/>
  <c r="V14" i="113"/>
  <c r="I13" i="72"/>
  <c r="V14" i="116"/>
  <c r="F7" i="72"/>
  <c r="V8" i="113"/>
  <c r="I7" i="72"/>
  <c r="V8" i="116"/>
  <c r="I50" i="72"/>
  <c r="V51" i="116"/>
  <c r="F50" i="72"/>
  <c r="V51" i="113"/>
  <c r="I62" i="72"/>
  <c r="V63" i="116"/>
  <c r="F62" i="72"/>
  <c r="V63" i="113"/>
  <c r="I30" i="72"/>
  <c r="V31" i="116"/>
  <c r="F30" i="72"/>
  <c r="V31" i="113"/>
  <c r="G10" i="72"/>
  <c r="V11" i="114"/>
  <c r="K10" i="72"/>
  <c r="V11" i="117"/>
  <c r="L8" i="72"/>
  <c r="V9" i="118"/>
  <c r="M33" i="72"/>
  <c r="V34" i="119"/>
  <c r="G28" i="72"/>
  <c r="V29" i="114"/>
  <c r="I43" i="72"/>
  <c r="V44" i="116"/>
  <c r="L68" i="72"/>
  <c r="V69" i="118"/>
  <c r="M67" i="72"/>
  <c r="V68" i="119"/>
  <c r="M19" i="72"/>
  <c r="V20" i="119"/>
  <c r="G54" i="72"/>
  <c r="V55" i="114"/>
  <c r="L69" i="72"/>
  <c r="V70" i="118"/>
  <c r="M15" i="72"/>
  <c r="V16" i="119"/>
  <c r="M29" i="72"/>
  <c r="V30" i="119"/>
  <c r="G40" i="72"/>
  <c r="V41" i="114"/>
  <c r="F55" i="72"/>
  <c r="V56" i="113"/>
  <c r="L65" i="72"/>
  <c r="V66" i="118"/>
  <c r="K60" i="72"/>
  <c r="V61" i="117"/>
  <c r="G59" i="72"/>
  <c r="V60" i="114"/>
  <c r="G73" i="72"/>
  <c r="V74" i="114"/>
  <c r="I41" i="72"/>
  <c r="V42" i="116"/>
  <c r="I25" i="72"/>
  <c r="V26" i="116"/>
  <c r="L36" i="72"/>
  <c r="V37" i="118"/>
  <c r="M35" i="72"/>
  <c r="V36" i="119"/>
  <c r="G53" i="72"/>
  <c r="V54" i="114"/>
  <c r="L16" i="72"/>
  <c r="V17" i="118"/>
  <c r="G66" i="72"/>
  <c r="V67" i="114"/>
  <c r="I52" i="72"/>
  <c r="V53" i="116"/>
  <c r="M12" i="72"/>
  <c r="V13" i="119"/>
  <c r="N57" i="72"/>
  <c r="V58" i="120"/>
  <c r="I51" i="72"/>
  <c r="V52" i="116"/>
  <c r="M45" i="72"/>
  <c r="V46" i="119"/>
  <c r="M71" i="72"/>
  <c r="V72" i="119"/>
  <c r="N23" i="72"/>
  <c r="V24" i="120"/>
  <c r="K42" i="72"/>
  <c r="V43" i="117"/>
  <c r="L49" i="72"/>
  <c r="V50" i="118"/>
  <c r="L12" i="72"/>
  <c r="V13" i="118"/>
  <c r="G57" i="72"/>
  <c r="V58" i="114"/>
  <c r="L51" i="72"/>
  <c r="V52" i="118"/>
  <c r="L45" i="72"/>
  <c r="V46" i="118"/>
  <c r="I71" i="72"/>
  <c r="V72" i="116"/>
  <c r="K23" i="72"/>
  <c r="V24" i="117"/>
  <c r="I42" i="72"/>
  <c r="V43" i="116"/>
  <c r="L27" i="72"/>
  <c r="V28" i="118"/>
  <c r="L32" i="72"/>
  <c r="V33" i="118"/>
  <c r="M49" i="72"/>
  <c r="V50" i="119"/>
  <c r="M57" i="72"/>
  <c r="V58" i="119"/>
  <c r="K45" i="72"/>
  <c r="V46" i="117"/>
  <c r="F42" i="72"/>
  <c r="V43" i="113"/>
  <c r="I21" i="72"/>
  <c r="V22" i="116"/>
  <c r="G63" i="72"/>
  <c r="V64" i="114"/>
  <c r="L34" i="72"/>
  <c r="V35" i="118"/>
  <c r="G56" i="72"/>
  <c r="V57" i="114"/>
  <c r="K58" i="72"/>
  <c r="V59" i="117"/>
  <c r="L26" i="72"/>
  <c r="V27" i="118"/>
  <c r="M17" i="72"/>
  <c r="V18" i="119"/>
  <c r="G38" i="72"/>
  <c r="V39" i="114"/>
  <c r="L47" i="72"/>
  <c r="V48" i="118"/>
  <c r="N15" i="72"/>
  <c r="V16" i="120"/>
  <c r="N29" i="72"/>
  <c r="V30" i="120"/>
  <c r="K40" i="72"/>
  <c r="V41" i="117"/>
  <c r="G55" i="72"/>
  <c r="V56" i="114"/>
  <c r="L74" i="72"/>
  <c r="V75" i="118"/>
  <c r="M65" i="72"/>
  <c r="V66" i="119"/>
  <c r="G60" i="72"/>
  <c r="V61" i="114"/>
  <c r="F59" i="72"/>
  <c r="V60" i="113"/>
  <c r="F73" i="72"/>
  <c r="V74" i="113"/>
  <c r="F41" i="72"/>
  <c r="V42" i="113"/>
  <c r="F25" i="72"/>
  <c r="V26" i="113"/>
  <c r="N35" i="72"/>
  <c r="V36" i="120"/>
  <c r="K70" i="72"/>
  <c r="V71" i="117"/>
  <c r="F53" i="72"/>
  <c r="V54" i="113"/>
  <c r="K66" i="72"/>
  <c r="V67" i="117"/>
  <c r="F52" i="72"/>
  <c r="V53" i="113"/>
  <c r="I49" i="72"/>
  <c r="V50" i="116"/>
  <c r="N12" i="72"/>
  <c r="V13" i="120"/>
  <c r="K57" i="72"/>
  <c r="V58" i="117"/>
  <c r="N45" i="72"/>
  <c r="V46" i="120"/>
  <c r="L71" i="72"/>
  <c r="V72" i="118"/>
  <c r="F71" i="72"/>
  <c r="V72" i="113"/>
  <c r="M23" i="72"/>
  <c r="V24" i="119"/>
  <c r="L52" i="72"/>
  <c r="V53" i="118"/>
  <c r="L57" i="72"/>
  <c r="V58" i="118"/>
  <c r="M51" i="72"/>
  <c r="V52" i="119"/>
  <c r="L23" i="72"/>
  <c r="V24" i="118"/>
  <c r="G9" i="72"/>
  <c r="V10" i="114"/>
  <c r="F20" i="72"/>
  <c r="V21" i="113"/>
  <c r="T15" i="119"/>
  <c r="U15"/>
  <c r="T19" i="118"/>
  <c r="U19"/>
  <c r="T51" i="114"/>
  <c r="U51"/>
  <c r="T31" i="117"/>
  <c r="U31"/>
  <c r="T19" i="120"/>
  <c r="U19"/>
  <c r="T8" i="119"/>
  <c r="U8"/>
  <c r="T63" i="120"/>
  <c r="U63"/>
  <c r="T11" i="118"/>
  <c r="U11"/>
  <c r="T73" i="120"/>
  <c r="U73"/>
  <c r="T15"/>
  <c r="U15"/>
  <c r="T12" i="114"/>
  <c r="U12"/>
  <c r="T47" i="113"/>
  <c r="U47"/>
  <c r="T62" i="120"/>
  <c r="U62"/>
  <c r="T14" i="117"/>
  <c r="U14"/>
  <c r="T8" i="114"/>
  <c r="U8"/>
  <c r="T51" i="117"/>
  <c r="U51"/>
  <c r="T31" i="114"/>
  <c r="U31"/>
  <c r="T11" i="113"/>
  <c r="U11"/>
  <c r="T62" i="118"/>
  <c r="U62"/>
  <c r="T19" i="119"/>
  <c r="U19"/>
  <c r="T14" i="120"/>
  <c r="U14"/>
  <c r="T8"/>
  <c r="U8"/>
  <c r="T51" i="119"/>
  <c r="U51"/>
  <c r="T63"/>
  <c r="U63"/>
  <c r="T31"/>
  <c r="U31"/>
  <c r="S7" i="115"/>
  <c r="Q76"/>
  <c r="AK6" i="72"/>
  <c r="P76" i="115"/>
  <c r="T73" i="118"/>
  <c r="U73"/>
  <c r="T15" i="117"/>
  <c r="U15"/>
  <c r="T12" i="120"/>
  <c r="U12"/>
  <c r="C70" i="31"/>
  <c r="C72" s="1"/>
  <c r="G61" i="72" l="1"/>
  <c r="L11"/>
  <c r="V47" i="114"/>
  <c r="K14" i="72"/>
  <c r="V15" i="117"/>
  <c r="M30" i="72"/>
  <c r="V31" i="119"/>
  <c r="M50" i="72"/>
  <c r="V51" i="119"/>
  <c r="N7" i="72"/>
  <c r="V8" i="120"/>
  <c r="M18" i="72"/>
  <c r="V19" i="119"/>
  <c r="L61" i="72"/>
  <c r="V62" i="118"/>
  <c r="F10" i="72"/>
  <c r="V11" i="113"/>
  <c r="G30" i="72"/>
  <c r="V31" i="114"/>
  <c r="K50" i="72"/>
  <c r="V51" i="117"/>
  <c r="G7" i="72"/>
  <c r="V8" i="114"/>
  <c r="K13" i="72"/>
  <c r="V14" i="117"/>
  <c r="N61" i="72"/>
  <c r="V62" i="120"/>
  <c r="F46" i="72"/>
  <c r="V47" i="113"/>
  <c r="G11" i="72"/>
  <c r="V12" i="114"/>
  <c r="N14" i="72"/>
  <c r="V15" i="120"/>
  <c r="N72" i="72"/>
  <c r="V73" i="120"/>
  <c r="L10" i="72"/>
  <c r="V11" i="118"/>
  <c r="N62" i="72"/>
  <c r="V63" i="120"/>
  <c r="M7" i="72"/>
  <c r="V8" i="119"/>
  <c r="N18" i="72"/>
  <c r="V19" i="120"/>
  <c r="K30" i="72"/>
  <c r="V31" i="117"/>
  <c r="G50" i="72"/>
  <c r="V51" i="114"/>
  <c r="L18" i="72"/>
  <c r="V19" i="118"/>
  <c r="M14" i="72"/>
  <c r="V15" i="119"/>
  <c r="M6" i="100"/>
  <c r="O76" i="116"/>
  <c r="P7"/>
  <c r="Q7" s="1"/>
  <c r="Q6" i="100"/>
  <c r="O76" i="120"/>
  <c r="P7"/>
  <c r="Q7" s="1"/>
  <c r="J6" i="100"/>
  <c r="P7" i="113"/>
  <c r="Q7" s="1"/>
  <c r="O76"/>
  <c r="P6" i="100"/>
  <c r="O76" i="119"/>
  <c r="P7"/>
  <c r="Q7" s="1"/>
  <c r="L46" i="72"/>
  <c r="V47" i="118"/>
  <c r="M11" i="72"/>
  <c r="V12" i="119"/>
  <c r="G14" i="72"/>
  <c r="V15" i="114"/>
  <c r="I10" i="72"/>
  <c r="V11" i="116"/>
  <c r="N30" i="72"/>
  <c r="V31" i="120"/>
  <c r="N50" i="72"/>
  <c r="V51" i="120"/>
  <c r="M13" i="72"/>
  <c r="V14" i="119"/>
  <c r="M61" i="72"/>
  <c r="V62" i="119"/>
  <c r="L62" i="72"/>
  <c r="V63" i="118"/>
  <c r="L13" i="72"/>
  <c r="V14" i="118"/>
  <c r="K61" i="72"/>
  <c r="V62" i="117"/>
  <c r="I46" i="72"/>
  <c r="V47" i="116"/>
  <c r="M72" i="72"/>
  <c r="V73" i="119"/>
  <c r="N11" i="72"/>
  <c r="V12" i="120"/>
  <c r="L72" i="72"/>
  <c r="V73" i="118"/>
  <c r="T7" i="115"/>
  <c r="S76"/>
  <c r="U7"/>
  <c r="U76" s="1"/>
  <c r="M62" i="72"/>
  <c r="V63" i="119"/>
  <c r="N13" i="72"/>
  <c r="V14" i="120"/>
  <c r="K6" i="100"/>
  <c r="O77" i="114"/>
  <c r="P7"/>
  <c r="Q7" s="1"/>
  <c r="O6" i="100"/>
  <c r="P7" i="118"/>
  <c r="Q7" s="1"/>
  <c r="O76"/>
  <c r="N6" i="100"/>
  <c r="O76" i="117"/>
  <c r="P7"/>
  <c r="Q7" s="1"/>
  <c r="F8" i="5"/>
  <c r="D8"/>
  <c r="S7" i="118" l="1"/>
  <c r="Q76"/>
  <c r="AN6" i="72"/>
  <c r="P76" i="118"/>
  <c r="S7" i="114"/>
  <c r="Q77"/>
  <c r="H6" i="72"/>
  <c r="T76" i="115"/>
  <c r="V7"/>
  <c r="V76" s="1"/>
  <c r="P76" i="119"/>
  <c r="AO6" i="72"/>
  <c r="P76" i="120"/>
  <c r="AP6" i="72"/>
  <c r="AL6"/>
  <c r="P76" i="116"/>
  <c r="S7" i="117"/>
  <c r="Q76"/>
  <c r="AM6" i="72"/>
  <c r="P76" i="117"/>
  <c r="AJ6" i="72"/>
  <c r="P77" i="114"/>
  <c r="S7" i="119"/>
  <c r="Q76"/>
  <c r="S7" i="113"/>
  <c r="Q76"/>
  <c r="AI6" i="72"/>
  <c r="P76" i="113"/>
  <c r="S7" i="120"/>
  <c r="Q76"/>
  <c r="S7" i="116"/>
  <c r="Q76"/>
  <c r="B10" i="5"/>
  <c r="F9"/>
  <c r="F10" s="1"/>
  <c r="D9"/>
  <c r="G8"/>
  <c r="S77" i="114" l="1"/>
  <c r="T7"/>
  <c r="U7"/>
  <c r="U77" s="1"/>
  <c r="T7" i="118"/>
  <c r="S76"/>
  <c r="U7"/>
  <c r="U76" s="1"/>
  <c r="T7" i="116"/>
  <c r="S76"/>
  <c r="U7"/>
  <c r="U76" s="1"/>
  <c r="T7" i="120"/>
  <c r="S76"/>
  <c r="U7"/>
  <c r="U76" s="1"/>
  <c r="T7" i="113"/>
  <c r="S76"/>
  <c r="U7"/>
  <c r="U76" s="1"/>
  <c r="T7" i="119"/>
  <c r="S76"/>
  <c r="U7"/>
  <c r="U76" s="1"/>
  <c r="T7" i="117"/>
  <c r="S76"/>
  <c r="U7"/>
  <c r="U76" s="1"/>
  <c r="I8" i="5"/>
  <c r="G9"/>
  <c r="E52" i="81"/>
  <c r="D10" i="5"/>
  <c r="E13" i="81"/>
  <c r="K6" i="72" l="1"/>
  <c r="T76" i="117"/>
  <c r="V7"/>
  <c r="V76" s="1"/>
  <c r="T76" i="113"/>
  <c r="F6" i="72"/>
  <c r="V7" i="113"/>
  <c r="V76" s="1"/>
  <c r="I6" i="72"/>
  <c r="T76" i="116"/>
  <c r="V7"/>
  <c r="V76" s="1"/>
  <c r="M6" i="72"/>
  <c r="T76" i="119"/>
  <c r="V7"/>
  <c r="V76" s="1"/>
  <c r="N6" i="72"/>
  <c r="T76" i="120"/>
  <c r="V7"/>
  <c r="V76" s="1"/>
  <c r="L6" i="72"/>
  <c r="T76" i="118"/>
  <c r="V7"/>
  <c r="V76" s="1"/>
  <c r="G6" i="72"/>
  <c r="T77" i="114"/>
  <c r="V7"/>
  <c r="V77" s="1"/>
  <c r="I9" i="5"/>
  <c r="J9" s="1"/>
  <c r="E53" i="81"/>
  <c r="G53" s="1"/>
  <c r="G10" i="5"/>
  <c r="J8"/>
  <c r="G52" i="81"/>
  <c r="H52"/>
  <c r="H13"/>
  <c r="E19"/>
  <c r="G13"/>
  <c r="J10" i="5" l="1"/>
  <c r="I10"/>
  <c r="E51" i="81"/>
  <c r="H53"/>
  <c r="H19"/>
  <c r="G19"/>
  <c r="G51" l="1"/>
  <c r="H51"/>
  <c r="K76" i="98" l="1"/>
  <c r="M76"/>
  <c r="L7"/>
  <c r="N7" l="1"/>
  <c r="N76" s="1"/>
  <c r="AC6" i="72"/>
  <c r="L76" i="98"/>
  <c r="G75" i="100" l="1"/>
  <c r="AC75" i="72"/>
  <c r="N63" i="87" l="1"/>
  <c r="N12"/>
  <c r="N47"/>
  <c r="N65"/>
  <c r="N21"/>
  <c r="N25"/>
  <c r="N62"/>
  <c r="N17"/>
  <c r="N19"/>
  <c r="N49"/>
  <c r="N10"/>
  <c r="N53"/>
  <c r="N73"/>
  <c r="N18"/>
  <c r="N14"/>
  <c r="N11"/>
  <c r="N31"/>
  <c r="N16"/>
  <c r="N48"/>
  <c r="N39"/>
  <c r="N28"/>
  <c r="N27"/>
  <c r="N43"/>
  <c r="N59"/>
  <c r="N24"/>
  <c r="N8"/>
  <c r="N35"/>
  <c r="N67"/>
  <c r="N64"/>
  <c r="N33"/>
  <c r="N22"/>
  <c r="N38"/>
  <c r="N70"/>
  <c r="N55"/>
  <c r="N71"/>
  <c r="N20"/>
  <c r="N36"/>
  <c r="N68"/>
  <c r="N37"/>
  <c r="N69"/>
  <c r="N26"/>
  <c r="N74"/>
  <c r="N13"/>
  <c r="N44"/>
  <c r="N60"/>
  <c r="N29"/>
  <c r="N61"/>
  <c r="N34"/>
  <c r="N66"/>
  <c r="N9"/>
  <c r="N75"/>
  <c r="N40"/>
  <c r="N56"/>
  <c r="N72"/>
  <c r="N41"/>
  <c r="N57"/>
  <c r="N30"/>
  <c r="N46"/>
  <c r="O41" l="1"/>
  <c r="V40" i="100"/>
  <c r="O61" i="87"/>
  <c r="V60" i="100"/>
  <c r="O37" i="87"/>
  <c r="V36" i="100"/>
  <c r="O35" i="87"/>
  <c r="V34" i="100"/>
  <c r="O14" i="87"/>
  <c r="V13" i="100"/>
  <c r="O47" i="87"/>
  <c r="V46" i="100"/>
  <c r="O72" i="87"/>
  <c r="V71" i="100"/>
  <c r="O9" i="87"/>
  <c r="V8" i="100"/>
  <c r="O29" i="87"/>
  <c r="V28" i="100"/>
  <c r="O74" i="87"/>
  <c r="V73" i="100"/>
  <c r="O68" i="87"/>
  <c r="V67" i="100"/>
  <c r="O55" i="87"/>
  <c r="V54" i="100"/>
  <c r="O33" i="87"/>
  <c r="V32" i="100"/>
  <c r="O8" i="87"/>
  <c r="V7" i="100"/>
  <c r="O27" i="87"/>
  <c r="V26" i="100"/>
  <c r="O16" i="87"/>
  <c r="V15" i="100"/>
  <c r="O18" i="87"/>
  <c r="V17" i="100"/>
  <c r="O49" i="87"/>
  <c r="V48" i="100"/>
  <c r="O25" i="87"/>
  <c r="V24" i="100"/>
  <c r="O12" i="87"/>
  <c r="V11" i="100"/>
  <c r="O75" i="87"/>
  <c r="V74" i="100"/>
  <c r="O71" i="87"/>
  <c r="V70" i="100"/>
  <c r="O43" i="87"/>
  <c r="V42" i="100"/>
  <c r="O48" i="87"/>
  <c r="V47" i="100"/>
  <c r="O62" i="87"/>
  <c r="V61" i="100"/>
  <c r="O46" i="87"/>
  <c r="V45" i="100"/>
  <c r="O30" i="87"/>
  <c r="V29" i="100"/>
  <c r="O56" i="87"/>
  <c r="V55" i="100"/>
  <c r="O66" i="87"/>
  <c r="V65" i="100"/>
  <c r="O60" i="87"/>
  <c r="V59" i="100"/>
  <c r="O26" i="87"/>
  <c r="V25" i="100"/>
  <c r="O36" i="87"/>
  <c r="V35" i="100"/>
  <c r="O70" i="87"/>
  <c r="V69" i="100"/>
  <c r="O64" i="87"/>
  <c r="V63" i="100"/>
  <c r="O24" i="87"/>
  <c r="V23" i="100"/>
  <c r="O28" i="87"/>
  <c r="V27" i="100"/>
  <c r="O31" i="87"/>
  <c r="V30" i="100"/>
  <c r="O73" i="87"/>
  <c r="V72" i="100"/>
  <c r="O19" i="87"/>
  <c r="V18" i="100"/>
  <c r="O21" i="87"/>
  <c r="V20" i="100"/>
  <c r="O63" i="87"/>
  <c r="V62" i="100"/>
  <c r="O13" i="87"/>
  <c r="V12" i="100"/>
  <c r="O22" i="87"/>
  <c r="V21" i="100"/>
  <c r="O10" i="87"/>
  <c r="V9" i="100"/>
  <c r="O57" i="87"/>
  <c r="V56" i="100"/>
  <c r="O40" i="87"/>
  <c r="V39" i="100"/>
  <c r="O34" i="87"/>
  <c r="V33" i="100"/>
  <c r="O44" i="87"/>
  <c r="V43" i="100"/>
  <c r="O69" i="87"/>
  <c r="V68" i="100"/>
  <c r="O20" i="87"/>
  <c r="V19" i="100"/>
  <c r="O38" i="87"/>
  <c r="V37" i="100"/>
  <c r="O67" i="87"/>
  <c r="V66" i="100"/>
  <c r="O59" i="87"/>
  <c r="V58" i="100"/>
  <c r="O39" i="87"/>
  <c r="V38" i="100"/>
  <c r="O11" i="87"/>
  <c r="V10" i="100"/>
  <c r="O53" i="87"/>
  <c r="V52" i="100"/>
  <c r="O17" i="87"/>
  <c r="V16" i="100"/>
  <c r="O65" i="87"/>
  <c r="V64" i="100"/>
  <c r="N58" i="87"/>
  <c r="Q13" i="46"/>
  <c r="Q14"/>
  <c r="Q16"/>
  <c r="Q17"/>
  <c r="N23" i="87"/>
  <c r="Q10" i="46"/>
  <c r="Q11"/>
  <c r="Q12"/>
  <c r="Q29"/>
  <c r="N15" i="87"/>
  <c r="Q28" i="46"/>
  <c r="N32" i="87"/>
  <c r="N45"/>
  <c r="Q23" i="46"/>
  <c r="H44" i="100" s="1"/>
  <c r="N50" i="87"/>
  <c r="N42"/>
  <c r="N54"/>
  <c r="N51"/>
  <c r="N52"/>
  <c r="Q35" i="46"/>
  <c r="H51" i="100" s="1"/>
  <c r="N7" i="87"/>
  <c r="V6" i="100" s="1"/>
  <c r="P65" i="87" l="1"/>
  <c r="R65" s="1"/>
  <c r="AU64" i="72"/>
  <c r="P39" i="87"/>
  <c r="R39" s="1"/>
  <c r="S39" s="1"/>
  <c r="AU38" i="72"/>
  <c r="P67" i="87"/>
  <c r="R67" s="1"/>
  <c r="AU66" i="72"/>
  <c r="P44" i="87"/>
  <c r="R44" s="1"/>
  <c r="S44" s="1"/>
  <c r="AU43" i="72"/>
  <c r="P40" i="87"/>
  <c r="R40" s="1"/>
  <c r="AU39" i="72"/>
  <c r="P13" i="87"/>
  <c r="R13" s="1"/>
  <c r="S13" s="1"/>
  <c r="AU12" i="72"/>
  <c r="P21" i="87"/>
  <c r="R21" s="1"/>
  <c r="AU20" i="72"/>
  <c r="P28" i="87"/>
  <c r="R28" s="1"/>
  <c r="S28" s="1"/>
  <c r="AU27" i="72"/>
  <c r="P36" i="87"/>
  <c r="R36" s="1"/>
  <c r="AU35" i="72"/>
  <c r="P60" i="87"/>
  <c r="R60" s="1"/>
  <c r="S60" s="1"/>
  <c r="AU59" i="72"/>
  <c r="P46" i="87"/>
  <c r="R46" s="1"/>
  <c r="AU45" i="72"/>
  <c r="P71" i="87"/>
  <c r="R71" s="1"/>
  <c r="S71" s="1"/>
  <c r="AU70" i="72"/>
  <c r="P12" i="87"/>
  <c r="R12" s="1"/>
  <c r="AU11" i="72"/>
  <c r="P16" i="87"/>
  <c r="R16" s="1"/>
  <c r="T16" s="1"/>
  <c r="AU15" i="72"/>
  <c r="P55" i="87"/>
  <c r="R55" s="1"/>
  <c r="AU54" i="72"/>
  <c r="P74" i="87"/>
  <c r="R74" s="1"/>
  <c r="T74" s="1"/>
  <c r="AU73" i="72"/>
  <c r="P47" i="87"/>
  <c r="R47" s="1"/>
  <c r="AU46" i="72"/>
  <c r="P35" i="87"/>
  <c r="R35" s="1"/>
  <c r="T35" s="1"/>
  <c r="AU34" i="72"/>
  <c r="P53" i="87"/>
  <c r="R53" s="1"/>
  <c r="AU52" i="72"/>
  <c r="P20" i="87"/>
  <c r="R20" s="1"/>
  <c r="S20" s="1"/>
  <c r="AU19" i="72"/>
  <c r="P10" i="87"/>
  <c r="R10" s="1"/>
  <c r="AU9" i="72"/>
  <c r="P73" i="87"/>
  <c r="R73" s="1"/>
  <c r="S73" s="1"/>
  <c r="AU72" i="72"/>
  <c r="P64" i="87"/>
  <c r="R64" s="1"/>
  <c r="AU63" i="72"/>
  <c r="P56" i="87"/>
  <c r="R56" s="1"/>
  <c r="T56" s="1"/>
  <c r="AU55" i="72"/>
  <c r="P48" i="87"/>
  <c r="R48" s="1"/>
  <c r="AU47" i="72"/>
  <c r="P49" i="87"/>
  <c r="R49" s="1"/>
  <c r="T49" s="1"/>
  <c r="AU48" i="72"/>
  <c r="P8" i="87"/>
  <c r="R8" s="1"/>
  <c r="S8" s="1"/>
  <c r="AU7" i="72"/>
  <c r="P9" i="87"/>
  <c r="R9" s="1"/>
  <c r="T9" s="1"/>
  <c r="AU8" i="72"/>
  <c r="P61" i="87"/>
  <c r="R61" s="1"/>
  <c r="AU60" i="72"/>
  <c r="P17" i="87"/>
  <c r="R17" s="1"/>
  <c r="T17" s="1"/>
  <c r="AU16" i="72"/>
  <c r="P11" i="87"/>
  <c r="R11" s="1"/>
  <c r="S11" s="1"/>
  <c r="AU10" i="72"/>
  <c r="P59" i="87"/>
  <c r="R59" s="1"/>
  <c r="S59" s="1"/>
  <c r="AU58" i="72"/>
  <c r="P38" i="87"/>
  <c r="R38" s="1"/>
  <c r="S38" s="1"/>
  <c r="AU37" i="72"/>
  <c r="P69" i="87"/>
  <c r="R69" s="1"/>
  <c r="S69" s="1"/>
  <c r="AU68" i="72"/>
  <c r="P34" i="87"/>
  <c r="R34" s="1"/>
  <c r="S34" s="1"/>
  <c r="AU33" i="72"/>
  <c r="P57" i="87"/>
  <c r="R57" s="1"/>
  <c r="T57" s="1"/>
  <c r="AU56" i="72"/>
  <c r="P22" i="87"/>
  <c r="R22" s="1"/>
  <c r="T22" s="1"/>
  <c r="AU21" i="72"/>
  <c r="P63" i="87"/>
  <c r="R63" s="1"/>
  <c r="T63" s="1"/>
  <c r="AU62" i="72"/>
  <c r="P19" i="87"/>
  <c r="R19" s="1"/>
  <c r="S19" s="1"/>
  <c r="AU18" i="72"/>
  <c r="P31" i="87"/>
  <c r="R31" s="1"/>
  <c r="T31" s="1"/>
  <c r="AU30" i="72"/>
  <c r="P24" i="87"/>
  <c r="R24" s="1"/>
  <c r="T24" s="1"/>
  <c r="AU23" i="72"/>
  <c r="P70" i="87"/>
  <c r="R70" s="1"/>
  <c r="T70" s="1"/>
  <c r="AU69" i="72"/>
  <c r="P26" i="87"/>
  <c r="R26" s="1"/>
  <c r="T26" s="1"/>
  <c r="AU25" i="72"/>
  <c r="P66" i="87"/>
  <c r="R66" s="1"/>
  <c r="T66" s="1"/>
  <c r="AU65" i="72"/>
  <c r="P30" i="87"/>
  <c r="R30" s="1"/>
  <c r="T30" s="1"/>
  <c r="AU29" i="72"/>
  <c r="P62" i="87"/>
  <c r="R62" s="1"/>
  <c r="S62" s="1"/>
  <c r="AU61" i="72"/>
  <c r="P43" i="87"/>
  <c r="R43" s="1"/>
  <c r="T43" s="1"/>
  <c r="AU42" i="72"/>
  <c r="P75" i="87"/>
  <c r="R75" s="1"/>
  <c r="T75" s="1"/>
  <c r="AU74" i="72"/>
  <c r="P25" i="87"/>
  <c r="R25" s="1"/>
  <c r="S25" s="1"/>
  <c r="AU24" i="72"/>
  <c r="P18" i="87"/>
  <c r="R18" s="1"/>
  <c r="T18" s="1"/>
  <c r="AU17" i="72"/>
  <c r="P27" i="87"/>
  <c r="R27" s="1"/>
  <c r="S27" s="1"/>
  <c r="AU26" i="72"/>
  <c r="P33" i="87"/>
  <c r="R33" s="1"/>
  <c r="S33" s="1"/>
  <c r="AU32" i="72"/>
  <c r="P68" i="87"/>
  <c r="R68" s="1"/>
  <c r="S68" s="1"/>
  <c r="AU67" i="72"/>
  <c r="P29" i="87"/>
  <c r="R29" s="1"/>
  <c r="S29" s="1"/>
  <c r="AU28" i="72"/>
  <c r="P72" i="87"/>
  <c r="R72" s="1"/>
  <c r="S72" s="1"/>
  <c r="AU71" i="72"/>
  <c r="P14" i="87"/>
  <c r="R14" s="1"/>
  <c r="T14" s="1"/>
  <c r="AU13" i="72"/>
  <c r="P37" i="87"/>
  <c r="R37" s="1"/>
  <c r="S37" s="1"/>
  <c r="AU36" i="72"/>
  <c r="P41" i="87"/>
  <c r="R41" s="1"/>
  <c r="S41" s="1"/>
  <c r="AU40" i="72"/>
  <c r="U16" i="46"/>
  <c r="W16" s="1"/>
  <c r="X16" s="1"/>
  <c r="Z16" s="1"/>
  <c r="S65" i="87"/>
  <c r="T65"/>
  <c r="O52"/>
  <c r="V51" i="100"/>
  <c r="S30" i="87"/>
  <c r="S46"/>
  <c r="T46"/>
  <c r="S53"/>
  <c r="T53"/>
  <c r="O50"/>
  <c r="V49" i="100"/>
  <c r="O15" i="87"/>
  <c r="V14" i="100"/>
  <c r="T71" i="87"/>
  <c r="O58"/>
  <c r="V57" i="100"/>
  <c r="S22" i="87"/>
  <c r="O54"/>
  <c r="V53" i="100"/>
  <c r="S24" i="87"/>
  <c r="T38"/>
  <c r="T44"/>
  <c r="S48"/>
  <c r="T48"/>
  <c r="S55"/>
  <c r="T55"/>
  <c r="T37"/>
  <c r="O51"/>
  <c r="V50" i="100"/>
  <c r="T34" i="87"/>
  <c r="T19"/>
  <c r="S10"/>
  <c r="T10"/>
  <c r="T73"/>
  <c r="O32"/>
  <c r="V31" i="100"/>
  <c r="S67" i="87"/>
  <c r="T67"/>
  <c r="S36"/>
  <c r="T36"/>
  <c r="S61"/>
  <c r="T61"/>
  <c r="T72"/>
  <c r="S21"/>
  <c r="T21"/>
  <c r="O45"/>
  <c r="V44" i="100"/>
  <c r="O23" i="87"/>
  <c r="V22" i="100"/>
  <c r="S12" i="87"/>
  <c r="T12"/>
  <c r="T28"/>
  <c r="S64"/>
  <c r="T64"/>
  <c r="T20"/>
  <c r="S26"/>
  <c r="T60"/>
  <c r="S40"/>
  <c r="T40"/>
  <c r="S47"/>
  <c r="T47"/>
  <c r="O42"/>
  <c r="V41" i="100"/>
  <c r="T39" i="87"/>
  <c r="S43"/>
  <c r="T33"/>
  <c r="T13"/>
  <c r="O7"/>
  <c r="AU6" i="72" s="1"/>
  <c r="N76" i="87"/>
  <c r="N18" i="89"/>
  <c r="N18" i="85"/>
  <c r="T17" i="100" s="1"/>
  <c r="N18" i="91"/>
  <c r="N18" i="86"/>
  <c r="N18" i="92"/>
  <c r="N18" i="88"/>
  <c r="P15" i="76"/>
  <c r="R17" i="100" s="1"/>
  <c r="P15" i="80"/>
  <c r="S17" i="100" s="1"/>
  <c r="N17" i="92"/>
  <c r="P14" i="76"/>
  <c r="R16" i="100" s="1"/>
  <c r="N17" i="86"/>
  <c r="N17" i="85"/>
  <c r="T16" i="100" s="1"/>
  <c r="N17" i="88"/>
  <c r="N17" i="89"/>
  <c r="N17" i="91"/>
  <c r="P14" i="80"/>
  <c r="S16" i="100" s="1"/>
  <c r="N19" i="91"/>
  <c r="P16" i="80"/>
  <c r="S18" i="100" s="1"/>
  <c r="N19" i="92"/>
  <c r="P16" i="76"/>
  <c r="R18" i="100" s="1"/>
  <c r="N19" i="86"/>
  <c r="N19" i="85"/>
  <c r="T18" i="100" s="1"/>
  <c r="N19" i="88"/>
  <c r="N19" i="89"/>
  <c r="N31" i="92"/>
  <c r="P28" i="76"/>
  <c r="R30" i="100" s="1"/>
  <c r="N31" i="86"/>
  <c r="N31" i="85"/>
  <c r="T30" i="100" s="1"/>
  <c r="N31" i="88"/>
  <c r="N31" i="89"/>
  <c r="N31" i="91"/>
  <c r="P28" i="80"/>
  <c r="S30" i="100" s="1"/>
  <c r="N14" i="91"/>
  <c r="N14" i="86"/>
  <c r="N14" i="92"/>
  <c r="N14" i="88"/>
  <c r="P11" i="76"/>
  <c r="R13" i="100" s="1"/>
  <c r="P11" i="80"/>
  <c r="S13" i="100" s="1"/>
  <c r="N14" i="89"/>
  <c r="N14" i="85"/>
  <c r="T13" i="100" s="1"/>
  <c r="N50" i="89"/>
  <c r="N50" i="86"/>
  <c r="N50" i="91"/>
  <c r="N50" i="88"/>
  <c r="N50" i="92"/>
  <c r="P47" i="76"/>
  <c r="R49" i="100" s="1"/>
  <c r="N50" i="85"/>
  <c r="T49" i="100" s="1"/>
  <c r="P47" i="80"/>
  <c r="S49" i="100" s="1"/>
  <c r="AG44" i="72"/>
  <c r="U28" i="46"/>
  <c r="Q30"/>
  <c r="H14" i="100" s="1"/>
  <c r="R29" i="46"/>
  <c r="S29"/>
  <c r="S30" s="1"/>
  <c r="AG14" i="72" s="1"/>
  <c r="Y16" i="46"/>
  <c r="N47" i="92"/>
  <c r="P44" i="76"/>
  <c r="R46" i="100" s="1"/>
  <c r="N47" i="86"/>
  <c r="N47" i="85"/>
  <c r="T46" i="100" s="1"/>
  <c r="N47" i="88"/>
  <c r="N47" i="89"/>
  <c r="N47" i="91"/>
  <c r="P44" i="80"/>
  <c r="S46" i="100" s="1"/>
  <c r="N63" i="91"/>
  <c r="P60" i="80"/>
  <c r="S62" i="100" s="1"/>
  <c r="N63" i="92"/>
  <c r="P60" i="76"/>
  <c r="R62" i="100" s="1"/>
  <c r="N63" i="86"/>
  <c r="N63" i="85"/>
  <c r="T62" i="100" s="1"/>
  <c r="N63" i="88"/>
  <c r="N63" i="89"/>
  <c r="N65" i="88"/>
  <c r="N65" i="89"/>
  <c r="N65" i="91"/>
  <c r="P62" i="80"/>
  <c r="S64" i="100" s="1"/>
  <c r="N65" i="92"/>
  <c r="P62" i="76"/>
  <c r="R64" i="100" s="1"/>
  <c r="N65" i="86"/>
  <c r="N65" i="85"/>
  <c r="T64" i="100" s="1"/>
  <c r="N12" i="89"/>
  <c r="N12" i="85"/>
  <c r="T11" i="100" s="1"/>
  <c r="N12" i="91"/>
  <c r="N12" i="86"/>
  <c r="N12" i="92"/>
  <c r="N12" i="88"/>
  <c r="P9" i="76"/>
  <c r="R11" i="100" s="1"/>
  <c r="P9" i="80"/>
  <c r="S11" i="100" s="1"/>
  <c r="N54" i="85"/>
  <c r="T53" i="100" s="1"/>
  <c r="P51" i="80"/>
  <c r="S53" i="100" s="1"/>
  <c r="N54" i="89"/>
  <c r="N54" i="86"/>
  <c r="N54" i="91"/>
  <c r="N54" i="88"/>
  <c r="N54" i="92"/>
  <c r="P51" i="76"/>
  <c r="R53" i="100" s="1"/>
  <c r="N49" i="91"/>
  <c r="P46" i="80"/>
  <c r="S48" i="100" s="1"/>
  <c r="N49" i="92"/>
  <c r="P46" i="76"/>
  <c r="R48" i="100" s="1"/>
  <c r="N49" i="86"/>
  <c r="N49" i="85"/>
  <c r="T48" i="100" s="1"/>
  <c r="N49" i="88"/>
  <c r="N49" i="89"/>
  <c r="N21" i="88"/>
  <c r="N21" i="89"/>
  <c r="N21" i="91"/>
  <c r="P18" i="80"/>
  <c r="S20" i="100" s="1"/>
  <c r="N21" i="92"/>
  <c r="P18" i="76"/>
  <c r="R20" i="100" s="1"/>
  <c r="N21" i="86"/>
  <c r="N21" i="85"/>
  <c r="T20" i="100" s="1"/>
  <c r="N10" i="89"/>
  <c r="N10" i="85"/>
  <c r="T9" i="100" s="1"/>
  <c r="N10" i="91"/>
  <c r="N10" i="86"/>
  <c r="N10" i="92"/>
  <c r="N10" i="88"/>
  <c r="P7" i="76"/>
  <c r="R9" i="100" s="1"/>
  <c r="P7" i="80"/>
  <c r="S9" i="100" s="1"/>
  <c r="P39" i="80"/>
  <c r="S41" i="100" s="1"/>
  <c r="N42" i="92"/>
  <c r="N42" i="88"/>
  <c r="P39" i="76"/>
  <c r="R41" i="100" s="1"/>
  <c r="N42" i="91"/>
  <c r="N42" i="86"/>
  <c r="N42" i="89"/>
  <c r="N42" i="85"/>
  <c r="T41" i="100" s="1"/>
  <c r="N53" i="88"/>
  <c r="N53" i="89"/>
  <c r="N53" i="91"/>
  <c r="P50" i="80"/>
  <c r="S52" i="100" s="1"/>
  <c r="N53" i="92"/>
  <c r="P50" i="76"/>
  <c r="R52" i="100" s="1"/>
  <c r="N53" i="86"/>
  <c r="N53" i="85"/>
  <c r="T52" i="100" s="1"/>
  <c r="N25" i="86"/>
  <c r="N25" i="85"/>
  <c r="T24" i="100" s="1"/>
  <c r="N25" i="88"/>
  <c r="N25" i="89"/>
  <c r="N25" i="91"/>
  <c r="P22" i="80"/>
  <c r="S24" i="100" s="1"/>
  <c r="N25" i="92"/>
  <c r="P22" i="76"/>
  <c r="R24" i="100" s="1"/>
  <c r="N73" i="92"/>
  <c r="P70" i="76"/>
  <c r="R72" i="100" s="1"/>
  <c r="N73" i="91"/>
  <c r="N73" i="88"/>
  <c r="N73" i="89"/>
  <c r="P70" i="80"/>
  <c r="S72" i="100" s="1"/>
  <c r="N73" i="86"/>
  <c r="N73" i="85"/>
  <c r="T72" i="100" s="1"/>
  <c r="N62" i="91"/>
  <c r="N62" i="88"/>
  <c r="N62" i="89"/>
  <c r="N62" i="86"/>
  <c r="N62" i="85"/>
  <c r="P59" i="80"/>
  <c r="S61" i="100" s="1"/>
  <c r="N62" i="92"/>
  <c r="P59" i="76"/>
  <c r="R61" i="100" s="1"/>
  <c r="N11" i="88"/>
  <c r="N11" i="89"/>
  <c r="N11" i="91"/>
  <c r="P8" i="80"/>
  <c r="S10" i="100" s="1"/>
  <c r="N11" i="92"/>
  <c r="P8" i="76"/>
  <c r="R10" i="100" s="1"/>
  <c r="N11" i="86"/>
  <c r="N11" i="85"/>
  <c r="T10" i="100" s="1"/>
  <c r="U35" i="46"/>
  <c r="W35" s="1"/>
  <c r="Q18"/>
  <c r="H22" i="100" s="1"/>
  <c r="S17" i="46"/>
  <c r="R17"/>
  <c r="T68" i="87" l="1"/>
  <c r="T25"/>
  <c r="T11"/>
  <c r="T8"/>
  <c r="T69"/>
  <c r="T41"/>
  <c r="T29"/>
  <c r="T27"/>
  <c r="T59"/>
  <c r="T62"/>
  <c r="U29"/>
  <c r="S28" i="72"/>
  <c r="U59" i="87"/>
  <c r="S58" i="72"/>
  <c r="U20" i="87"/>
  <c r="S19" i="72"/>
  <c r="U71" i="87"/>
  <c r="S70" i="72"/>
  <c r="U60" i="87"/>
  <c r="S59" i="72"/>
  <c r="U28" i="87"/>
  <c r="S27" i="72"/>
  <c r="U13" i="87"/>
  <c r="S12" i="72"/>
  <c r="U39" i="87"/>
  <c r="S38" i="72"/>
  <c r="U72" i="87"/>
  <c r="S71" i="72"/>
  <c r="U27" i="87"/>
  <c r="S26" i="72"/>
  <c r="U41" i="87"/>
  <c r="S40" i="72"/>
  <c r="U33" i="87"/>
  <c r="S32" i="72"/>
  <c r="U62" i="87"/>
  <c r="S61" i="72"/>
  <c r="U69" i="87"/>
  <c r="S68" i="72"/>
  <c r="U73" i="87"/>
  <c r="S72" i="72"/>
  <c r="U44" i="87"/>
  <c r="S43" i="72"/>
  <c r="U37" i="87"/>
  <c r="S36" i="72"/>
  <c r="U68" i="87"/>
  <c r="S67" i="72"/>
  <c r="U25" i="87"/>
  <c r="S24" i="72"/>
  <c r="U38" i="87"/>
  <c r="S37" i="72"/>
  <c r="U11" i="87"/>
  <c r="S10" i="72"/>
  <c r="U8" i="87"/>
  <c r="S7" i="72"/>
  <c r="U40" i="87"/>
  <c r="S39" i="72"/>
  <c r="U12" i="87"/>
  <c r="S11" i="72"/>
  <c r="P23" i="87"/>
  <c r="R23" s="1"/>
  <c r="AU22" i="72"/>
  <c r="U61" i="87"/>
  <c r="S60" i="72"/>
  <c r="P32" i="87"/>
  <c r="R32" s="1"/>
  <c r="AU31" i="72"/>
  <c r="U34" i="87"/>
  <c r="S33" i="72"/>
  <c r="P51" i="87"/>
  <c r="R51" s="1"/>
  <c r="AU50" i="72"/>
  <c r="U48" i="87"/>
  <c r="S47" i="72"/>
  <c r="U24" i="87"/>
  <c r="S23" i="72"/>
  <c r="P15" i="87"/>
  <c r="R15" s="1"/>
  <c r="T15" s="1"/>
  <c r="AU14" i="72"/>
  <c r="U53" i="87"/>
  <c r="S52" i="72"/>
  <c r="P52" i="87"/>
  <c r="R52" s="1"/>
  <c r="T52" s="1"/>
  <c r="AU51" i="72"/>
  <c r="U65" i="87"/>
  <c r="S64" i="72"/>
  <c r="S57" i="87"/>
  <c r="U43"/>
  <c r="S42" i="72"/>
  <c r="S18" i="87"/>
  <c r="U47"/>
  <c r="S46" i="72"/>
  <c r="S56" i="87"/>
  <c r="U26"/>
  <c r="S25" i="72"/>
  <c r="U64" i="87"/>
  <c r="S63" i="72"/>
  <c r="S14" i="87"/>
  <c r="P45"/>
  <c r="R45" s="1"/>
  <c r="AU44" i="72"/>
  <c r="S9" i="87"/>
  <c r="U67"/>
  <c r="S66" i="72"/>
  <c r="S31" i="87"/>
  <c r="U10"/>
  <c r="S9" i="72"/>
  <c r="S63" i="87"/>
  <c r="S75"/>
  <c r="S35"/>
  <c r="S17"/>
  <c r="P54"/>
  <c r="R54" s="1"/>
  <c r="AU53" i="72"/>
  <c r="S74" i="87"/>
  <c r="P58"/>
  <c r="R58" s="1"/>
  <c r="S58" s="1"/>
  <c r="AU57" i="72"/>
  <c r="P50" i="87"/>
  <c r="R50" s="1"/>
  <c r="AU49" i="72"/>
  <c r="S49" i="87"/>
  <c r="U46"/>
  <c r="S45" i="72"/>
  <c r="S66" i="87"/>
  <c r="S70"/>
  <c r="S16"/>
  <c r="P42"/>
  <c r="R42" s="1"/>
  <c r="AU41" i="72"/>
  <c r="AU75" s="1"/>
  <c r="U21" i="87"/>
  <c r="S20" i="72"/>
  <c r="U36" i="87"/>
  <c r="S35" i="72"/>
  <c r="U19" i="87"/>
  <c r="S18" i="72"/>
  <c r="U55" i="87"/>
  <c r="S54" i="72"/>
  <c r="U22" i="87"/>
  <c r="S21" i="72"/>
  <c r="U30" i="87"/>
  <c r="S29" i="72"/>
  <c r="V75" i="100"/>
  <c r="O76" i="87"/>
  <c r="O11" i="88"/>
  <c r="W10" i="100"/>
  <c r="O25" i="91"/>
  <c r="Y24" i="100"/>
  <c r="O42" i="89"/>
  <c r="X41" i="100"/>
  <c r="O49" i="88"/>
  <c r="W48" i="100"/>
  <c r="O63" i="88"/>
  <c r="W62" i="100"/>
  <c r="O47" i="92"/>
  <c r="Z46" i="100"/>
  <c r="O50" i="91"/>
  <c r="Y49" i="100"/>
  <c r="O19" i="86"/>
  <c r="U18" i="100"/>
  <c r="O17" i="86"/>
  <c r="U16" i="100"/>
  <c r="O11" i="86"/>
  <c r="U10" i="100"/>
  <c r="O62" i="85"/>
  <c r="T61" i="100"/>
  <c r="O73" i="91"/>
  <c r="Y72" i="100"/>
  <c r="O25" i="86"/>
  <c r="U24" i="100"/>
  <c r="O53" i="92"/>
  <c r="Z52" i="100"/>
  <c r="O53" i="89"/>
  <c r="X52" i="100"/>
  <c r="O10" i="92"/>
  <c r="Z9" i="100"/>
  <c r="O10" i="89"/>
  <c r="X9" i="100"/>
  <c r="O21" i="92"/>
  <c r="Z20" i="100"/>
  <c r="O21" i="89"/>
  <c r="X20" i="100"/>
  <c r="O54" i="86"/>
  <c r="U53" i="100"/>
  <c r="O12" i="92"/>
  <c r="Z11" i="100"/>
  <c r="O12" i="89"/>
  <c r="X11" i="100"/>
  <c r="O65" i="92"/>
  <c r="Z64" i="100"/>
  <c r="O65" i="89"/>
  <c r="X64" i="100"/>
  <c r="O47" i="91"/>
  <c r="Y46" i="100"/>
  <c r="S52" i="87"/>
  <c r="O50" i="86"/>
  <c r="U49" i="100"/>
  <c r="O14" i="92"/>
  <c r="Z13" i="100"/>
  <c r="O31" i="91"/>
  <c r="Y30" i="100"/>
  <c r="O19" i="89"/>
  <c r="X18" i="100"/>
  <c r="O17" i="89"/>
  <c r="X16" i="100"/>
  <c r="O18" i="91"/>
  <c r="Y17" i="100"/>
  <c r="S45" i="87"/>
  <c r="T45"/>
  <c r="O73" i="92"/>
  <c r="Z72" i="100"/>
  <c r="O42" i="92"/>
  <c r="Z41" i="100"/>
  <c r="O49" i="92"/>
  <c r="Z48" i="100"/>
  <c r="O12" i="88"/>
  <c r="W11" i="100"/>
  <c r="S51" i="87"/>
  <c r="T51"/>
  <c r="O14" i="89"/>
  <c r="X13" i="100"/>
  <c r="O31" i="92"/>
  <c r="Z30" i="100"/>
  <c r="S50" i="87"/>
  <c r="T50"/>
  <c r="O11" i="91"/>
  <c r="Y10" i="100"/>
  <c r="S15" i="87"/>
  <c r="S42"/>
  <c r="T42"/>
  <c r="O62" i="86"/>
  <c r="U61" i="100"/>
  <c r="O62" i="91"/>
  <c r="Y61" i="100"/>
  <c r="O73" i="89"/>
  <c r="X72" i="100"/>
  <c r="O25" i="92"/>
  <c r="Z24" i="100"/>
  <c r="O25" i="89"/>
  <c r="X24" i="100"/>
  <c r="O53" i="88"/>
  <c r="W52" i="100"/>
  <c r="O10" i="86"/>
  <c r="U9" i="100"/>
  <c r="O21" i="88"/>
  <c r="W20" i="100"/>
  <c r="O49" i="86"/>
  <c r="U48" i="100"/>
  <c r="O49" i="91"/>
  <c r="Y48" i="100"/>
  <c r="O54" i="92"/>
  <c r="Z53" i="100"/>
  <c r="O54" i="89"/>
  <c r="X53" i="100"/>
  <c r="O12" i="86"/>
  <c r="U11" i="100"/>
  <c r="O65" i="88"/>
  <c r="W64" i="100"/>
  <c r="O63" i="86"/>
  <c r="U62" i="100"/>
  <c r="O63" i="91"/>
  <c r="Y62" i="100"/>
  <c r="O47" i="86"/>
  <c r="U46" i="100"/>
  <c r="S23" i="87"/>
  <c r="T23"/>
  <c r="O50" i="92"/>
  <c r="Z49" i="100"/>
  <c r="O50" i="89"/>
  <c r="X49" i="100"/>
  <c r="O14" i="86"/>
  <c r="U13" i="100"/>
  <c r="O31" i="86"/>
  <c r="U30" i="100"/>
  <c r="O19" i="88"/>
  <c r="W18" i="100"/>
  <c r="O19" i="92"/>
  <c r="Z18" i="100"/>
  <c r="O17" i="88"/>
  <c r="W16" i="100"/>
  <c r="O17" i="92"/>
  <c r="Z16" i="100"/>
  <c r="O18" i="88"/>
  <c r="W17" i="100"/>
  <c r="O73" i="86"/>
  <c r="U72" i="100"/>
  <c r="O42" i="91"/>
  <c r="Y41" i="100"/>
  <c r="O10" i="88"/>
  <c r="W9" i="100"/>
  <c r="O54" i="91"/>
  <c r="Y53" i="100"/>
  <c r="O63" i="92"/>
  <c r="Z62" i="100"/>
  <c r="O47" i="88"/>
  <c r="W46" i="100"/>
  <c r="O14" i="88"/>
  <c r="W13" i="100"/>
  <c r="O31" i="88"/>
  <c r="W30" i="100"/>
  <c r="O19" i="91"/>
  <c r="Y18" i="100"/>
  <c r="O18" i="86"/>
  <c r="U17" i="100"/>
  <c r="O62" i="88"/>
  <c r="W61" i="100"/>
  <c r="S32" i="87"/>
  <c r="T32"/>
  <c r="O11" i="92"/>
  <c r="Z10" i="100"/>
  <c r="O11" i="89"/>
  <c r="X10" i="100"/>
  <c r="O62" i="92"/>
  <c r="Z61" i="100"/>
  <c r="O62" i="89"/>
  <c r="X61" i="100"/>
  <c r="O73" i="88"/>
  <c r="W72" i="100"/>
  <c r="O25" i="88"/>
  <c r="W24" i="100"/>
  <c r="O53" i="86"/>
  <c r="U52" i="100"/>
  <c r="O53" i="91"/>
  <c r="Y52" i="100"/>
  <c r="O42" i="86"/>
  <c r="U41" i="100"/>
  <c r="O42" i="88"/>
  <c r="W41" i="100"/>
  <c r="O10" i="91"/>
  <c r="Y9" i="100"/>
  <c r="O21" i="86"/>
  <c r="U20" i="100"/>
  <c r="O21" i="91"/>
  <c r="Y20" i="100"/>
  <c r="O49" i="89"/>
  <c r="X48" i="100"/>
  <c r="O54" i="88"/>
  <c r="W53" i="100"/>
  <c r="O12" i="91"/>
  <c r="Y11" i="100"/>
  <c r="O65" i="86"/>
  <c r="U64" i="100"/>
  <c r="O65" i="91"/>
  <c r="Y64" i="100"/>
  <c r="O63" i="89"/>
  <c r="X62" i="100"/>
  <c r="O47" i="89"/>
  <c r="X46" i="100"/>
  <c r="S54" i="87"/>
  <c r="T54"/>
  <c r="O50" i="88"/>
  <c r="W49" i="100"/>
  <c r="O14" i="91"/>
  <c r="Y13" i="100"/>
  <c r="O31" i="89"/>
  <c r="X30" i="100"/>
  <c r="O17" i="91"/>
  <c r="Y16" i="100"/>
  <c r="O18" i="92"/>
  <c r="Z17" i="100"/>
  <c r="O18" i="89"/>
  <c r="X17" i="100"/>
  <c r="U14" i="46"/>
  <c r="W14" s="1"/>
  <c r="X14" s="1"/>
  <c r="Z14" s="1"/>
  <c r="N23" i="86"/>
  <c r="N23" i="85"/>
  <c r="T22" i="100" s="1"/>
  <c r="N23" i="88"/>
  <c r="N23" i="89"/>
  <c r="N23" i="91"/>
  <c r="P20" i="80"/>
  <c r="S22" i="100" s="1"/>
  <c r="N23" i="92"/>
  <c r="P20" i="76"/>
  <c r="R22" i="100" s="1"/>
  <c r="N41" i="88"/>
  <c r="N41" i="89"/>
  <c r="N41" i="91"/>
  <c r="P38" i="80"/>
  <c r="S40" i="100" s="1"/>
  <c r="N41" i="92"/>
  <c r="P38" i="76"/>
  <c r="R40" i="100" s="1"/>
  <c r="N41" i="86"/>
  <c r="N41" i="85"/>
  <c r="T40" i="100" s="1"/>
  <c r="N75" i="88"/>
  <c r="N75" i="89"/>
  <c r="P72" i="80"/>
  <c r="S74" i="100" s="1"/>
  <c r="N75" i="86"/>
  <c r="N75" i="85"/>
  <c r="T74" i="100" s="1"/>
  <c r="N75" i="92"/>
  <c r="P72" i="76"/>
  <c r="R74" i="100" s="1"/>
  <c r="N75" i="91"/>
  <c r="N66"/>
  <c r="N66" i="88"/>
  <c r="N66" i="92"/>
  <c r="P63" i="76"/>
  <c r="R65" i="100" s="1"/>
  <c r="N66" i="85"/>
  <c r="T65" i="100" s="1"/>
  <c r="P63" i="80"/>
  <c r="S65" i="100" s="1"/>
  <c r="N66" i="89"/>
  <c r="N66" i="86"/>
  <c r="N61"/>
  <c r="N61" i="85"/>
  <c r="T60" i="100" s="1"/>
  <c r="N61" i="88"/>
  <c r="N61" i="89"/>
  <c r="N61" i="91"/>
  <c r="P58" i="80"/>
  <c r="S60" i="100" s="1"/>
  <c r="N61" i="92"/>
  <c r="P58" i="76"/>
  <c r="R60" i="100" s="1"/>
  <c r="N60" i="91"/>
  <c r="N60" i="88"/>
  <c r="N60" i="92"/>
  <c r="P57" i="76"/>
  <c r="R59" i="100" s="1"/>
  <c r="N60" i="85"/>
  <c r="T59" i="100" s="1"/>
  <c r="P57" i="80"/>
  <c r="S59" i="100" s="1"/>
  <c r="N60" i="89"/>
  <c r="N60" i="86"/>
  <c r="N51" i="91"/>
  <c r="P48" i="80"/>
  <c r="S50" i="100" s="1"/>
  <c r="N51" i="92"/>
  <c r="P48" i="76"/>
  <c r="R50" i="100" s="1"/>
  <c r="N51" i="86"/>
  <c r="N51" i="85"/>
  <c r="T50" i="100" s="1"/>
  <c r="N51" i="88"/>
  <c r="N51" i="89"/>
  <c r="N74" i="85"/>
  <c r="T73" i="100" s="1"/>
  <c r="P71" i="80"/>
  <c r="S73" i="100" s="1"/>
  <c r="N74" i="92"/>
  <c r="P71" i="76"/>
  <c r="R73" i="100" s="1"/>
  <c r="N74" i="91"/>
  <c r="N74" i="88"/>
  <c r="N74" i="89"/>
  <c r="N74" i="86"/>
  <c r="P23" i="80"/>
  <c r="S25" i="100" s="1"/>
  <c r="N26" i="89"/>
  <c r="N26" i="85"/>
  <c r="T25" i="100" s="1"/>
  <c r="N26" i="91"/>
  <c r="N26" i="86"/>
  <c r="N26" i="92"/>
  <c r="N26" i="88"/>
  <c r="P23" i="76"/>
  <c r="R25" i="100" s="1"/>
  <c r="N37" i="91"/>
  <c r="P34" i="80"/>
  <c r="S36" i="100" s="1"/>
  <c r="N37" i="92"/>
  <c r="P34" i="76"/>
  <c r="R36" i="100" s="1"/>
  <c r="N37" i="86"/>
  <c r="N37" i="85"/>
  <c r="T36" i="100" s="1"/>
  <c r="N37" i="88"/>
  <c r="N37" i="89"/>
  <c r="N20" i="92"/>
  <c r="N20" i="88"/>
  <c r="P17" i="76"/>
  <c r="R19" i="100" s="1"/>
  <c r="P17" i="80"/>
  <c r="S19" i="100" s="1"/>
  <c r="N20" i="89"/>
  <c r="N20" i="85"/>
  <c r="T19" i="100" s="1"/>
  <c r="N20" i="91"/>
  <c r="N20" i="86"/>
  <c r="N55" i="92"/>
  <c r="P52" i="76"/>
  <c r="R54" i="100" s="1"/>
  <c r="N55" i="91"/>
  <c r="N55" i="88"/>
  <c r="N55" i="89"/>
  <c r="P52" i="80"/>
  <c r="S54" i="100" s="1"/>
  <c r="N55" i="86"/>
  <c r="N55" i="85"/>
  <c r="T54" i="100" s="1"/>
  <c r="N70" i="85"/>
  <c r="T69" i="100" s="1"/>
  <c r="P67" i="80"/>
  <c r="S69" i="100" s="1"/>
  <c r="N70" i="89"/>
  <c r="N70" i="86"/>
  <c r="N70" i="91"/>
  <c r="N70" i="88"/>
  <c r="N70" i="92"/>
  <c r="P67" i="76"/>
  <c r="R69" i="100" s="1"/>
  <c r="N22" i="92"/>
  <c r="N22" i="88"/>
  <c r="P19" i="76"/>
  <c r="R21" i="100" s="1"/>
  <c r="P19" i="80"/>
  <c r="S21" i="100" s="1"/>
  <c r="N22" i="89"/>
  <c r="N22" i="85"/>
  <c r="T21" i="100" s="1"/>
  <c r="N22" i="91"/>
  <c r="N22" i="86"/>
  <c r="N64" i="85"/>
  <c r="T63" i="100" s="1"/>
  <c r="P61" i="80"/>
  <c r="S63" i="100" s="1"/>
  <c r="N64" i="89"/>
  <c r="N64" i="86"/>
  <c r="N64" i="91"/>
  <c r="N64" i="88"/>
  <c r="N64" i="92"/>
  <c r="P61" i="76"/>
  <c r="R63" i="100" s="1"/>
  <c r="N35" i="91"/>
  <c r="P32" i="80"/>
  <c r="S34" i="100" s="1"/>
  <c r="N35" i="92"/>
  <c r="P32" i="76"/>
  <c r="R34" i="100" s="1"/>
  <c r="N35" i="86"/>
  <c r="N35" i="85"/>
  <c r="T34" i="100" s="1"/>
  <c r="N35" i="88"/>
  <c r="N35" i="89"/>
  <c r="P5" i="80"/>
  <c r="S7" i="100" s="1"/>
  <c r="N8" i="89"/>
  <c r="N8" i="85"/>
  <c r="T7" i="100" s="1"/>
  <c r="N8" i="91"/>
  <c r="N8" i="86"/>
  <c r="N8" i="92"/>
  <c r="N8" i="88"/>
  <c r="P5" i="76"/>
  <c r="R7" i="100" s="1"/>
  <c r="N59" i="91"/>
  <c r="P56" i="80"/>
  <c r="S58" i="100" s="1"/>
  <c r="N59" i="92"/>
  <c r="P56" i="76"/>
  <c r="R58" i="100" s="1"/>
  <c r="N59" i="86"/>
  <c r="N59" i="85"/>
  <c r="T58" i="100" s="1"/>
  <c r="N59" i="88"/>
  <c r="N59" i="89"/>
  <c r="N27" i="92"/>
  <c r="P24" i="76"/>
  <c r="R26" i="100" s="1"/>
  <c r="N27" i="86"/>
  <c r="N27" i="85"/>
  <c r="T26" i="100" s="1"/>
  <c r="N27" i="88"/>
  <c r="N27" i="89"/>
  <c r="N27" i="91"/>
  <c r="P24" i="80"/>
  <c r="S26" i="100" s="1"/>
  <c r="N28" i="92"/>
  <c r="N28" i="88"/>
  <c r="P25" i="76"/>
  <c r="R27" i="100" s="1"/>
  <c r="P25" i="80"/>
  <c r="S27" i="100" s="1"/>
  <c r="N28" i="89"/>
  <c r="N28" i="85"/>
  <c r="T27" i="100" s="1"/>
  <c r="N28" i="91"/>
  <c r="N28" i="86"/>
  <c r="N48" i="85"/>
  <c r="T47" i="100" s="1"/>
  <c r="P45" i="80"/>
  <c r="S47" i="100" s="1"/>
  <c r="N48" i="89"/>
  <c r="N48" i="86"/>
  <c r="N48" i="91"/>
  <c r="N48" i="88"/>
  <c r="N48" i="92"/>
  <c r="P45" i="76"/>
  <c r="R47" i="100" s="1"/>
  <c r="N16" i="92"/>
  <c r="N16" i="88"/>
  <c r="P13" i="76"/>
  <c r="R15" i="100" s="1"/>
  <c r="N16" i="91"/>
  <c r="N16" i="86"/>
  <c r="N16" i="89"/>
  <c r="N16" i="85"/>
  <c r="T15" i="100" s="1"/>
  <c r="P13" i="80"/>
  <c r="S15" i="100" s="1"/>
  <c r="P43" i="80"/>
  <c r="S45" i="100" s="1"/>
  <c r="N46" i="89"/>
  <c r="N46" i="85"/>
  <c r="T45" i="100" s="1"/>
  <c r="N46" i="91"/>
  <c r="N46" i="86"/>
  <c r="N46" i="92"/>
  <c r="N46" i="88"/>
  <c r="P43" i="76"/>
  <c r="R45" i="100" s="1"/>
  <c r="N57" i="91"/>
  <c r="P54" i="80"/>
  <c r="S56" i="100" s="1"/>
  <c r="N57" i="92"/>
  <c r="P54" i="76"/>
  <c r="R56" i="100" s="1"/>
  <c r="N57" i="86"/>
  <c r="N57" i="85"/>
  <c r="T56" i="100" s="1"/>
  <c r="N57" i="88"/>
  <c r="N57" i="89"/>
  <c r="N72" i="85"/>
  <c r="T71" i="100" s="1"/>
  <c r="P69" i="80"/>
  <c r="S71" i="100" s="1"/>
  <c r="N72" i="89"/>
  <c r="N72" i="86"/>
  <c r="N72" i="91"/>
  <c r="N72" i="88"/>
  <c r="N72" i="92"/>
  <c r="P69" i="76"/>
  <c r="R71" i="100" s="1"/>
  <c r="N40" i="92"/>
  <c r="N40" i="88"/>
  <c r="P37" i="76"/>
  <c r="R39" i="100" s="1"/>
  <c r="P37" i="80"/>
  <c r="S39" i="100" s="1"/>
  <c r="N40" i="89"/>
  <c r="N40" i="85"/>
  <c r="T39" i="100" s="1"/>
  <c r="N40" i="91"/>
  <c r="N40" i="86"/>
  <c r="N9" i="92"/>
  <c r="P6" i="76"/>
  <c r="R8" i="100" s="1"/>
  <c r="N9" i="86"/>
  <c r="N9" i="85"/>
  <c r="T8" i="100" s="1"/>
  <c r="N9" i="88"/>
  <c r="N9" i="89"/>
  <c r="N9" i="91"/>
  <c r="P6" i="80"/>
  <c r="S8" i="100" s="1"/>
  <c r="N34" i="92"/>
  <c r="N34" i="88"/>
  <c r="P31" i="76"/>
  <c r="R33" i="100" s="1"/>
  <c r="P31" i="80"/>
  <c r="S33" i="100" s="1"/>
  <c r="N34" i="89"/>
  <c r="N34" i="85"/>
  <c r="T33" i="100" s="1"/>
  <c r="N34" i="91"/>
  <c r="N34" i="86"/>
  <c r="N29" i="92"/>
  <c r="P26" i="76"/>
  <c r="R28" i="100" s="1"/>
  <c r="N29" i="86"/>
  <c r="N29" i="85"/>
  <c r="T28" i="100" s="1"/>
  <c r="N29" i="88"/>
  <c r="N29" i="89"/>
  <c r="N29" i="91"/>
  <c r="P26" i="80"/>
  <c r="S28" i="100" s="1"/>
  <c r="N44" i="89"/>
  <c r="N44" i="85"/>
  <c r="T43" i="100" s="1"/>
  <c r="N44" i="91"/>
  <c r="N44" i="86"/>
  <c r="N44" i="92"/>
  <c r="N44" i="88"/>
  <c r="P41" i="76"/>
  <c r="R43" i="100" s="1"/>
  <c r="P41" i="80"/>
  <c r="S43" i="100" s="1"/>
  <c r="N13" i="88"/>
  <c r="N13" i="89"/>
  <c r="N13" i="91"/>
  <c r="P10" i="80"/>
  <c r="S12" i="100" s="1"/>
  <c r="N13" i="92"/>
  <c r="P10" i="76"/>
  <c r="R12" i="100" s="1"/>
  <c r="N13" i="86"/>
  <c r="N13" i="85"/>
  <c r="T12" i="100" s="1"/>
  <c r="N58" i="92"/>
  <c r="P55" i="76"/>
  <c r="R57" i="100" s="1"/>
  <c r="N58" i="85"/>
  <c r="T57" i="100" s="1"/>
  <c r="P55" i="80"/>
  <c r="S57" i="100" s="1"/>
  <c r="N58" i="89"/>
  <c r="N58" i="86"/>
  <c r="N58" i="91"/>
  <c r="N58" i="88"/>
  <c r="N69" i="92"/>
  <c r="P66" i="76"/>
  <c r="R68" i="100" s="1"/>
  <c r="N69" i="86"/>
  <c r="N69" i="85"/>
  <c r="T68" i="100" s="1"/>
  <c r="N69" i="88"/>
  <c r="N69" i="89"/>
  <c r="N69" i="91"/>
  <c r="P66" i="80"/>
  <c r="S68" i="100" s="1"/>
  <c r="N68" i="92"/>
  <c r="P65" i="76"/>
  <c r="R67" i="100" s="1"/>
  <c r="N68" i="85"/>
  <c r="T67" i="100" s="1"/>
  <c r="P65" i="80"/>
  <c r="S67" i="100" s="1"/>
  <c r="N68" i="89"/>
  <c r="N68" i="86"/>
  <c r="N68" i="91"/>
  <c r="N68" i="88"/>
  <c r="P33" i="80"/>
  <c r="S35" i="100" s="1"/>
  <c r="N36" i="89"/>
  <c r="N36" i="85"/>
  <c r="T35" i="100" s="1"/>
  <c r="N36" i="91"/>
  <c r="N36" i="86"/>
  <c r="N36" i="92"/>
  <c r="N36" i="88"/>
  <c r="P33" i="76"/>
  <c r="R35" i="100" s="1"/>
  <c r="N71" i="91"/>
  <c r="P68" i="80"/>
  <c r="S70" i="100" s="1"/>
  <c r="N71" i="92"/>
  <c r="P68" i="76"/>
  <c r="R70" i="100" s="1"/>
  <c r="N71" i="86"/>
  <c r="N71" i="85"/>
  <c r="T70" i="100" s="1"/>
  <c r="N71" i="88"/>
  <c r="N71" i="89"/>
  <c r="N38" i="85"/>
  <c r="T37" i="100" s="1"/>
  <c r="N38" i="92"/>
  <c r="P35" i="80"/>
  <c r="S37" i="100" s="1"/>
  <c r="N38" i="91"/>
  <c r="N38" i="88"/>
  <c r="P35" i="76"/>
  <c r="R37" i="100" s="1"/>
  <c r="N38" i="89"/>
  <c r="N38" i="86"/>
  <c r="N33" i="92"/>
  <c r="P30" i="76"/>
  <c r="R32" i="100" s="1"/>
  <c r="N33" i="86"/>
  <c r="N33" i="85"/>
  <c r="T32" i="100" s="1"/>
  <c r="N33" i="88"/>
  <c r="N33" i="89"/>
  <c r="N33" i="91"/>
  <c r="P30" i="80"/>
  <c r="S32" i="100" s="1"/>
  <c r="N67" i="91"/>
  <c r="P64" i="80"/>
  <c r="S66" i="100" s="1"/>
  <c r="N67" i="92"/>
  <c r="P64" i="76"/>
  <c r="R66" i="100" s="1"/>
  <c r="N67" i="86"/>
  <c r="N67" i="85"/>
  <c r="T66" i="100" s="1"/>
  <c r="N67" i="88"/>
  <c r="N67" i="89"/>
  <c r="P21" i="80"/>
  <c r="S23" i="100" s="1"/>
  <c r="N24" i="89"/>
  <c r="N24" i="85"/>
  <c r="T23" i="100" s="1"/>
  <c r="N24" i="91"/>
  <c r="N24" i="86"/>
  <c r="N24" i="92"/>
  <c r="N24" i="88"/>
  <c r="P21" i="76"/>
  <c r="R23" i="100" s="1"/>
  <c r="N43" i="91"/>
  <c r="N43" i="92"/>
  <c r="P40" i="76"/>
  <c r="R42" i="100" s="1"/>
  <c r="N43" i="86"/>
  <c r="N43" i="85"/>
  <c r="T42" i="100" s="1"/>
  <c r="N43" i="88"/>
  <c r="N43" i="89"/>
  <c r="P40" i="80"/>
  <c r="S42" i="100" s="1"/>
  <c r="N15" i="91"/>
  <c r="P12" i="80"/>
  <c r="S14" i="100" s="1"/>
  <c r="N15" i="92"/>
  <c r="P12" i="76"/>
  <c r="R14" i="100" s="1"/>
  <c r="N15" i="86"/>
  <c r="N15" i="85"/>
  <c r="T14" i="100" s="1"/>
  <c r="N15" i="88"/>
  <c r="N15" i="89"/>
  <c r="N39" i="92"/>
  <c r="P36" i="76"/>
  <c r="R38" i="100" s="1"/>
  <c r="N39" i="86"/>
  <c r="N39" i="85"/>
  <c r="T38" i="100" s="1"/>
  <c r="N39" i="88"/>
  <c r="N39" i="89"/>
  <c r="N39" i="91"/>
  <c r="P36" i="80"/>
  <c r="S38" i="100" s="1"/>
  <c r="N32" i="89"/>
  <c r="N32" i="85"/>
  <c r="T31" i="100" s="1"/>
  <c r="N32" i="91"/>
  <c r="N32" i="86"/>
  <c r="P29" i="76"/>
  <c r="R31" i="100" s="1"/>
  <c r="N32" i="92"/>
  <c r="N32" i="88"/>
  <c r="P29" i="80"/>
  <c r="S31" i="100" s="1"/>
  <c r="N45" i="86"/>
  <c r="N45" i="85"/>
  <c r="T44" i="100" s="1"/>
  <c r="N45" i="88"/>
  <c r="N45" i="89"/>
  <c r="N45" i="91"/>
  <c r="P42" i="80"/>
  <c r="S44" i="100" s="1"/>
  <c r="N45" i="92"/>
  <c r="P42" i="76"/>
  <c r="R44" i="100" s="1"/>
  <c r="N52" i="91"/>
  <c r="N52" i="88"/>
  <c r="N52" i="92"/>
  <c r="P49" i="76"/>
  <c r="R51" i="100" s="1"/>
  <c r="N52" i="85"/>
  <c r="T51" i="100" s="1"/>
  <c r="P49" i="80"/>
  <c r="S51" i="100" s="1"/>
  <c r="N52" i="89"/>
  <c r="N52" i="86"/>
  <c r="Q38" i="46"/>
  <c r="H75" i="100"/>
  <c r="X35" i="46"/>
  <c r="Y35"/>
  <c r="Q59" i="76"/>
  <c r="AQ61" i="72" s="1"/>
  <c r="O73" i="85"/>
  <c r="Q70" i="80"/>
  <c r="AR72" i="72" s="1"/>
  <c r="Q70" i="76"/>
  <c r="AQ72" i="72" s="1"/>
  <c r="Q22" i="76"/>
  <c r="AQ24" i="72" s="1"/>
  <c r="Q22" i="80"/>
  <c r="AR24" i="72" s="1"/>
  <c r="Q25" i="90"/>
  <c r="P25"/>
  <c r="O42" i="85"/>
  <c r="M43" i="31"/>
  <c r="N43"/>
  <c r="M61"/>
  <c r="N61"/>
  <c r="P42" i="90"/>
  <c r="Q42"/>
  <c r="Q7" i="80"/>
  <c r="AR9" i="72" s="1"/>
  <c r="Q7" i="76"/>
  <c r="AQ9" i="72" s="1"/>
  <c r="O49" i="85"/>
  <c r="Q46" i="76"/>
  <c r="AQ48" i="72" s="1"/>
  <c r="Q46" i="80"/>
  <c r="AR48" i="72" s="1"/>
  <c r="P49" i="90"/>
  <c r="Q49"/>
  <c r="Q54"/>
  <c r="P54"/>
  <c r="Q51" i="80"/>
  <c r="AR53" i="72" s="1"/>
  <c r="Q9" i="80"/>
  <c r="AR11" i="72" s="1"/>
  <c r="Q9" i="76"/>
  <c r="AQ11" i="72" s="1"/>
  <c r="O63" i="85"/>
  <c r="Q60" i="76"/>
  <c r="AQ62" i="72" s="1"/>
  <c r="Q60" i="80"/>
  <c r="AR62" i="72" s="1"/>
  <c r="P63" i="90"/>
  <c r="Q63"/>
  <c r="O47" i="85"/>
  <c r="Q44" i="76"/>
  <c r="AQ46" i="72" s="1"/>
  <c r="L75" i="100"/>
  <c r="AK75" i="72"/>
  <c r="Q47" i="80"/>
  <c r="AR49" i="72" s="1"/>
  <c r="Q47" i="76"/>
  <c r="AQ49" i="72" s="1"/>
  <c r="P14" i="90"/>
  <c r="Q14"/>
  <c r="Q28" i="80"/>
  <c r="AR30" i="72" s="1"/>
  <c r="P31" i="90"/>
  <c r="Q31"/>
  <c r="Q14" i="80"/>
  <c r="AR16" i="72" s="1"/>
  <c r="P17" i="90"/>
  <c r="Q17"/>
  <c r="Q18"/>
  <c r="P18"/>
  <c r="O18" i="85"/>
  <c r="S18" i="46"/>
  <c r="S38" s="1"/>
  <c r="N30" i="89"/>
  <c r="N30" i="85"/>
  <c r="T29" i="100" s="1"/>
  <c r="N30" i="91"/>
  <c r="N30" i="86"/>
  <c r="N30" i="92"/>
  <c r="N30" i="88"/>
  <c r="P27" i="76"/>
  <c r="R29" i="100" s="1"/>
  <c r="P27" i="80"/>
  <c r="S29" i="100" s="1"/>
  <c r="N56" i="89"/>
  <c r="N56" i="86"/>
  <c r="N56" i="91"/>
  <c r="N56" i="88"/>
  <c r="N56" i="92"/>
  <c r="P53" i="76"/>
  <c r="R55" i="100" s="1"/>
  <c r="N56" i="85"/>
  <c r="T55" i="100" s="1"/>
  <c r="P53" i="80"/>
  <c r="S55" i="100" s="1"/>
  <c r="R18" i="46"/>
  <c r="O11" i="85"/>
  <c r="Q8" i="76"/>
  <c r="AQ10" i="72" s="1"/>
  <c r="Q8" i="80"/>
  <c r="AR10" i="72" s="1"/>
  <c r="Q11" i="90"/>
  <c r="P11"/>
  <c r="Q62"/>
  <c r="P62"/>
  <c r="Q59" i="80"/>
  <c r="AR61" i="72" s="1"/>
  <c r="P73" i="90"/>
  <c r="Q73"/>
  <c r="O25" i="85"/>
  <c r="O53"/>
  <c r="Q50" i="76"/>
  <c r="Q50" i="80"/>
  <c r="Q53" i="90"/>
  <c r="P53"/>
  <c r="Q39" i="76"/>
  <c r="AQ41" i="72" s="1"/>
  <c r="Q39" i="80"/>
  <c r="AR41" i="72" s="1"/>
  <c r="Q10" i="90"/>
  <c r="P10"/>
  <c r="O10" i="85"/>
  <c r="O21"/>
  <c r="Q18" i="76"/>
  <c r="AQ20" i="72" s="1"/>
  <c r="Q18" i="80"/>
  <c r="AR20" i="72" s="1"/>
  <c r="Q21" i="90"/>
  <c r="P21"/>
  <c r="Q51" i="76"/>
  <c r="AQ53" i="72" s="1"/>
  <c r="O54" i="85"/>
  <c r="P12" i="90"/>
  <c r="Q12"/>
  <c r="O12" i="85"/>
  <c r="O65"/>
  <c r="Q62" i="76"/>
  <c r="AQ64" i="72" s="1"/>
  <c r="Q62" i="80"/>
  <c r="AR64" i="72" s="1"/>
  <c r="Q65" i="90"/>
  <c r="P65"/>
  <c r="Q44" i="80"/>
  <c r="AR46" i="72" s="1"/>
  <c r="P47" i="90"/>
  <c r="Q47"/>
  <c r="R30" i="46"/>
  <c r="AF14" i="72" s="1"/>
  <c r="T29" i="46"/>
  <c r="W28"/>
  <c r="AF44" i="72"/>
  <c r="U23" i="46"/>
  <c r="W23" s="1"/>
  <c r="O50" i="85"/>
  <c r="P50" i="90"/>
  <c r="Q50"/>
  <c r="O14" i="85"/>
  <c r="Q11" i="80"/>
  <c r="AR13" i="72" s="1"/>
  <c r="Q11" i="76"/>
  <c r="AQ13" i="72" s="1"/>
  <c r="O31" i="85"/>
  <c r="Q28" i="76"/>
  <c r="AQ30" i="72" s="1"/>
  <c r="O19" i="85"/>
  <c r="Q16" i="76"/>
  <c r="AQ18" i="72" s="1"/>
  <c r="Q16" i="80"/>
  <c r="AR18" i="72" s="1"/>
  <c r="Q19" i="90"/>
  <c r="P19"/>
  <c r="O17" i="85"/>
  <c r="Q14" i="76"/>
  <c r="AQ16" i="72" s="1"/>
  <c r="Q15" i="80"/>
  <c r="AR17" i="72" s="1"/>
  <c r="Q15" i="76"/>
  <c r="AQ17" i="72" s="1"/>
  <c r="T17" i="46"/>
  <c r="U17" s="1"/>
  <c r="W17" s="1"/>
  <c r="U12"/>
  <c r="W12" s="1"/>
  <c r="U13"/>
  <c r="W13" s="1"/>
  <c r="U11"/>
  <c r="W11" s="1"/>
  <c r="P7" i="87"/>
  <c r="U58" l="1"/>
  <c r="S57" i="72"/>
  <c r="P12" i="85"/>
  <c r="AS11" i="72"/>
  <c r="P54" i="85"/>
  <c r="AS53" i="72"/>
  <c r="P10" i="85"/>
  <c r="R10" s="1"/>
  <c r="AS9" i="72"/>
  <c r="P18" i="85"/>
  <c r="AS17" i="72"/>
  <c r="P31" i="89"/>
  <c r="R31" s="1"/>
  <c r="T31" s="1"/>
  <c r="AW30" i="72"/>
  <c r="P50" i="88"/>
  <c r="R50" s="1"/>
  <c r="AV49" i="72"/>
  <c r="P65" i="91"/>
  <c r="R65" s="1"/>
  <c r="T65" s="1"/>
  <c r="AX64" i="72"/>
  <c r="P49" i="89"/>
  <c r="R49" s="1"/>
  <c r="AW48" i="72"/>
  <c r="P21" i="86"/>
  <c r="R21" s="1"/>
  <c r="T21" s="1"/>
  <c r="AT20" i="72"/>
  <c r="P53" i="91"/>
  <c r="R53" s="1"/>
  <c r="AX52" i="72"/>
  <c r="P62" i="89"/>
  <c r="R62" s="1"/>
  <c r="T62" s="1"/>
  <c r="AW61" i="72"/>
  <c r="U32" i="87"/>
  <c r="S31" i="72"/>
  <c r="P31" i="88"/>
  <c r="R31" s="1"/>
  <c r="S31" s="1"/>
  <c r="AV30" i="72"/>
  <c r="P47" i="88"/>
  <c r="R47" s="1"/>
  <c r="AV46" i="72"/>
  <c r="P42" i="91"/>
  <c r="R42" s="1"/>
  <c r="T42" s="1"/>
  <c r="AX41" i="72"/>
  <c r="P18" i="88"/>
  <c r="R18" s="1"/>
  <c r="AV17" i="72"/>
  <c r="P19" i="88"/>
  <c r="R19" s="1"/>
  <c r="S19" s="1"/>
  <c r="AV18" i="72"/>
  <c r="P14" i="86"/>
  <c r="R14" s="1"/>
  <c r="AT13" i="72"/>
  <c r="P47" i="86"/>
  <c r="R47" s="1"/>
  <c r="T47" s="1"/>
  <c r="AT46" i="72"/>
  <c r="P63" i="86"/>
  <c r="R63" s="1"/>
  <c r="AT62" i="72"/>
  <c r="P54" i="92"/>
  <c r="R54" s="1"/>
  <c r="S54" s="1"/>
  <c r="AY53" i="72"/>
  <c r="P49" i="86"/>
  <c r="R49" s="1"/>
  <c r="AT48" i="72"/>
  <c r="P10" i="86"/>
  <c r="R10" s="1"/>
  <c r="T10" s="1"/>
  <c r="AT9" i="72"/>
  <c r="P73" i="89"/>
  <c r="R73" s="1"/>
  <c r="AW72" i="72"/>
  <c r="P62" i="86"/>
  <c r="R62" s="1"/>
  <c r="S62" s="1"/>
  <c r="AT61" i="72"/>
  <c r="U15" i="87"/>
  <c r="S14" i="72"/>
  <c r="P14" i="89"/>
  <c r="R14" s="1"/>
  <c r="T14" s="1"/>
  <c r="AW13" i="72"/>
  <c r="P12" i="88"/>
  <c r="R12" s="1"/>
  <c r="AV11" i="72"/>
  <c r="P42" i="92"/>
  <c r="R42" s="1"/>
  <c r="T42" s="1"/>
  <c r="AY41" i="72"/>
  <c r="P18" i="91"/>
  <c r="R18" s="1"/>
  <c r="AX17" i="72"/>
  <c r="P19" i="89"/>
  <c r="R19" s="1"/>
  <c r="T19" s="1"/>
  <c r="AW18" i="72"/>
  <c r="P14" i="92"/>
  <c r="R14" s="1"/>
  <c r="AY13" i="72"/>
  <c r="P65" i="89"/>
  <c r="R65" s="1"/>
  <c r="T65" s="1"/>
  <c r="AW64" i="72"/>
  <c r="P54" i="86"/>
  <c r="R54" s="1"/>
  <c r="AT53" i="72"/>
  <c r="P10" i="92"/>
  <c r="R10" s="1"/>
  <c r="T10" s="1"/>
  <c r="AY9" i="72"/>
  <c r="P73" i="91"/>
  <c r="R73" s="1"/>
  <c r="AX72" i="72"/>
  <c r="P19" i="86"/>
  <c r="R19" s="1"/>
  <c r="T19" s="1"/>
  <c r="AT18" i="72"/>
  <c r="U70" i="87"/>
  <c r="S69" i="72"/>
  <c r="U14" i="87"/>
  <c r="S13" i="72"/>
  <c r="P17" i="85"/>
  <c r="AS16" i="72"/>
  <c r="P11" i="85"/>
  <c r="AS10" i="72"/>
  <c r="P47" i="85"/>
  <c r="R47" s="1"/>
  <c r="AS46" i="72"/>
  <c r="U74" i="87"/>
  <c r="S73" i="72"/>
  <c r="U35" i="87"/>
  <c r="S34" i="72"/>
  <c r="U9" i="87"/>
  <c r="S8" i="72"/>
  <c r="U56" i="87"/>
  <c r="S55" i="72"/>
  <c r="P50" i="85"/>
  <c r="AS49" i="72"/>
  <c r="P73" i="85"/>
  <c r="AS72" i="72"/>
  <c r="P14" i="85"/>
  <c r="R14" s="1"/>
  <c r="AS13" i="72"/>
  <c r="P65" i="85"/>
  <c r="AS64" i="72"/>
  <c r="P21" i="85"/>
  <c r="R21" s="1"/>
  <c r="AS20" i="72"/>
  <c r="P63" i="85"/>
  <c r="R63" s="1"/>
  <c r="AS62" i="72"/>
  <c r="P42" i="85"/>
  <c r="AS41" i="72"/>
  <c r="U16" i="87"/>
  <c r="S15" i="72"/>
  <c r="U63" i="87"/>
  <c r="S62" i="72"/>
  <c r="U57" i="87"/>
  <c r="S56" i="72"/>
  <c r="P31" i="85"/>
  <c r="R31" s="1"/>
  <c r="AS30" i="72"/>
  <c r="P18" i="92"/>
  <c r="R18" s="1"/>
  <c r="AY17" i="72"/>
  <c r="P47" i="89"/>
  <c r="R47" s="1"/>
  <c r="S47" s="1"/>
  <c r="AW46" i="72"/>
  <c r="P12" i="91"/>
  <c r="R12" s="1"/>
  <c r="AX11" i="72"/>
  <c r="P42" i="88"/>
  <c r="R42" s="1"/>
  <c r="S42" s="1"/>
  <c r="AV41" i="72"/>
  <c r="P25" i="88"/>
  <c r="R25" s="1"/>
  <c r="AV24" i="72"/>
  <c r="P11" i="89"/>
  <c r="R11" s="1"/>
  <c r="S11" s="1"/>
  <c r="AW10" i="72"/>
  <c r="P18" i="86"/>
  <c r="R18" s="1"/>
  <c r="AT17" i="72"/>
  <c r="P54" i="91"/>
  <c r="R54" s="1"/>
  <c r="S54" s="1"/>
  <c r="AX53" i="72"/>
  <c r="P17" i="88"/>
  <c r="R17" s="1"/>
  <c r="AV16" i="72"/>
  <c r="P50" i="92"/>
  <c r="R50" s="1"/>
  <c r="T50" s="1"/>
  <c r="AY49" i="72"/>
  <c r="P12" i="86"/>
  <c r="R12" s="1"/>
  <c r="AT11" i="72"/>
  <c r="P25" i="89"/>
  <c r="R25" s="1"/>
  <c r="S25" s="1"/>
  <c r="AW24" i="72"/>
  <c r="U50" i="87"/>
  <c r="S49" i="72"/>
  <c r="U45" i="87"/>
  <c r="S44" i="72"/>
  <c r="U52" i="87"/>
  <c r="S51" i="72"/>
  <c r="P12" i="89"/>
  <c r="R12" s="1"/>
  <c r="S12" s="1"/>
  <c r="AW11" i="72"/>
  <c r="P21" i="92"/>
  <c r="R21" s="1"/>
  <c r="AY20" i="72"/>
  <c r="P53" i="92"/>
  <c r="R53" s="1"/>
  <c r="T53" s="1"/>
  <c r="AY52" i="72"/>
  <c r="P11" i="86"/>
  <c r="R11" s="1"/>
  <c r="AT10" i="72"/>
  <c r="P47" i="92"/>
  <c r="R47" s="1"/>
  <c r="S47" s="1"/>
  <c r="AY46" i="72"/>
  <c r="P49" i="88"/>
  <c r="R49" s="1"/>
  <c r="AV48" i="72"/>
  <c r="P25" i="91"/>
  <c r="R25" s="1"/>
  <c r="T25" s="1"/>
  <c r="AX24" i="72"/>
  <c r="U49" i="87"/>
  <c r="S48" i="72"/>
  <c r="U17" i="87"/>
  <c r="S16" i="72"/>
  <c r="U18" i="87"/>
  <c r="S17" i="72"/>
  <c r="P53" i="85"/>
  <c r="R53" s="1"/>
  <c r="AS52" i="72"/>
  <c r="T58" i="87"/>
  <c r="U66"/>
  <c r="S65" i="72"/>
  <c r="P19" i="85"/>
  <c r="AS18" i="72"/>
  <c r="P25" i="85"/>
  <c r="R25" s="1"/>
  <c r="AS24" i="72"/>
  <c r="P49" i="85"/>
  <c r="AS48" i="72"/>
  <c r="P18" i="89"/>
  <c r="R18" s="1"/>
  <c r="S18" s="1"/>
  <c r="AW17" i="72"/>
  <c r="P17" i="91"/>
  <c r="R17" s="1"/>
  <c r="AX16" i="72"/>
  <c r="P14" i="91"/>
  <c r="R14" s="1"/>
  <c r="S14" s="1"/>
  <c r="AX13" i="72"/>
  <c r="U54" i="87"/>
  <c r="S53" i="72"/>
  <c r="P63" i="89"/>
  <c r="R63" s="1"/>
  <c r="S63" s="1"/>
  <c r="AW62" i="72"/>
  <c r="P65" i="86"/>
  <c r="R65" s="1"/>
  <c r="AT64" i="72"/>
  <c r="P54" i="88"/>
  <c r="R54" s="1"/>
  <c r="S54" s="1"/>
  <c r="AV53" i="72"/>
  <c r="P21" i="91"/>
  <c r="R21" s="1"/>
  <c r="AX20" i="72"/>
  <c r="P10" i="91"/>
  <c r="R10" s="1"/>
  <c r="S10" s="1"/>
  <c r="AX9" i="72"/>
  <c r="P42" i="86"/>
  <c r="R42" s="1"/>
  <c r="AT41" i="72"/>
  <c r="P53" i="86"/>
  <c r="R53" s="1"/>
  <c r="T53" s="1"/>
  <c r="AT52" i="72"/>
  <c r="P73" i="88"/>
  <c r="R73" s="1"/>
  <c r="AV72" i="72"/>
  <c r="P62" i="92"/>
  <c r="R62" s="1"/>
  <c r="T62" s="1"/>
  <c r="AY61" i="72"/>
  <c r="P11" i="92"/>
  <c r="R11" s="1"/>
  <c r="AY10" i="72"/>
  <c r="P62" i="88"/>
  <c r="R62" s="1"/>
  <c r="T62" s="1"/>
  <c r="AV61" i="72"/>
  <c r="P19" i="91"/>
  <c r="R19" s="1"/>
  <c r="AX18" i="72"/>
  <c r="P14" i="88"/>
  <c r="R14" s="1"/>
  <c r="T14" s="1"/>
  <c r="AV13" i="72"/>
  <c r="P63" i="92"/>
  <c r="R63" s="1"/>
  <c r="AY62" i="72"/>
  <c r="P10" i="88"/>
  <c r="R10" s="1"/>
  <c r="AV9" i="72"/>
  <c r="P73" i="86"/>
  <c r="R73" s="1"/>
  <c r="AT72" i="72"/>
  <c r="P17" i="92"/>
  <c r="R17" s="1"/>
  <c r="S17" s="1"/>
  <c r="AY16" i="72"/>
  <c r="P19" i="92"/>
  <c r="R19" s="1"/>
  <c r="AY18" i="72"/>
  <c r="P31" i="86"/>
  <c r="R31" s="1"/>
  <c r="AT30" i="72"/>
  <c r="P50" i="89"/>
  <c r="R50" s="1"/>
  <c r="AW49" i="72"/>
  <c r="U23" i="87"/>
  <c r="S22" i="72"/>
  <c r="P63" i="91"/>
  <c r="R63" s="1"/>
  <c r="AX62" i="72"/>
  <c r="P65" i="88"/>
  <c r="R65" s="1"/>
  <c r="T65" s="1"/>
  <c r="AV64" i="72"/>
  <c r="P54" i="89"/>
  <c r="R54" s="1"/>
  <c r="AW53" i="72"/>
  <c r="P49" i="91"/>
  <c r="R49" s="1"/>
  <c r="AX48" i="72"/>
  <c r="P21" i="88"/>
  <c r="R21" s="1"/>
  <c r="AV20" i="72"/>
  <c r="P53" i="88"/>
  <c r="R53" s="1"/>
  <c r="S53" s="1"/>
  <c r="AV52" i="72"/>
  <c r="P25" i="92"/>
  <c r="R25" s="1"/>
  <c r="AY24" i="72"/>
  <c r="P62" i="91"/>
  <c r="R62" s="1"/>
  <c r="S62" s="1"/>
  <c r="AX61" i="72"/>
  <c r="U42" i="87"/>
  <c r="S41" i="72"/>
  <c r="P11" i="91"/>
  <c r="R11" s="1"/>
  <c r="S11" s="1"/>
  <c r="AX10" i="72"/>
  <c r="P31" i="92"/>
  <c r="R31" s="1"/>
  <c r="AY30" i="72"/>
  <c r="U51" i="87"/>
  <c r="S50" i="72"/>
  <c r="P49" i="92"/>
  <c r="R49" s="1"/>
  <c r="AY48" i="72"/>
  <c r="P73" i="92"/>
  <c r="R73" s="1"/>
  <c r="S73" s="1"/>
  <c r="AY72" i="72"/>
  <c r="P17" i="89"/>
  <c r="R17" s="1"/>
  <c r="AW16" i="72"/>
  <c r="P31" i="91"/>
  <c r="R31" s="1"/>
  <c r="T31" s="1"/>
  <c r="AX30" i="72"/>
  <c r="P50" i="86"/>
  <c r="R50" s="1"/>
  <c r="AT49" i="72"/>
  <c r="P47" i="91"/>
  <c r="R47" s="1"/>
  <c r="T47" s="1"/>
  <c r="AX46" i="72"/>
  <c r="P65" i="92"/>
  <c r="R65" s="1"/>
  <c r="AY64" i="72"/>
  <c r="P12" i="92"/>
  <c r="R12" s="1"/>
  <c r="T12" s="1"/>
  <c r="AY11" i="72"/>
  <c r="P21" i="89"/>
  <c r="R21" s="1"/>
  <c r="AW20" i="72"/>
  <c r="P10" i="89"/>
  <c r="R10" s="1"/>
  <c r="T10" s="1"/>
  <c r="AW9" i="72"/>
  <c r="P53" i="89"/>
  <c r="R53" s="1"/>
  <c r="AW52" i="72"/>
  <c r="P25" i="86"/>
  <c r="R25" s="1"/>
  <c r="T25" s="1"/>
  <c r="AT24" i="72"/>
  <c r="P62" i="85"/>
  <c r="R62" s="1"/>
  <c r="AS61" i="72"/>
  <c r="P17" i="86"/>
  <c r="R17" s="1"/>
  <c r="T17" s="1"/>
  <c r="AT16" i="72"/>
  <c r="P50" i="91"/>
  <c r="R50" s="1"/>
  <c r="AX49" i="72"/>
  <c r="P63" i="88"/>
  <c r="R63" s="1"/>
  <c r="S63" s="1"/>
  <c r="AV62" i="72"/>
  <c r="P42" i="89"/>
  <c r="R42" s="1"/>
  <c r="AW41" i="72"/>
  <c r="P11" i="88"/>
  <c r="R11" s="1"/>
  <c r="S11" s="1"/>
  <c r="AV10" i="72"/>
  <c r="U75" i="87"/>
  <c r="S74" i="72"/>
  <c r="U31" i="87"/>
  <c r="S30" i="72"/>
  <c r="AA49" i="100"/>
  <c r="S50" i="90"/>
  <c r="AZ49" i="72" s="1"/>
  <c r="AA9" i="100"/>
  <c r="S10" i="90"/>
  <c r="AZ9" i="72" s="1"/>
  <c r="AA10" i="100"/>
  <c r="S11" i="90"/>
  <c r="AZ10" i="72" s="1"/>
  <c r="AA18" i="100"/>
  <c r="AD18" s="1"/>
  <c r="S19" i="90"/>
  <c r="AZ18" i="72" s="1"/>
  <c r="AA41" i="100"/>
  <c r="S42" i="90"/>
  <c r="AZ41" i="72" s="1"/>
  <c r="AA46" i="100"/>
  <c r="AD46" s="1"/>
  <c r="G48" i="96" s="1"/>
  <c r="S47" i="90"/>
  <c r="AZ46" i="72" s="1"/>
  <c r="AA52" i="100"/>
  <c r="S53" i="90"/>
  <c r="AZ52" i="72" s="1"/>
  <c r="AA72" i="100"/>
  <c r="AE72" s="1"/>
  <c r="S73" i="90"/>
  <c r="AZ72" i="72" s="1"/>
  <c r="AA17" i="100"/>
  <c r="S18" i="90"/>
  <c r="AZ17" i="72" s="1"/>
  <c r="AA64" i="100"/>
  <c r="AD64" s="1"/>
  <c r="S65" i="90"/>
  <c r="AZ64" i="72" s="1"/>
  <c r="AA11" i="100"/>
  <c r="S12" i="90"/>
  <c r="AZ11" i="72" s="1"/>
  <c r="AA20" i="100"/>
  <c r="S21" i="90"/>
  <c r="AZ20" i="72" s="1"/>
  <c r="AA61" i="100"/>
  <c r="S62" i="90"/>
  <c r="AZ61" i="72" s="1"/>
  <c r="AA30" i="100"/>
  <c r="AE30" s="1"/>
  <c r="S31" i="90"/>
  <c r="AZ30" i="72" s="1"/>
  <c r="AA13" i="100"/>
  <c r="S14" i="90"/>
  <c r="AZ13" i="72" s="1"/>
  <c r="AA48" i="100"/>
  <c r="AD48" s="1"/>
  <c r="G50" i="96" s="1"/>
  <c r="H50" s="1"/>
  <c r="S49" i="90"/>
  <c r="AZ48" i="72" s="1"/>
  <c r="AA16" i="100"/>
  <c r="S17" i="90"/>
  <c r="AZ16" i="72" s="1"/>
  <c r="AA62" i="100"/>
  <c r="AD62" s="1"/>
  <c r="S63" i="90"/>
  <c r="AZ62" i="72" s="1"/>
  <c r="AA53" i="100"/>
  <c r="S54" i="90"/>
  <c r="AZ53" i="72" s="1"/>
  <c r="AA24" i="100"/>
  <c r="AD24" s="1"/>
  <c r="G26" i="96" s="1"/>
  <c r="S25" i="90"/>
  <c r="AZ24" i="72" s="1"/>
  <c r="R38" i="46"/>
  <c r="N69" i="31"/>
  <c r="N70" s="1"/>
  <c r="AH75" i="72" s="1"/>
  <c r="M69" i="31"/>
  <c r="AD9" i="100"/>
  <c r="G11" i="96" s="1"/>
  <c r="L70" i="31"/>
  <c r="I41" i="100" s="1"/>
  <c r="I75" s="1"/>
  <c r="AD11"/>
  <c r="G13" i="96" s="1"/>
  <c r="AD52" i="100"/>
  <c r="G54" i="96" s="1"/>
  <c r="AD72" i="100"/>
  <c r="AD10"/>
  <c r="G12" i="96" s="1"/>
  <c r="R7" i="80"/>
  <c r="T7" s="1"/>
  <c r="U7" s="1"/>
  <c r="AD20" i="100"/>
  <c r="G22" i="96" s="1"/>
  <c r="AD17" i="100"/>
  <c r="G19" i="96" s="1"/>
  <c r="AD13" i="100"/>
  <c r="G15" i="96" s="1"/>
  <c r="AD61" i="100"/>
  <c r="R22" i="80"/>
  <c r="T22" s="1"/>
  <c r="V22" s="1"/>
  <c r="AD53" i="100"/>
  <c r="G55" i="96" s="1"/>
  <c r="AD16" i="100"/>
  <c r="G18" i="96" s="1"/>
  <c r="AD49" i="100"/>
  <c r="G51" i="96" s="1"/>
  <c r="M51" s="1"/>
  <c r="N51" s="1"/>
  <c r="S62" i="85"/>
  <c r="T62"/>
  <c r="S18" i="86"/>
  <c r="T18"/>
  <c r="T31" i="88"/>
  <c r="S47"/>
  <c r="T47"/>
  <c r="S42" i="91"/>
  <c r="T11" i="88"/>
  <c r="S53" i="86"/>
  <c r="S73" i="88"/>
  <c r="T73"/>
  <c r="S62" i="92"/>
  <c r="S11"/>
  <c r="T11"/>
  <c r="S31" i="91"/>
  <c r="S50" i="86"/>
  <c r="T50"/>
  <c r="S47" i="91"/>
  <c r="S65" i="92"/>
  <c r="T65"/>
  <c r="S12"/>
  <c r="S21" i="89"/>
  <c r="T21"/>
  <c r="S10"/>
  <c r="T18"/>
  <c r="S17" i="91"/>
  <c r="T17"/>
  <c r="S50" i="88"/>
  <c r="T50"/>
  <c r="S47" i="86"/>
  <c r="T63" i="88"/>
  <c r="S42" i="89"/>
  <c r="T42"/>
  <c r="S73" i="86"/>
  <c r="T73"/>
  <c r="S49" i="89"/>
  <c r="T49"/>
  <c r="S21" i="86"/>
  <c r="S42"/>
  <c r="T42"/>
  <c r="S62" i="88"/>
  <c r="O39" i="86"/>
  <c r="U38" i="100"/>
  <c r="O15" i="92"/>
  <c r="Z14" i="100"/>
  <c r="O43" i="86"/>
  <c r="U42" i="100"/>
  <c r="O24" i="89"/>
  <c r="X23" i="100"/>
  <c r="O67" i="88"/>
  <c r="W66" i="100"/>
  <c r="O33" i="88"/>
  <c r="W32" i="100"/>
  <c r="O38" i="92"/>
  <c r="Z37" i="100"/>
  <c r="O71" i="92"/>
  <c r="Z70" i="100"/>
  <c r="O68" i="89"/>
  <c r="X67" i="100"/>
  <c r="O13" i="92"/>
  <c r="Z12" i="100"/>
  <c r="O34" i="89"/>
  <c r="X33" i="100"/>
  <c r="O40" i="91"/>
  <c r="Y39" i="100"/>
  <c r="O72" i="91"/>
  <c r="Y71" i="100"/>
  <c r="O57" i="91"/>
  <c r="Y56" i="100"/>
  <c r="O59" i="86"/>
  <c r="U58" i="100"/>
  <c r="O8" i="89"/>
  <c r="X7" i="100"/>
  <c r="O35" i="92"/>
  <c r="Z34" i="100"/>
  <c r="O22" i="88"/>
  <c r="W21" i="100"/>
  <c r="O70" i="89"/>
  <c r="X69" i="100"/>
  <c r="O55" i="92"/>
  <c r="Z54" i="100"/>
  <c r="O20" i="88"/>
  <c r="W19" i="100"/>
  <c r="O37" i="92"/>
  <c r="Z36" i="100"/>
  <c r="O74" i="88"/>
  <c r="W73" i="100"/>
  <c r="O51" i="88"/>
  <c r="W50" i="100"/>
  <c r="O61" i="88"/>
  <c r="W60" i="100"/>
  <c r="O75" i="92"/>
  <c r="Z74" i="100"/>
  <c r="S18" i="92"/>
  <c r="T18"/>
  <c r="S14"/>
  <c r="T14"/>
  <c r="S63" i="86"/>
  <c r="T63"/>
  <c r="T54" i="92"/>
  <c r="S49" i="86"/>
  <c r="T49"/>
  <c r="T73" i="92"/>
  <c r="S73" i="89"/>
  <c r="T73"/>
  <c r="T62" i="86"/>
  <c r="R8" i="76"/>
  <c r="T8" s="1"/>
  <c r="U8" s="1"/>
  <c r="O56" i="86"/>
  <c r="U55" i="100"/>
  <c r="O30" i="91"/>
  <c r="Y29" i="100"/>
  <c r="S17" i="88"/>
  <c r="T17"/>
  <c r="S19" i="91"/>
  <c r="T19"/>
  <c r="S31" i="92"/>
  <c r="T31"/>
  <c r="S50" i="91"/>
  <c r="T50"/>
  <c r="S54" i="86"/>
  <c r="T54"/>
  <c r="S21" i="92"/>
  <c r="T21"/>
  <c r="T42" i="88"/>
  <c r="O52" i="92"/>
  <c r="Z51" i="100"/>
  <c r="O45" i="92"/>
  <c r="Z44" i="100"/>
  <c r="O45" i="89"/>
  <c r="X44" i="100"/>
  <c r="O32" i="92"/>
  <c r="Z31" i="100"/>
  <c r="O39" i="91"/>
  <c r="Y38" i="100"/>
  <c r="O15" i="89"/>
  <c r="X14" i="100"/>
  <c r="O24" i="88"/>
  <c r="W23" i="100"/>
  <c r="O67" i="89"/>
  <c r="X66" i="100"/>
  <c r="O33" i="89"/>
  <c r="X32" i="100"/>
  <c r="O71" i="89"/>
  <c r="X70" i="100"/>
  <c r="O36" i="86"/>
  <c r="U35" i="100"/>
  <c r="O68" i="86"/>
  <c r="U67" i="100"/>
  <c r="O69" i="91"/>
  <c r="Y68" i="100"/>
  <c r="O58" i="88"/>
  <c r="W57" i="100"/>
  <c r="O44" i="86"/>
  <c r="U43" i="100"/>
  <c r="O29" i="89"/>
  <c r="X28" i="100"/>
  <c r="O9" i="91"/>
  <c r="Y8" i="100"/>
  <c r="O40" i="86"/>
  <c r="U39" i="100"/>
  <c r="O40" i="92"/>
  <c r="Z39" i="100"/>
  <c r="O72" i="88"/>
  <c r="W71" i="100"/>
  <c r="O46" i="88"/>
  <c r="W45" i="100"/>
  <c r="O16" i="89"/>
  <c r="X15" i="100"/>
  <c r="O48" i="86"/>
  <c r="U47" i="100"/>
  <c r="O28" i="86"/>
  <c r="U27" i="100"/>
  <c r="O28" i="92"/>
  <c r="Z27" i="100"/>
  <c r="O27" i="89"/>
  <c r="X26" i="100"/>
  <c r="O8" i="88"/>
  <c r="W7" i="100"/>
  <c r="O35" i="89"/>
  <c r="X34" i="100"/>
  <c r="O64" i="88"/>
  <c r="W63" i="100"/>
  <c r="O70" i="86"/>
  <c r="U69" i="100"/>
  <c r="O55" i="88"/>
  <c r="W54" i="100"/>
  <c r="O37" i="89"/>
  <c r="X36" i="100"/>
  <c r="O26" i="86"/>
  <c r="U25" i="100"/>
  <c r="O51" i="89"/>
  <c r="X50" i="100"/>
  <c r="O51" i="91"/>
  <c r="Y50" i="100"/>
  <c r="O60" i="92"/>
  <c r="Z59" i="100"/>
  <c r="O61" i="92"/>
  <c r="Z60" i="100"/>
  <c r="O61" i="89"/>
  <c r="X60" i="100"/>
  <c r="O66" i="86"/>
  <c r="U65" i="100"/>
  <c r="O66" i="91"/>
  <c r="Y65" i="100"/>
  <c r="O41" i="86"/>
  <c r="U40" i="100"/>
  <c r="O41" i="91"/>
  <c r="Y40" i="100"/>
  <c r="S49" i="88"/>
  <c r="T49"/>
  <c r="O56" i="89"/>
  <c r="X55" i="100"/>
  <c r="S19" i="92"/>
  <c r="T19"/>
  <c r="S31" i="86"/>
  <c r="T31"/>
  <c r="S53" i="89"/>
  <c r="T53"/>
  <c r="S11" i="86"/>
  <c r="T11"/>
  <c r="O52" i="88"/>
  <c r="W51" i="100"/>
  <c r="O45" i="88"/>
  <c r="W44" i="100"/>
  <c r="O32" i="89"/>
  <c r="X31" i="100"/>
  <c r="O15" i="88"/>
  <c r="W14" i="100"/>
  <c r="O43" i="91"/>
  <c r="Y42" i="100"/>
  <c r="O67" i="92"/>
  <c r="Z66" i="100"/>
  <c r="O33" i="92"/>
  <c r="Z32" i="100"/>
  <c r="O58" i="91"/>
  <c r="Y57" i="100"/>
  <c r="O29" i="88"/>
  <c r="W28" i="100"/>
  <c r="O34" i="88"/>
  <c r="W33" i="100"/>
  <c r="O9" i="86"/>
  <c r="U8" i="100"/>
  <c r="O46" i="92"/>
  <c r="Z45" i="100"/>
  <c r="O16" i="88"/>
  <c r="W15" i="100"/>
  <c r="O48" i="89"/>
  <c r="X47" i="100"/>
  <c r="O27" i="92"/>
  <c r="Z26" i="100"/>
  <c r="O8" i="92"/>
  <c r="Z7" i="100"/>
  <c r="O22" i="89"/>
  <c r="X21" i="100"/>
  <c r="O70" i="92"/>
  <c r="Z69" i="100"/>
  <c r="O55" i="86"/>
  <c r="U54" i="100"/>
  <c r="O20" i="89"/>
  <c r="X19" i="100"/>
  <c r="O37" i="88"/>
  <c r="W36" i="100"/>
  <c r="O26" i="91"/>
  <c r="Y25" i="100"/>
  <c r="O60" i="88"/>
  <c r="W59" i="100"/>
  <c r="O66" i="89"/>
  <c r="X65" i="100"/>
  <c r="O23" i="86"/>
  <c r="U22" i="100"/>
  <c r="S63" i="91"/>
  <c r="T63"/>
  <c r="S12" i="88"/>
  <c r="T12"/>
  <c r="S54" i="89"/>
  <c r="T54"/>
  <c r="S49" i="91"/>
  <c r="T49"/>
  <c r="S21" i="88"/>
  <c r="T21"/>
  <c r="S10"/>
  <c r="T10"/>
  <c r="AD41" i="100"/>
  <c r="T53" i="88"/>
  <c r="S25" i="91"/>
  <c r="T62"/>
  <c r="O56" i="88"/>
  <c r="W55" i="100"/>
  <c r="O30" i="92"/>
  <c r="Z29" i="100"/>
  <c r="O30" i="89"/>
  <c r="X29" i="100"/>
  <c r="T17" i="92"/>
  <c r="S19" i="86"/>
  <c r="S14"/>
  <c r="T14"/>
  <c r="S14" i="89"/>
  <c r="S65"/>
  <c r="S53" i="91"/>
  <c r="T53"/>
  <c r="S25" i="88"/>
  <c r="T25"/>
  <c r="S62" i="89"/>
  <c r="O52" i="86"/>
  <c r="U51" i="100"/>
  <c r="O52" i="91"/>
  <c r="Y51" i="100"/>
  <c r="O45" i="91"/>
  <c r="Y44" i="100"/>
  <c r="O32" i="86"/>
  <c r="U31" i="100"/>
  <c r="O39" i="89"/>
  <c r="X38" i="100"/>
  <c r="O43" i="89"/>
  <c r="X42" i="100"/>
  <c r="O24" i="86"/>
  <c r="U23" i="100"/>
  <c r="O33" i="91"/>
  <c r="Y32" i="100"/>
  <c r="O38" i="86"/>
  <c r="U37" i="100"/>
  <c r="O38" i="91"/>
  <c r="Y37" i="100"/>
  <c r="O36" i="88"/>
  <c r="W35" i="100"/>
  <c r="O68" i="88"/>
  <c r="W67" i="100"/>
  <c r="O68" i="92"/>
  <c r="Z67" i="100"/>
  <c r="O69" i="89"/>
  <c r="X68" i="100"/>
  <c r="O58" i="86"/>
  <c r="U57" i="100"/>
  <c r="O13" i="88"/>
  <c r="W12" i="100"/>
  <c r="O44" i="88"/>
  <c r="W43" i="100"/>
  <c r="O29" i="91"/>
  <c r="Y28" i="100"/>
  <c r="O34" i="86"/>
  <c r="U33" i="100"/>
  <c r="O34" i="92"/>
  <c r="Z33" i="100"/>
  <c r="O9" i="89"/>
  <c r="X8" i="100"/>
  <c r="O72" i="86"/>
  <c r="U71" i="100"/>
  <c r="O57" i="89"/>
  <c r="X56" i="100"/>
  <c r="O46" i="86"/>
  <c r="U45" i="100"/>
  <c r="O16" i="86"/>
  <c r="U15" i="100"/>
  <c r="O16" i="92"/>
  <c r="Z15" i="100"/>
  <c r="O48" i="88"/>
  <c r="W47" i="100"/>
  <c r="O27" i="91"/>
  <c r="Y26" i="100"/>
  <c r="O59" i="89"/>
  <c r="X58" i="100"/>
  <c r="O8" i="86"/>
  <c r="U7" i="100"/>
  <c r="O64" i="86"/>
  <c r="U63" i="100"/>
  <c r="O22" i="86"/>
  <c r="U21" i="100"/>
  <c r="O22" i="92"/>
  <c r="Z21" i="100"/>
  <c r="O70" i="88"/>
  <c r="W69" i="100"/>
  <c r="O55" i="91"/>
  <c r="Y54" i="100"/>
  <c r="O20" i="86"/>
  <c r="U19" i="100"/>
  <c r="O20" i="92"/>
  <c r="Z19" i="100"/>
  <c r="O26" i="88"/>
  <c r="W25" i="100"/>
  <c r="O74" i="86"/>
  <c r="U73" i="100"/>
  <c r="O74" i="91"/>
  <c r="Y73" i="100"/>
  <c r="O51" i="92"/>
  <c r="Z50" i="100"/>
  <c r="O60" i="86"/>
  <c r="U59" i="100"/>
  <c r="O60" i="91"/>
  <c r="Y59" i="100"/>
  <c r="O61" i="91"/>
  <c r="Y60" i="100"/>
  <c r="O66" i="92"/>
  <c r="Z65" i="100"/>
  <c r="O75" i="91"/>
  <c r="Y74" i="100"/>
  <c r="O75" i="88"/>
  <c r="W74" i="100"/>
  <c r="O41" i="92"/>
  <c r="Z40" i="100"/>
  <c r="O41" i="89"/>
  <c r="X40" i="100"/>
  <c r="O23" i="89"/>
  <c r="X22" i="100"/>
  <c r="S18" i="91"/>
  <c r="T18"/>
  <c r="S12" i="86"/>
  <c r="T12"/>
  <c r="S42" i="92"/>
  <c r="O56"/>
  <c r="Z55" i="100"/>
  <c r="O30" i="88"/>
  <c r="W29" i="100"/>
  <c r="T63" i="89"/>
  <c r="S65" i="86"/>
  <c r="T65"/>
  <c r="T54" i="88"/>
  <c r="S25" i="86"/>
  <c r="S73" i="91"/>
  <c r="T73"/>
  <c r="O24" i="92"/>
  <c r="Z23" i="100"/>
  <c r="O38" i="88"/>
  <c r="W37" i="100"/>
  <c r="O71" i="88"/>
  <c r="W70" i="100"/>
  <c r="O36" i="91"/>
  <c r="Y35" i="100"/>
  <c r="O69" i="86"/>
  <c r="U68" i="100"/>
  <c r="O58" i="92"/>
  <c r="Z57" i="100"/>
  <c r="O13" i="89"/>
  <c r="X12" i="100"/>
  <c r="O44" i="91"/>
  <c r="Y43" i="100"/>
  <c r="O29" i="92"/>
  <c r="Z28" i="100"/>
  <c r="O57" i="86"/>
  <c r="U56" i="100"/>
  <c r="O46" i="89"/>
  <c r="X45" i="100"/>
  <c r="O48" i="92"/>
  <c r="Z47" i="100"/>
  <c r="O28" i="91"/>
  <c r="Y27" i="100"/>
  <c r="O27" i="88"/>
  <c r="W26" i="100"/>
  <c r="O59" i="91"/>
  <c r="Y58" i="100"/>
  <c r="O35" i="88"/>
  <c r="W34" i="100"/>
  <c r="O64" i="91"/>
  <c r="Y63" i="100"/>
  <c r="O74" i="92"/>
  <c r="Z73" i="100"/>
  <c r="O75" i="89"/>
  <c r="X74" i="100"/>
  <c r="O23" i="92"/>
  <c r="Z22" i="100"/>
  <c r="S17" i="89"/>
  <c r="T17"/>
  <c r="T14" i="91"/>
  <c r="S63" i="92"/>
  <c r="T63"/>
  <c r="S49"/>
  <c r="T49"/>
  <c r="S25"/>
  <c r="T25"/>
  <c r="O56" i="91"/>
  <c r="Y55" i="100"/>
  <c r="O30" i="86"/>
  <c r="U29" i="100"/>
  <c r="S18" i="88"/>
  <c r="T18"/>
  <c r="S17" i="86"/>
  <c r="T19" i="88"/>
  <c r="S14"/>
  <c r="S50" i="89"/>
  <c r="T50"/>
  <c r="S65" i="91"/>
  <c r="S12"/>
  <c r="T12"/>
  <c r="S21"/>
  <c r="T21"/>
  <c r="T10"/>
  <c r="S53" i="92"/>
  <c r="T11" i="91"/>
  <c r="O52" i="89"/>
  <c r="X51" i="100"/>
  <c r="O45" i="86"/>
  <c r="U44" i="100"/>
  <c r="O32" i="88"/>
  <c r="W31" i="100"/>
  <c r="O32" i="91"/>
  <c r="Y31" i="100"/>
  <c r="O39" i="88"/>
  <c r="W38" i="100"/>
  <c r="O39" i="92"/>
  <c r="Z38" i="100"/>
  <c r="O15" i="86"/>
  <c r="U14" i="100"/>
  <c r="O15" i="91"/>
  <c r="Y14" i="100"/>
  <c r="O43" i="88"/>
  <c r="W42" i="100"/>
  <c r="O43" i="92"/>
  <c r="Z42" i="100"/>
  <c r="O24" i="91"/>
  <c r="Y23" i="100"/>
  <c r="O67" i="86"/>
  <c r="U66" i="100"/>
  <c r="O67" i="91"/>
  <c r="Y66" i="100"/>
  <c r="O33" i="86"/>
  <c r="U32" i="100"/>
  <c r="O38" i="89"/>
  <c r="X37" i="100"/>
  <c r="O71" i="86"/>
  <c r="U70" i="100"/>
  <c r="O71" i="91"/>
  <c r="Y70" i="100"/>
  <c r="O36" i="92"/>
  <c r="Z35" i="100"/>
  <c r="O36" i="89"/>
  <c r="X35" i="100"/>
  <c r="O68" i="91"/>
  <c r="Y67" i="100"/>
  <c r="O69" i="88"/>
  <c r="W68" i="100"/>
  <c r="O69" i="92"/>
  <c r="Z68" i="100"/>
  <c r="O58" i="89"/>
  <c r="X57" i="100"/>
  <c r="O13" i="86"/>
  <c r="U12" i="100"/>
  <c r="O13" i="91"/>
  <c r="Y12" i="100"/>
  <c r="O44" i="92"/>
  <c r="Z43" i="100"/>
  <c r="O44" i="89"/>
  <c r="X43" i="100"/>
  <c r="O29" i="86"/>
  <c r="U28" i="100"/>
  <c r="O34" i="91"/>
  <c r="Y33" i="100"/>
  <c r="O9" i="88"/>
  <c r="W8" i="100"/>
  <c r="O9" i="92"/>
  <c r="Z8" i="100"/>
  <c r="O40" i="89"/>
  <c r="X39" i="100"/>
  <c r="O40" i="88"/>
  <c r="W39" i="100"/>
  <c r="O72" i="92"/>
  <c r="Z71" i="100"/>
  <c r="O72" i="89"/>
  <c r="X71" i="100"/>
  <c r="O57" i="88"/>
  <c r="W56" i="100"/>
  <c r="O57" i="92"/>
  <c r="Z56" i="100"/>
  <c r="O46" i="91"/>
  <c r="Y45" i="100"/>
  <c r="O16" i="91"/>
  <c r="Y15" i="100"/>
  <c r="O48" i="91"/>
  <c r="Y47" i="100"/>
  <c r="O28" i="89"/>
  <c r="X27" i="100"/>
  <c r="O28" i="88"/>
  <c r="W27" i="100"/>
  <c r="O27" i="86"/>
  <c r="U26" i="100"/>
  <c r="O59" i="88"/>
  <c r="W58" i="100"/>
  <c r="O59" i="92"/>
  <c r="Z58" i="100"/>
  <c r="O8" i="91"/>
  <c r="Y7" i="100"/>
  <c r="O35" i="86"/>
  <c r="U34" i="100"/>
  <c r="O35" i="91"/>
  <c r="Y34" i="100"/>
  <c r="O64" i="92"/>
  <c r="Z63" i="100"/>
  <c r="O64" i="89"/>
  <c r="X63" i="100"/>
  <c r="O22" i="91"/>
  <c r="Y21" i="100"/>
  <c r="O70" i="91"/>
  <c r="Y69" i="100"/>
  <c r="O55" i="89"/>
  <c r="X54" i="100"/>
  <c r="O20" i="91"/>
  <c r="Y19" i="100"/>
  <c r="O37" i="86"/>
  <c r="U36" i="100"/>
  <c r="O37" i="91"/>
  <c r="Y36" i="100"/>
  <c r="O26" i="92"/>
  <c r="Z25" i="100"/>
  <c r="O26" i="89"/>
  <c r="X25" i="100"/>
  <c r="O74" i="89"/>
  <c r="X73" i="100"/>
  <c r="O51" i="86"/>
  <c r="U50" i="100"/>
  <c r="O60" i="89"/>
  <c r="X59" i="100"/>
  <c r="O61" i="86"/>
  <c r="U60" i="100"/>
  <c r="O66" i="88"/>
  <c r="W65" i="100"/>
  <c r="O75" i="86"/>
  <c r="U74" i="100"/>
  <c r="O41" i="88"/>
  <c r="W40" i="100"/>
  <c r="O23" i="91"/>
  <c r="Y22" i="100"/>
  <c r="O23" i="88"/>
  <c r="W22" i="100"/>
  <c r="R9" i="76"/>
  <c r="T9" s="1"/>
  <c r="U9" s="1"/>
  <c r="R18"/>
  <c r="T18" s="1"/>
  <c r="V18" s="1"/>
  <c r="R44"/>
  <c r="T44" s="1"/>
  <c r="V44" s="1"/>
  <c r="R70" i="80"/>
  <c r="T70" s="1"/>
  <c r="V70" s="1"/>
  <c r="R73" i="90"/>
  <c r="Y14" i="46"/>
  <c r="AE16" i="100"/>
  <c r="R47" i="80"/>
  <c r="T47" s="1"/>
  <c r="U47" s="1"/>
  <c r="AE17" i="100"/>
  <c r="R44" i="80"/>
  <c r="T44" s="1"/>
  <c r="U44" s="1"/>
  <c r="R60"/>
  <c r="T60" s="1"/>
  <c r="V60" s="1"/>
  <c r="R46" i="76"/>
  <c r="T46" s="1"/>
  <c r="U46" s="1"/>
  <c r="R46" i="80"/>
  <c r="T46" s="1"/>
  <c r="V46" s="1"/>
  <c r="R22" i="76"/>
  <c r="T22" s="1"/>
  <c r="U22" s="1"/>
  <c r="AE24" i="100"/>
  <c r="R63" i="90"/>
  <c r="R60" i="76"/>
  <c r="T60" s="1"/>
  <c r="U60" s="1"/>
  <c r="R59"/>
  <c r="T59" s="1"/>
  <c r="U59" s="1"/>
  <c r="R28"/>
  <c r="T28" s="1"/>
  <c r="V28" s="1"/>
  <c r="R11"/>
  <c r="T11" s="1"/>
  <c r="U11" s="1"/>
  <c r="AE13" i="100"/>
  <c r="R11" i="80"/>
  <c r="T11" s="1"/>
  <c r="V11" s="1"/>
  <c r="R39" i="76"/>
  <c r="T39" s="1"/>
  <c r="U39" s="1"/>
  <c r="R15"/>
  <c r="T15" s="1"/>
  <c r="V15" s="1"/>
  <c r="R16" i="80"/>
  <c r="T16" s="1"/>
  <c r="U16" s="1"/>
  <c r="R16" i="76"/>
  <c r="T16" s="1"/>
  <c r="V16" s="1"/>
  <c r="R62" i="80"/>
  <c r="T62" s="1"/>
  <c r="V62" s="1"/>
  <c r="R21" i="90"/>
  <c r="R18" i="80"/>
  <c r="T18" s="1"/>
  <c r="V18" s="1"/>
  <c r="R28"/>
  <c r="T28" s="1"/>
  <c r="V28" s="1"/>
  <c r="R14" i="90"/>
  <c r="R47" i="76"/>
  <c r="T47" s="1"/>
  <c r="V47" s="1"/>
  <c r="R54" i="90"/>
  <c r="R7" i="76"/>
  <c r="T7" s="1"/>
  <c r="U7" s="1"/>
  <c r="O61" i="31"/>
  <c r="P61" s="1"/>
  <c r="R61" s="1"/>
  <c r="T61" s="1"/>
  <c r="R25" i="90"/>
  <c r="R70" i="76"/>
  <c r="T70" s="1"/>
  <c r="V70" s="1"/>
  <c r="R12" i="90"/>
  <c r="R39" i="80"/>
  <c r="T39" s="1"/>
  <c r="U39" s="1"/>
  <c r="R59"/>
  <c r="T59" s="1"/>
  <c r="V59" s="1"/>
  <c r="R17" i="90"/>
  <c r="N7" i="92"/>
  <c r="Z6" i="100" s="1"/>
  <c r="P4" i="80"/>
  <c r="S6" i="100" s="1"/>
  <c r="N7" i="86"/>
  <c r="U6" i="100" s="1"/>
  <c r="P4" i="76"/>
  <c r="R6" i="100" s="1"/>
  <c r="N7" i="88"/>
  <c r="W6" i="100" s="1"/>
  <c r="N7" i="85"/>
  <c r="T6" i="100" s="1"/>
  <c r="T75" s="1"/>
  <c r="N7" i="91"/>
  <c r="Y6" i="100" s="1"/>
  <c r="N7" i="89"/>
  <c r="X6" i="100" s="1"/>
  <c r="Y12" i="46"/>
  <c r="X12"/>
  <c r="Z12" s="1"/>
  <c r="R17" i="85"/>
  <c r="R19"/>
  <c r="X23" i="46"/>
  <c r="Y23"/>
  <c r="T30"/>
  <c r="U29"/>
  <c r="R65" i="85"/>
  <c r="R12"/>
  <c r="R54"/>
  <c r="O21" i="31"/>
  <c r="AQ52" i="72"/>
  <c r="R50" i="76"/>
  <c r="T50" s="1"/>
  <c r="R14"/>
  <c r="T14" s="1"/>
  <c r="Y13" i="46"/>
  <c r="X13"/>
  <c r="Z13" s="1"/>
  <c r="R7" i="87"/>
  <c r="T7" s="1"/>
  <c r="T76" s="1"/>
  <c r="P76"/>
  <c r="Y11" i="46"/>
  <c r="X11"/>
  <c r="Z11" s="1"/>
  <c r="Y17"/>
  <c r="X17"/>
  <c r="Z17" s="1"/>
  <c r="R50" i="85"/>
  <c r="Y28" i="46"/>
  <c r="X28"/>
  <c r="R47" i="90"/>
  <c r="AE53" i="100"/>
  <c r="AR52" i="72"/>
  <c r="R50" i="80"/>
  <c r="T50" s="1"/>
  <c r="R15"/>
  <c r="T15" s="1"/>
  <c r="R19" i="90"/>
  <c r="AE18" i="100"/>
  <c r="R50" i="90"/>
  <c r="R65"/>
  <c r="R62" i="76"/>
  <c r="T62" s="1"/>
  <c r="AE64" i="100"/>
  <c r="R51" i="76"/>
  <c r="T51" s="1"/>
  <c r="R11" i="85"/>
  <c r="AF22" i="72"/>
  <c r="AF75" s="1"/>
  <c r="O56" i="85"/>
  <c r="Q56" i="90"/>
  <c r="P56"/>
  <c r="Q27" i="80"/>
  <c r="AR29" i="72" s="1"/>
  <c r="Q27" i="76"/>
  <c r="AQ29" i="72" s="1"/>
  <c r="AG22"/>
  <c r="AG75" s="1"/>
  <c r="R18" i="85"/>
  <c r="AE9" i="100"/>
  <c r="Z35" i="46"/>
  <c r="D51" i="72"/>
  <c r="O52" i="85"/>
  <c r="P52" i="90"/>
  <c r="Q52"/>
  <c r="Q42" i="76"/>
  <c r="AQ44" i="72" s="1"/>
  <c r="Q42" i="80"/>
  <c r="AR44" i="72" s="1"/>
  <c r="P45" i="90"/>
  <c r="Q45"/>
  <c r="Q32"/>
  <c r="P32"/>
  <c r="Q29" i="76"/>
  <c r="AQ31" i="72" s="1"/>
  <c r="Q36" i="80"/>
  <c r="AR38" i="72" s="1"/>
  <c r="Q39" i="90"/>
  <c r="P39"/>
  <c r="Q40" i="80"/>
  <c r="AR42" i="72" s="1"/>
  <c r="Q21" i="76"/>
  <c r="AQ23" i="72" s="1"/>
  <c r="P24" i="90"/>
  <c r="Q24"/>
  <c r="Q30" i="80"/>
  <c r="AR32" i="72" s="1"/>
  <c r="P33" i="90"/>
  <c r="Q33"/>
  <c r="Q35" i="80"/>
  <c r="AR37" i="72" s="1"/>
  <c r="Q33" i="76"/>
  <c r="AQ35" i="72" s="1"/>
  <c r="P36" i="90"/>
  <c r="Q36"/>
  <c r="O68" i="85"/>
  <c r="P68" i="90"/>
  <c r="Q68"/>
  <c r="Q66" i="80"/>
  <c r="AR68" i="72" s="1"/>
  <c r="Q69" i="90"/>
  <c r="P69"/>
  <c r="Q55" i="80"/>
  <c r="AR57" i="72" s="1"/>
  <c r="Q55" i="76"/>
  <c r="AQ57" i="72" s="1"/>
  <c r="Q41" i="80"/>
  <c r="AR43" i="72" s="1"/>
  <c r="Q41" i="76"/>
  <c r="AQ43" i="72" s="1"/>
  <c r="Q26" i="80"/>
  <c r="AR28" i="72" s="1"/>
  <c r="Q29" i="90"/>
  <c r="P29"/>
  <c r="Q34"/>
  <c r="P34"/>
  <c r="Q6" i="80"/>
  <c r="AR8" i="72" s="1"/>
  <c r="P9" i="90"/>
  <c r="Q9"/>
  <c r="P40"/>
  <c r="Q40"/>
  <c r="Q69" i="76"/>
  <c r="AQ71" i="72" s="1"/>
  <c r="O72" i="85"/>
  <c r="Q43" i="76"/>
  <c r="AQ45" i="72" s="1"/>
  <c r="P46" i="90"/>
  <c r="Q46"/>
  <c r="Q16"/>
  <c r="P16"/>
  <c r="O16" i="85"/>
  <c r="Q75" i="100"/>
  <c r="Q45" i="76"/>
  <c r="AQ47" i="72" s="1"/>
  <c r="O48" i="85"/>
  <c r="Q28" i="90"/>
  <c r="P28"/>
  <c r="Q24" i="80"/>
  <c r="AR26" i="72" s="1"/>
  <c r="Q27" i="90"/>
  <c r="P27"/>
  <c r="Q5" i="76"/>
  <c r="AQ7" i="72" s="1"/>
  <c r="Q8" i="90"/>
  <c r="P8"/>
  <c r="Q61" i="76"/>
  <c r="AQ63" i="72" s="1"/>
  <c r="O64" i="85"/>
  <c r="P22" i="90"/>
  <c r="Q22"/>
  <c r="Q67" i="76"/>
  <c r="AQ69" i="72" s="1"/>
  <c r="O70" i="85"/>
  <c r="P55" i="90"/>
  <c r="Q55"/>
  <c r="P20"/>
  <c r="Q20"/>
  <c r="Q23" i="76"/>
  <c r="AQ25" i="72" s="1"/>
  <c r="P26" i="90"/>
  <c r="Q26"/>
  <c r="Q71" i="76"/>
  <c r="AQ73" i="72" s="1"/>
  <c r="O74" i="85"/>
  <c r="Q48" i="76"/>
  <c r="AQ50" i="72" s="1"/>
  <c r="Q48" i="80"/>
  <c r="AR50" i="72" s="1"/>
  <c r="P51" i="90"/>
  <c r="Q51"/>
  <c r="O60" i="85"/>
  <c r="Q60" i="90"/>
  <c r="P60"/>
  <c r="Q58" i="76"/>
  <c r="AQ60" i="72" s="1"/>
  <c r="Q58" i="80"/>
  <c r="AR60" i="72" s="1"/>
  <c r="Q61" i="90"/>
  <c r="P61"/>
  <c r="O66" i="85"/>
  <c r="P66" i="90"/>
  <c r="Q66"/>
  <c r="Q75"/>
  <c r="P75"/>
  <c r="O41" i="85"/>
  <c r="Q38" i="76"/>
  <c r="AQ40" i="72" s="1"/>
  <c r="Q38" i="80"/>
  <c r="AR40" i="72" s="1"/>
  <c r="P41" i="90"/>
  <c r="Q41"/>
  <c r="AE48" i="100"/>
  <c r="AE61"/>
  <c r="R62" i="90"/>
  <c r="T18" i="46"/>
  <c r="U10"/>
  <c r="Q53" i="80"/>
  <c r="AR55" i="72" s="1"/>
  <c r="Q53" i="76"/>
  <c r="AQ55" i="72" s="1"/>
  <c r="Q30" i="90"/>
  <c r="P30"/>
  <c r="O30" i="85"/>
  <c r="R49"/>
  <c r="R42"/>
  <c r="R73"/>
  <c r="Q49" i="80"/>
  <c r="AR51" i="72" s="1"/>
  <c r="Q49" i="76"/>
  <c r="AQ51" i="72" s="1"/>
  <c r="O45" i="85"/>
  <c r="Q29" i="80"/>
  <c r="AR31" i="72" s="1"/>
  <c r="O32" i="85"/>
  <c r="O39"/>
  <c r="Q36" i="76"/>
  <c r="AQ38" i="72" s="1"/>
  <c r="O15" i="85"/>
  <c r="Q12" i="76"/>
  <c r="AQ14" i="72" s="1"/>
  <c r="Q12" i="80"/>
  <c r="AR14" i="72" s="1"/>
  <c r="Q15" i="90"/>
  <c r="P15"/>
  <c r="O43" i="85"/>
  <c r="Q40" i="76"/>
  <c r="AQ42" i="72" s="1"/>
  <c r="P43" i="90"/>
  <c r="Q43"/>
  <c r="O24" i="85"/>
  <c r="Q21" i="80"/>
  <c r="AR23" i="72" s="1"/>
  <c r="O67" i="85"/>
  <c r="Q64" i="76"/>
  <c r="AQ66" i="72" s="1"/>
  <c r="Q64" i="80"/>
  <c r="AR66" i="72" s="1"/>
  <c r="P67" i="90"/>
  <c r="Q67"/>
  <c r="O33" i="85"/>
  <c r="Q30" i="76"/>
  <c r="AQ32" i="72" s="1"/>
  <c r="Q35" i="76"/>
  <c r="AQ37" i="72" s="1"/>
  <c r="P38" i="90"/>
  <c r="Q38"/>
  <c r="O38" i="85"/>
  <c r="O71"/>
  <c r="Q68" i="76"/>
  <c r="AQ70" i="72" s="1"/>
  <c r="Q68" i="80"/>
  <c r="AR70" i="72" s="1"/>
  <c r="Q71" i="90"/>
  <c r="P71"/>
  <c r="O36" i="85"/>
  <c r="Q33" i="80"/>
  <c r="AR35" i="72" s="1"/>
  <c r="Q65" i="80"/>
  <c r="AR67" i="72" s="1"/>
  <c r="Q65" i="76"/>
  <c r="AQ67" i="72" s="1"/>
  <c r="O69" i="85"/>
  <c r="Q66" i="76"/>
  <c r="AQ68" i="72" s="1"/>
  <c r="O58" i="85"/>
  <c r="Q58" i="90"/>
  <c r="P58"/>
  <c r="O13" i="85"/>
  <c r="Q10" i="76"/>
  <c r="AQ12" i="72" s="1"/>
  <c r="Q10" i="80"/>
  <c r="AR12" i="72" s="1"/>
  <c r="P13" i="90"/>
  <c r="Q13"/>
  <c r="P44"/>
  <c r="Q44"/>
  <c r="O44" i="85"/>
  <c r="O29"/>
  <c r="Q26" i="76"/>
  <c r="AQ28" i="72" s="1"/>
  <c r="O34" i="85"/>
  <c r="Q31" i="80"/>
  <c r="AR33" i="72" s="1"/>
  <c r="Q31" i="76"/>
  <c r="AQ33" i="72" s="1"/>
  <c r="O9" i="85"/>
  <c r="Q6" i="76"/>
  <c r="AQ8" i="72" s="1"/>
  <c r="O40" i="85"/>
  <c r="Q37" i="80"/>
  <c r="AR39" i="72" s="1"/>
  <c r="Q37" i="76"/>
  <c r="AQ39" i="72" s="1"/>
  <c r="Q72" i="90"/>
  <c r="P72"/>
  <c r="Q69" i="80"/>
  <c r="AR71" i="72" s="1"/>
  <c r="O57" i="85"/>
  <c r="Q54" i="76"/>
  <c r="AQ56" i="72" s="1"/>
  <c r="Q54" i="80"/>
  <c r="AR56" i="72" s="1"/>
  <c r="P57" i="90"/>
  <c r="Q57"/>
  <c r="O46" i="85"/>
  <c r="Q43" i="80"/>
  <c r="AR45" i="72" s="1"/>
  <c r="Q13" i="80"/>
  <c r="AR15" i="72" s="1"/>
  <c r="Q13" i="76"/>
  <c r="AQ15" i="72" s="1"/>
  <c r="P48" i="90"/>
  <c r="Q48"/>
  <c r="Q45" i="80"/>
  <c r="AR47" i="72" s="1"/>
  <c r="O28" i="85"/>
  <c r="Q25" i="80"/>
  <c r="AR27" i="72" s="1"/>
  <c r="Q25" i="76"/>
  <c r="AQ27" i="72" s="1"/>
  <c r="O27" i="85"/>
  <c r="Q24" i="76"/>
  <c r="AQ26" i="72" s="1"/>
  <c r="O59" i="85"/>
  <c r="Q56" i="76"/>
  <c r="AQ58" i="72" s="1"/>
  <c r="Q56" i="80"/>
  <c r="AR58" i="72" s="1"/>
  <c r="P59" i="90"/>
  <c r="Q59"/>
  <c r="O8" i="85"/>
  <c r="Q5" i="80"/>
  <c r="AR7" i="72" s="1"/>
  <c r="O35" i="85"/>
  <c r="Q32" i="76"/>
  <c r="AQ34" i="72" s="1"/>
  <c r="Q32" i="80"/>
  <c r="AR34" i="72" s="1"/>
  <c r="Q35" i="90"/>
  <c r="P35"/>
  <c r="P64"/>
  <c r="Q64"/>
  <c r="Q61" i="80"/>
  <c r="AR63" i="72" s="1"/>
  <c r="O22" i="85"/>
  <c r="Q19" i="80"/>
  <c r="AR21" i="72" s="1"/>
  <c r="Q19" i="76"/>
  <c r="AQ21" i="72" s="1"/>
  <c r="P70" i="90"/>
  <c r="Q70"/>
  <c r="Q67" i="80"/>
  <c r="AR69" i="72" s="1"/>
  <c r="O55" i="85"/>
  <c r="Q52" i="80"/>
  <c r="AR54" i="72" s="1"/>
  <c r="Q52" i="76"/>
  <c r="AQ54" i="72" s="1"/>
  <c r="O20" i="85"/>
  <c r="Q17" i="80"/>
  <c r="AR19" i="72" s="1"/>
  <c r="Q17" i="76"/>
  <c r="AQ19" i="72" s="1"/>
  <c r="O37" i="85"/>
  <c r="Q34" i="76"/>
  <c r="AQ36" i="72" s="1"/>
  <c r="Q34" i="80"/>
  <c r="AR36" i="72" s="1"/>
  <c r="Q37" i="90"/>
  <c r="P37"/>
  <c r="O26" i="85"/>
  <c r="Q23" i="80"/>
  <c r="AR25" i="72" s="1"/>
  <c r="P74" i="90"/>
  <c r="Q74"/>
  <c r="Q71" i="80"/>
  <c r="AR73" i="72" s="1"/>
  <c r="O51" i="85"/>
  <c r="Q57" i="80"/>
  <c r="AR59" i="72" s="1"/>
  <c r="Q57" i="76"/>
  <c r="AQ59" i="72" s="1"/>
  <c r="O61" i="85"/>
  <c r="Q63" i="80"/>
  <c r="AR65" i="72" s="1"/>
  <c r="Q63" i="76"/>
  <c r="AQ65" i="72" s="1"/>
  <c r="Q72" i="76"/>
  <c r="AQ74" i="72" s="1"/>
  <c r="O75" i="85"/>
  <c r="Q72" i="80"/>
  <c r="AR74" i="72" s="1"/>
  <c r="Q20" i="76"/>
  <c r="AQ22" i="72" s="1"/>
  <c r="Q20" i="80"/>
  <c r="AR22" i="72" s="1"/>
  <c r="P23" i="90"/>
  <c r="Q23"/>
  <c r="O23" i="85"/>
  <c r="R10" i="90"/>
  <c r="R53"/>
  <c r="R11"/>
  <c r="R8" i="80"/>
  <c r="T8" s="1"/>
  <c r="R18" i="90"/>
  <c r="R14" i="80"/>
  <c r="T14" s="1"/>
  <c r="R31" i="90"/>
  <c r="AE49" i="100"/>
  <c r="R9" i="80"/>
  <c r="T9" s="1"/>
  <c r="R51"/>
  <c r="T51" s="1"/>
  <c r="R49" i="90"/>
  <c r="R42"/>
  <c r="O43" i="31"/>
  <c r="P43" s="1"/>
  <c r="R43" s="1"/>
  <c r="S43" s="1"/>
  <c r="T18" i="90" l="1"/>
  <c r="V18" s="1"/>
  <c r="T50"/>
  <c r="V50" s="1"/>
  <c r="T17"/>
  <c r="V17" s="1"/>
  <c r="T14"/>
  <c r="V14" s="1"/>
  <c r="T11"/>
  <c r="V11" s="1"/>
  <c r="U11" i="88"/>
  <c r="T10" i="72"/>
  <c r="U63" i="88"/>
  <c r="T62" i="72"/>
  <c r="U73" i="92"/>
  <c r="W72" i="72"/>
  <c r="U62" i="91"/>
  <c r="V61" i="72"/>
  <c r="U17" i="92"/>
  <c r="W16" i="72"/>
  <c r="U10" i="91"/>
  <c r="V9" i="72"/>
  <c r="U54" i="88"/>
  <c r="T53" i="72"/>
  <c r="U63" i="89"/>
  <c r="U62" i="72"/>
  <c r="U14" i="91"/>
  <c r="V13" i="72"/>
  <c r="U47" i="92"/>
  <c r="W46" i="72"/>
  <c r="U12" i="89"/>
  <c r="U11" i="72"/>
  <c r="U25" i="89"/>
  <c r="U24" i="72"/>
  <c r="U54" i="91"/>
  <c r="V53" i="72"/>
  <c r="U11" i="89"/>
  <c r="U10" i="72"/>
  <c r="U42" i="88"/>
  <c r="T41" i="72"/>
  <c r="U47" i="89"/>
  <c r="U46" i="72"/>
  <c r="U62" i="86"/>
  <c r="R61" i="72"/>
  <c r="U54" i="92"/>
  <c r="W53" i="72"/>
  <c r="U19" i="88"/>
  <c r="T18" i="72"/>
  <c r="U31" i="88"/>
  <c r="T30" i="72"/>
  <c r="U11" i="91"/>
  <c r="V10" i="72"/>
  <c r="U53" i="88"/>
  <c r="T52" i="72"/>
  <c r="U18" i="89"/>
  <c r="U17" i="72"/>
  <c r="P75" i="85"/>
  <c r="AS74" i="72"/>
  <c r="P27" i="85"/>
  <c r="AS26" i="72"/>
  <c r="P29" i="85"/>
  <c r="AS28" i="72"/>
  <c r="P67" i="85"/>
  <c r="AS66" i="72"/>
  <c r="P45" i="85"/>
  <c r="AS44" i="72"/>
  <c r="P66" i="85"/>
  <c r="AS65" i="72"/>
  <c r="P70" i="85"/>
  <c r="AS69" i="72"/>
  <c r="P23" i="88"/>
  <c r="R23" s="1"/>
  <c r="T23" s="1"/>
  <c r="AV22" i="72"/>
  <c r="P66" i="88"/>
  <c r="R66" s="1"/>
  <c r="AV65" i="72"/>
  <c r="P60" i="89"/>
  <c r="R60" s="1"/>
  <c r="T60" s="1"/>
  <c r="AW59" i="72"/>
  <c r="P26" i="92"/>
  <c r="R26" s="1"/>
  <c r="AY25" i="72"/>
  <c r="P37" i="86"/>
  <c r="R37" s="1"/>
  <c r="T37" s="1"/>
  <c r="AT36" i="72"/>
  <c r="P22" i="91"/>
  <c r="R22" s="1"/>
  <c r="AX21" i="72"/>
  <c r="P35" i="86"/>
  <c r="R35" s="1"/>
  <c r="AT34" i="72"/>
  <c r="P59" i="92"/>
  <c r="R59" s="1"/>
  <c r="AY58" i="72"/>
  <c r="P28" i="89"/>
  <c r="R28" s="1"/>
  <c r="AW27" i="72"/>
  <c r="P16" i="91"/>
  <c r="R16" s="1"/>
  <c r="AX15" i="72"/>
  <c r="P72" i="89"/>
  <c r="R72" s="1"/>
  <c r="AW71" i="72"/>
  <c r="P40" i="88"/>
  <c r="R40" s="1"/>
  <c r="AV39" i="72"/>
  <c r="P34" i="91"/>
  <c r="R34" s="1"/>
  <c r="S34" s="1"/>
  <c r="AX33" i="72"/>
  <c r="P44" i="89"/>
  <c r="R44" s="1"/>
  <c r="AW43" i="72"/>
  <c r="P13" i="91"/>
  <c r="R13" s="1"/>
  <c r="AX12" i="72"/>
  <c r="P69" i="88"/>
  <c r="R69" s="1"/>
  <c r="AV68" i="72"/>
  <c r="P36" i="89"/>
  <c r="R36" s="1"/>
  <c r="AW35" i="72"/>
  <c r="P38" i="89"/>
  <c r="R38" s="1"/>
  <c r="AW37" i="72"/>
  <c r="P24" i="91"/>
  <c r="R24" s="1"/>
  <c r="AX23" i="72"/>
  <c r="P43" i="88"/>
  <c r="R43" s="1"/>
  <c r="AV42" i="72"/>
  <c r="P39" i="88"/>
  <c r="R39" s="1"/>
  <c r="T39" s="1"/>
  <c r="AV38" i="72"/>
  <c r="P32" i="88"/>
  <c r="R32" s="1"/>
  <c r="AV31" i="72"/>
  <c r="U53" i="92"/>
  <c r="W52" i="72"/>
  <c r="U21" i="91"/>
  <c r="V20" i="72"/>
  <c r="U65" i="91"/>
  <c r="V64" i="72"/>
  <c r="U14" i="88"/>
  <c r="T13" i="72"/>
  <c r="P30" i="86"/>
  <c r="R30" s="1"/>
  <c r="AT29" i="72"/>
  <c r="U63" i="92"/>
  <c r="W62" i="72"/>
  <c r="U17" i="89"/>
  <c r="U16" i="72"/>
  <c r="P64" i="91"/>
  <c r="R64" s="1"/>
  <c r="AX63" i="72"/>
  <c r="P59" i="91"/>
  <c r="R59" s="1"/>
  <c r="AX58" i="72"/>
  <c r="P46" i="89"/>
  <c r="R46" s="1"/>
  <c r="AW45" i="72"/>
  <c r="P13" i="89"/>
  <c r="R13" s="1"/>
  <c r="T13" s="1"/>
  <c r="AW12" i="72"/>
  <c r="P69" i="86"/>
  <c r="R69" s="1"/>
  <c r="AT68" i="72"/>
  <c r="P24" i="92"/>
  <c r="R24" s="1"/>
  <c r="AY23" i="72"/>
  <c r="U25" i="86"/>
  <c r="R24" i="72"/>
  <c r="P30" i="88"/>
  <c r="R30" s="1"/>
  <c r="S30" s="1"/>
  <c r="AV29" i="72"/>
  <c r="U42" i="92"/>
  <c r="W41" i="72"/>
  <c r="P41" i="89"/>
  <c r="R41" s="1"/>
  <c r="T41" s="1"/>
  <c r="AW40" i="72"/>
  <c r="P75" i="88"/>
  <c r="R75" s="1"/>
  <c r="AV74" i="72"/>
  <c r="P60" i="91"/>
  <c r="R60" s="1"/>
  <c r="T60" s="1"/>
  <c r="AX59" i="72"/>
  <c r="P74" i="86"/>
  <c r="R74" s="1"/>
  <c r="AT73" i="72"/>
  <c r="P20" i="92"/>
  <c r="R20" s="1"/>
  <c r="AY19" i="72"/>
  <c r="P55" i="91"/>
  <c r="R55" s="1"/>
  <c r="AX54" i="72"/>
  <c r="P64" i="86"/>
  <c r="R64" s="1"/>
  <c r="T64" s="1"/>
  <c r="AT63" i="72"/>
  <c r="P59" i="89"/>
  <c r="R59" s="1"/>
  <c r="AW58" i="72"/>
  <c r="P48" i="88"/>
  <c r="R48" s="1"/>
  <c r="S48" s="1"/>
  <c r="AV47" i="72"/>
  <c r="P57" i="89"/>
  <c r="R57" s="1"/>
  <c r="AW56" i="72"/>
  <c r="P9" i="89"/>
  <c r="R9" s="1"/>
  <c r="T9" s="1"/>
  <c r="AW8" i="72"/>
  <c r="P44" i="88"/>
  <c r="R44" s="1"/>
  <c r="AV43" i="72"/>
  <c r="P68" i="92"/>
  <c r="R68" s="1"/>
  <c r="T68" s="1"/>
  <c r="AY67" i="72"/>
  <c r="P36" i="88"/>
  <c r="R36" s="1"/>
  <c r="AV35" i="72"/>
  <c r="P24" i="86"/>
  <c r="R24" s="1"/>
  <c r="AT23" i="72"/>
  <c r="P39" i="89"/>
  <c r="R39" s="1"/>
  <c r="AW38" i="72"/>
  <c r="P52" i="86"/>
  <c r="R52" s="1"/>
  <c r="AT51" i="72"/>
  <c r="U53" i="91"/>
  <c r="V52" i="72"/>
  <c r="U65" i="89"/>
  <c r="U64" i="72"/>
  <c r="U19" i="86"/>
  <c r="R18" i="72"/>
  <c r="P30" i="89"/>
  <c r="R30" s="1"/>
  <c r="AW29" i="72"/>
  <c r="U25" i="91"/>
  <c r="V24" i="72"/>
  <c r="U73" i="89"/>
  <c r="U72" i="72"/>
  <c r="U49" i="86"/>
  <c r="R48" i="72"/>
  <c r="U14" i="92"/>
  <c r="W13" i="72"/>
  <c r="P75" i="92"/>
  <c r="R75" s="1"/>
  <c r="AY74" i="72"/>
  <c r="P37" i="92"/>
  <c r="R37" s="1"/>
  <c r="T37" s="1"/>
  <c r="AY36" i="72"/>
  <c r="P55" i="92"/>
  <c r="R55" s="1"/>
  <c r="AY54" i="72"/>
  <c r="P8" i="89"/>
  <c r="R8" s="1"/>
  <c r="AW7" i="72"/>
  <c r="P57" i="91"/>
  <c r="R57" s="1"/>
  <c r="AX56" i="72"/>
  <c r="P13" i="92"/>
  <c r="R13" s="1"/>
  <c r="AY12" i="72"/>
  <c r="P71" i="92"/>
  <c r="R71" s="1"/>
  <c r="AY70" i="72"/>
  <c r="P24" i="89"/>
  <c r="R24" s="1"/>
  <c r="T24" s="1"/>
  <c r="AW23" i="72"/>
  <c r="P15" i="92"/>
  <c r="R15" s="1"/>
  <c r="AY14" i="72"/>
  <c r="U21" i="86"/>
  <c r="R20" i="72"/>
  <c r="U73" i="86"/>
  <c r="R72" i="72"/>
  <c r="U47" i="86"/>
  <c r="R46" i="72"/>
  <c r="U10" i="89"/>
  <c r="U9" i="72"/>
  <c r="U12" i="92"/>
  <c r="W11" i="72"/>
  <c r="U31" i="91"/>
  <c r="V30" i="72"/>
  <c r="U62" i="92"/>
  <c r="W61" i="72"/>
  <c r="U42" i="91"/>
  <c r="V41" i="72"/>
  <c r="U18" i="86"/>
  <c r="R17" i="72"/>
  <c r="P23" i="85"/>
  <c r="AS22" i="72"/>
  <c r="P61" i="85"/>
  <c r="AS60" i="72"/>
  <c r="P51" i="85"/>
  <c r="AS50" i="72"/>
  <c r="P55" i="85"/>
  <c r="AS54" i="72"/>
  <c r="P8" i="85"/>
  <c r="AS7" i="72"/>
  <c r="P58" i="85"/>
  <c r="AS57" i="72"/>
  <c r="T47" i="89"/>
  <c r="U49" i="91"/>
  <c r="V48" i="72"/>
  <c r="U12" i="88"/>
  <c r="T11" i="72"/>
  <c r="P23" i="86"/>
  <c r="R23" s="1"/>
  <c r="AT22" i="72"/>
  <c r="P60" i="88"/>
  <c r="R60" s="1"/>
  <c r="AV59" i="72"/>
  <c r="P55" i="86"/>
  <c r="R55" s="1"/>
  <c r="AT54" i="72"/>
  <c r="P27" i="92"/>
  <c r="R27" s="1"/>
  <c r="T27" s="1"/>
  <c r="AY26" i="72"/>
  <c r="P9" i="86"/>
  <c r="R9" s="1"/>
  <c r="AT8" i="72"/>
  <c r="P29" i="88"/>
  <c r="R29" s="1"/>
  <c r="AV28" i="72"/>
  <c r="P43" i="91"/>
  <c r="R43" s="1"/>
  <c r="AX42" i="72"/>
  <c r="P52" i="88"/>
  <c r="R52" s="1"/>
  <c r="AV51" i="72"/>
  <c r="U53" i="89"/>
  <c r="U52" i="72"/>
  <c r="P56" i="89"/>
  <c r="R56" s="1"/>
  <c r="S56" s="1"/>
  <c r="AW55" i="72"/>
  <c r="U49" i="88"/>
  <c r="T48" i="72"/>
  <c r="P66" i="91"/>
  <c r="R66" s="1"/>
  <c r="AX65" i="72"/>
  <c r="P61" i="89"/>
  <c r="R61" s="1"/>
  <c r="AW60" i="72"/>
  <c r="P51" i="89"/>
  <c r="R51" s="1"/>
  <c r="AW50" i="72"/>
  <c r="P37" i="89"/>
  <c r="R37" s="1"/>
  <c r="AW36" i="72"/>
  <c r="P35" i="89"/>
  <c r="R35" s="1"/>
  <c r="T35" s="1"/>
  <c r="AW34" i="72"/>
  <c r="P27" i="89"/>
  <c r="R27" s="1"/>
  <c r="AW26" i="72"/>
  <c r="P16" i="89"/>
  <c r="R16" s="1"/>
  <c r="AW15" i="72"/>
  <c r="P40" i="86"/>
  <c r="R40" s="1"/>
  <c r="AT39" i="72"/>
  <c r="P29" i="89"/>
  <c r="R29" s="1"/>
  <c r="AW28" i="72"/>
  <c r="P68" i="86"/>
  <c r="R68" s="1"/>
  <c r="AT67" i="72"/>
  <c r="P71" i="89"/>
  <c r="R71" s="1"/>
  <c r="T71" s="1"/>
  <c r="AW70" i="72"/>
  <c r="P67" i="89"/>
  <c r="R67" s="1"/>
  <c r="AW66" i="72"/>
  <c r="P32" i="92"/>
  <c r="R32" s="1"/>
  <c r="T32" s="1"/>
  <c r="AY31" i="72"/>
  <c r="P45" i="92"/>
  <c r="R45" s="1"/>
  <c r="AY44" i="72"/>
  <c r="U21" i="92"/>
  <c r="W20" i="72"/>
  <c r="U19" i="91"/>
  <c r="V18" i="72"/>
  <c r="T47" i="92"/>
  <c r="T25" i="89"/>
  <c r="P26" i="85"/>
  <c r="AS25" i="72"/>
  <c r="P59" i="85"/>
  <c r="AS58" i="72"/>
  <c r="P13" i="85"/>
  <c r="AS12" i="72"/>
  <c r="P43" i="85"/>
  <c r="AS42" i="72"/>
  <c r="P32" i="85"/>
  <c r="AS31" i="72"/>
  <c r="P30" i="85"/>
  <c r="R30" s="1"/>
  <c r="AS29" i="72"/>
  <c r="P41" i="85"/>
  <c r="AS40" i="72"/>
  <c r="P37" i="85"/>
  <c r="R37" s="1"/>
  <c r="AS36" i="72"/>
  <c r="P22" i="85"/>
  <c r="AS21" i="72"/>
  <c r="P35" i="85"/>
  <c r="AS34" i="72"/>
  <c r="P28" i="85"/>
  <c r="AS27" i="72"/>
  <c r="P57" i="85"/>
  <c r="AS56" i="72"/>
  <c r="P9" i="85"/>
  <c r="R9" s="1"/>
  <c r="AS8" i="72"/>
  <c r="P69" i="85"/>
  <c r="AS68" i="72"/>
  <c r="P36" i="85"/>
  <c r="AS35" i="72"/>
  <c r="P33" i="85"/>
  <c r="AS32" i="72"/>
  <c r="P15" i="85"/>
  <c r="R15" s="1"/>
  <c r="AS14" i="72"/>
  <c r="P60" i="85"/>
  <c r="AS59" i="72"/>
  <c r="P16" i="85"/>
  <c r="AS15" i="72"/>
  <c r="P56" i="85"/>
  <c r="AS55" i="72"/>
  <c r="U21" i="88"/>
  <c r="T20" i="72"/>
  <c r="U54" i="89"/>
  <c r="U53" i="72"/>
  <c r="S65" i="88"/>
  <c r="S19" i="89"/>
  <c r="P66"/>
  <c r="R66" s="1"/>
  <c r="AW65" i="72"/>
  <c r="P26" i="91"/>
  <c r="R26" s="1"/>
  <c r="AX25" i="72"/>
  <c r="P20" i="89"/>
  <c r="R20" s="1"/>
  <c r="AW19" i="72"/>
  <c r="P70" i="92"/>
  <c r="R70" s="1"/>
  <c r="AY69" i="72"/>
  <c r="P8" i="92"/>
  <c r="R8" s="1"/>
  <c r="AY7" i="72"/>
  <c r="P48" i="89"/>
  <c r="R48" s="1"/>
  <c r="AW47" i="72"/>
  <c r="P46" i="92"/>
  <c r="R46" s="1"/>
  <c r="AY45" i="72"/>
  <c r="P34" i="88"/>
  <c r="R34" s="1"/>
  <c r="T34" s="1"/>
  <c r="AV33" i="72"/>
  <c r="P58" i="91"/>
  <c r="R58" s="1"/>
  <c r="AX57" i="72"/>
  <c r="P67" i="92"/>
  <c r="R67" s="1"/>
  <c r="T67" s="1"/>
  <c r="AY66" i="72"/>
  <c r="P15" i="88"/>
  <c r="R15" s="1"/>
  <c r="AV14" i="72"/>
  <c r="P45" i="88"/>
  <c r="R45" s="1"/>
  <c r="T45" s="1"/>
  <c r="AV44" i="72"/>
  <c r="U11" i="86"/>
  <c r="R10" i="72"/>
  <c r="S50" i="92"/>
  <c r="U19"/>
  <c r="W18" i="72"/>
  <c r="S10" i="86"/>
  <c r="S31" i="89"/>
  <c r="P41" i="86"/>
  <c r="R41" s="1"/>
  <c r="AT40" i="72"/>
  <c r="P66" i="86"/>
  <c r="R66" s="1"/>
  <c r="AT65" i="72"/>
  <c r="P61" i="92"/>
  <c r="R61" s="1"/>
  <c r="T61" s="1"/>
  <c r="AY60" i="72"/>
  <c r="P51" i="91"/>
  <c r="R51" s="1"/>
  <c r="AX50" i="72"/>
  <c r="P26" i="86"/>
  <c r="R26" s="1"/>
  <c r="T26" s="1"/>
  <c r="AT25" i="72"/>
  <c r="P55" i="88"/>
  <c r="R55" s="1"/>
  <c r="AV54" i="72"/>
  <c r="P64" i="88"/>
  <c r="R64" s="1"/>
  <c r="S64" s="1"/>
  <c r="AV63" i="72"/>
  <c r="P8" i="88"/>
  <c r="R8" s="1"/>
  <c r="AV7" i="72"/>
  <c r="P28" i="92"/>
  <c r="R28" s="1"/>
  <c r="S28" s="1"/>
  <c r="AY27" i="72"/>
  <c r="P48" i="86"/>
  <c r="R48" s="1"/>
  <c r="AT47" i="72"/>
  <c r="P46" i="88"/>
  <c r="R46" s="1"/>
  <c r="AV45" i="72"/>
  <c r="P40" i="92"/>
  <c r="R40" s="1"/>
  <c r="AY39" i="72"/>
  <c r="P9" i="91"/>
  <c r="R9" s="1"/>
  <c r="AX8" i="72"/>
  <c r="P44" i="86"/>
  <c r="R44" s="1"/>
  <c r="AT43" i="72"/>
  <c r="P69" i="91"/>
  <c r="R69" s="1"/>
  <c r="AX68" i="72"/>
  <c r="P36" i="86"/>
  <c r="R36" s="1"/>
  <c r="AT35" i="72"/>
  <c r="P33" i="89"/>
  <c r="R33" s="1"/>
  <c r="AW32" i="72"/>
  <c r="P24" i="88"/>
  <c r="R24" s="1"/>
  <c r="AV23" i="72"/>
  <c r="P39" i="91"/>
  <c r="R39" s="1"/>
  <c r="AX38" i="72"/>
  <c r="P45" i="89"/>
  <c r="R45" s="1"/>
  <c r="AW44" i="72"/>
  <c r="P52" i="92"/>
  <c r="R52" s="1"/>
  <c r="S52" s="1"/>
  <c r="AY51" i="72"/>
  <c r="S10" i="92"/>
  <c r="U54" i="86"/>
  <c r="R53" i="72"/>
  <c r="U31" i="92"/>
  <c r="W30" i="72"/>
  <c r="U17" i="88"/>
  <c r="T16" i="72"/>
  <c r="P56" i="86"/>
  <c r="R56" s="1"/>
  <c r="AT55" i="72"/>
  <c r="T25" i="90"/>
  <c r="V25" s="1"/>
  <c r="W25" s="1"/>
  <c r="T62"/>
  <c r="V62" s="1"/>
  <c r="T12"/>
  <c r="V12" s="1"/>
  <c r="T42"/>
  <c r="V42" s="1"/>
  <c r="T10"/>
  <c r="V10" s="1"/>
  <c r="T63"/>
  <c r="V63" s="1"/>
  <c r="P71" i="85"/>
  <c r="AS70" i="72"/>
  <c r="P74" i="85"/>
  <c r="AS73" i="72"/>
  <c r="P48" i="85"/>
  <c r="AS47" i="72"/>
  <c r="P68" i="85"/>
  <c r="R68" s="1"/>
  <c r="AS67" i="72"/>
  <c r="P41" i="88"/>
  <c r="R41" s="1"/>
  <c r="AV40" i="72"/>
  <c r="P74" i="89"/>
  <c r="R74" s="1"/>
  <c r="AW73" i="72"/>
  <c r="P55" i="89"/>
  <c r="R55" s="1"/>
  <c r="AW54" i="72"/>
  <c r="P64" i="92"/>
  <c r="R64" s="1"/>
  <c r="S64" s="1"/>
  <c r="AY63" i="72"/>
  <c r="P27" i="86"/>
  <c r="R27" s="1"/>
  <c r="AT26" i="72"/>
  <c r="P57" i="92"/>
  <c r="R57" s="1"/>
  <c r="AY56" i="72"/>
  <c r="P9" i="92"/>
  <c r="R9" s="1"/>
  <c r="AY8" i="72"/>
  <c r="P58" i="89"/>
  <c r="R58" s="1"/>
  <c r="AW57" i="72"/>
  <c r="P71" i="91"/>
  <c r="R71" s="1"/>
  <c r="AX70" i="72"/>
  <c r="P67" i="91"/>
  <c r="R67" s="1"/>
  <c r="AX66" i="72"/>
  <c r="P15" i="86"/>
  <c r="R15" s="1"/>
  <c r="AT14" i="72"/>
  <c r="P52" i="89"/>
  <c r="R52" s="1"/>
  <c r="AW51" i="72"/>
  <c r="U17" i="86"/>
  <c r="R16" i="72"/>
  <c r="U25" i="92"/>
  <c r="W24" i="72"/>
  <c r="P75" i="89"/>
  <c r="R75" s="1"/>
  <c r="AW74" i="72"/>
  <c r="P28" i="91"/>
  <c r="R28" s="1"/>
  <c r="T28" s="1"/>
  <c r="AX27" i="72"/>
  <c r="P29" i="92"/>
  <c r="R29" s="1"/>
  <c r="AY28" i="72"/>
  <c r="P71" i="88"/>
  <c r="R71" s="1"/>
  <c r="AV70" i="72"/>
  <c r="U65" i="86"/>
  <c r="R64" i="72"/>
  <c r="U18" i="91"/>
  <c r="V17" i="72"/>
  <c r="P66" i="92"/>
  <c r="R66" s="1"/>
  <c r="AY65" i="72"/>
  <c r="P51" i="92"/>
  <c r="R51" s="1"/>
  <c r="S51" s="1"/>
  <c r="AY50" i="72"/>
  <c r="P22" i="92"/>
  <c r="R22" s="1"/>
  <c r="AY21" i="72"/>
  <c r="P16" i="86"/>
  <c r="R16" s="1"/>
  <c r="AT15" i="72"/>
  <c r="P34" i="86"/>
  <c r="R34" s="1"/>
  <c r="AT33" i="72"/>
  <c r="P58" i="86"/>
  <c r="R58" s="1"/>
  <c r="AT57" i="72"/>
  <c r="P38" i="86"/>
  <c r="R38" s="1"/>
  <c r="AT37" i="72"/>
  <c r="P45" i="91"/>
  <c r="R45" s="1"/>
  <c r="T45" s="1"/>
  <c r="AX44" i="72"/>
  <c r="U62" i="89"/>
  <c r="U61" i="72"/>
  <c r="U14" i="89"/>
  <c r="U13" i="72"/>
  <c r="P56" i="88"/>
  <c r="R56" s="1"/>
  <c r="AV55" i="72"/>
  <c r="U63" i="86"/>
  <c r="R62" i="72"/>
  <c r="P51" i="88"/>
  <c r="R51" s="1"/>
  <c r="AV50" i="72"/>
  <c r="P22" i="88"/>
  <c r="R22" s="1"/>
  <c r="S22" s="1"/>
  <c r="AV21" i="72"/>
  <c r="P40" i="91"/>
  <c r="R40" s="1"/>
  <c r="AX39" i="72"/>
  <c r="P33" i="88"/>
  <c r="R33" s="1"/>
  <c r="S33" s="1"/>
  <c r="AV32" i="72"/>
  <c r="U62" i="88"/>
  <c r="T61" i="72"/>
  <c r="U42" i="89"/>
  <c r="U41" i="72"/>
  <c r="U17" i="91"/>
  <c r="V16" i="72"/>
  <c r="U47" i="91"/>
  <c r="V46" i="72"/>
  <c r="U53" i="86"/>
  <c r="R52" i="72"/>
  <c r="U47" i="88"/>
  <c r="T46" i="72"/>
  <c r="T47" i="90"/>
  <c r="V47" s="1"/>
  <c r="P40" i="85"/>
  <c r="AS39" i="72"/>
  <c r="P44" i="85"/>
  <c r="R44" s="1"/>
  <c r="AS43" i="72"/>
  <c r="P38" i="85"/>
  <c r="R38" s="1"/>
  <c r="AS37" i="72"/>
  <c r="P39" i="85"/>
  <c r="AS38" i="72"/>
  <c r="P64" i="85"/>
  <c r="AS63" i="72"/>
  <c r="T11" i="89"/>
  <c r="T12"/>
  <c r="U10" i="88"/>
  <c r="T9" i="72"/>
  <c r="U63" i="91"/>
  <c r="V62" i="72"/>
  <c r="P37" i="88"/>
  <c r="R37" s="1"/>
  <c r="S37" s="1"/>
  <c r="AV36" i="72"/>
  <c r="P22" i="89"/>
  <c r="R22" s="1"/>
  <c r="S22" s="1"/>
  <c r="AW21" i="72"/>
  <c r="P16" i="88"/>
  <c r="R16" s="1"/>
  <c r="AV15" i="72"/>
  <c r="P33" i="92"/>
  <c r="R33" s="1"/>
  <c r="S33" s="1"/>
  <c r="AY32" i="72"/>
  <c r="P32" i="89"/>
  <c r="R32" s="1"/>
  <c r="T32" s="1"/>
  <c r="AW31" i="72"/>
  <c r="U31" i="86"/>
  <c r="R30" i="72"/>
  <c r="P41" i="91"/>
  <c r="R41" s="1"/>
  <c r="AX40" i="72"/>
  <c r="P60" i="92"/>
  <c r="R60" s="1"/>
  <c r="S60" s="1"/>
  <c r="AY59" i="72"/>
  <c r="P70" i="86"/>
  <c r="R70" s="1"/>
  <c r="AT69" i="72"/>
  <c r="P28" i="86"/>
  <c r="R28" s="1"/>
  <c r="AT27" i="72"/>
  <c r="P72" i="88"/>
  <c r="R72" s="1"/>
  <c r="T72" s="1"/>
  <c r="AV71" i="72"/>
  <c r="P58" i="88"/>
  <c r="R58" s="1"/>
  <c r="T58" s="1"/>
  <c r="AV57" i="72"/>
  <c r="P15" i="89"/>
  <c r="R15" s="1"/>
  <c r="AW14" i="72"/>
  <c r="U50" i="91"/>
  <c r="V49" i="72"/>
  <c r="P30" i="91"/>
  <c r="R30" s="1"/>
  <c r="T30" s="1"/>
  <c r="AX29" i="72"/>
  <c r="T54" i="91"/>
  <c r="T73" i="90"/>
  <c r="V73" s="1"/>
  <c r="P20" i="85"/>
  <c r="R20" s="1"/>
  <c r="AS19" i="72"/>
  <c r="P46" i="85"/>
  <c r="AS45" i="72"/>
  <c r="P34" i="85"/>
  <c r="AS33" i="72"/>
  <c r="P24" i="85"/>
  <c r="AS23" i="72"/>
  <c r="P72" i="85"/>
  <c r="AS71" i="72"/>
  <c r="P52" i="85"/>
  <c r="AS51" i="72"/>
  <c r="P23" i="91"/>
  <c r="R23" s="1"/>
  <c r="AX22" i="72"/>
  <c r="P75" i="86"/>
  <c r="R75" s="1"/>
  <c r="T75" s="1"/>
  <c r="AT74" i="72"/>
  <c r="P61" i="86"/>
  <c r="R61" s="1"/>
  <c r="S61" s="1"/>
  <c r="AT60" i="72"/>
  <c r="P51" i="86"/>
  <c r="R51" s="1"/>
  <c r="AT50" i="72"/>
  <c r="P26" i="89"/>
  <c r="R26" s="1"/>
  <c r="AW25" i="72"/>
  <c r="P37" i="91"/>
  <c r="R37" s="1"/>
  <c r="AX36" i="72"/>
  <c r="P20" i="91"/>
  <c r="R20" s="1"/>
  <c r="T20" s="1"/>
  <c r="AX19" i="72"/>
  <c r="P70" i="91"/>
  <c r="R70" s="1"/>
  <c r="AX69" i="72"/>
  <c r="P64" i="89"/>
  <c r="R64" s="1"/>
  <c r="AW63" i="72"/>
  <c r="P35" i="91"/>
  <c r="R35" s="1"/>
  <c r="T35" s="1"/>
  <c r="AX34" i="72"/>
  <c r="P8" i="91"/>
  <c r="R8" s="1"/>
  <c r="AX7" i="72"/>
  <c r="P59" i="88"/>
  <c r="R59" s="1"/>
  <c r="T59" s="1"/>
  <c r="AV58" i="72"/>
  <c r="P28" i="88"/>
  <c r="R28" s="1"/>
  <c r="AV27" i="72"/>
  <c r="P48" i="91"/>
  <c r="R48" s="1"/>
  <c r="AX47" i="72"/>
  <c r="P46" i="91"/>
  <c r="R46" s="1"/>
  <c r="S46" s="1"/>
  <c r="AX45" i="72"/>
  <c r="P57" i="88"/>
  <c r="R57" s="1"/>
  <c r="T57" s="1"/>
  <c r="AV56" i="72"/>
  <c r="P72" i="92"/>
  <c r="R72" s="1"/>
  <c r="S72" s="1"/>
  <c r="AY71" i="72"/>
  <c r="P40" i="89"/>
  <c r="R40" s="1"/>
  <c r="S40" s="1"/>
  <c r="AW39" i="72"/>
  <c r="P9" i="88"/>
  <c r="R9" s="1"/>
  <c r="T9" s="1"/>
  <c r="AV8" i="72"/>
  <c r="P29" i="86"/>
  <c r="R29" s="1"/>
  <c r="S29" s="1"/>
  <c r="AT28" i="72"/>
  <c r="P44" i="92"/>
  <c r="R44" s="1"/>
  <c r="S44" s="1"/>
  <c r="AY43" i="72"/>
  <c r="P13" i="86"/>
  <c r="R13" s="1"/>
  <c r="AT12" i="72"/>
  <c r="P69" i="92"/>
  <c r="R69" s="1"/>
  <c r="S69" s="1"/>
  <c r="AY68" i="72"/>
  <c r="P68" i="91"/>
  <c r="R68" s="1"/>
  <c r="S68" s="1"/>
  <c r="AX67" i="72"/>
  <c r="P36" i="92"/>
  <c r="R36" s="1"/>
  <c r="AY35" i="72"/>
  <c r="P71" i="86"/>
  <c r="R71" s="1"/>
  <c r="T71" s="1"/>
  <c r="AT70" i="72"/>
  <c r="P33" i="86"/>
  <c r="R33" s="1"/>
  <c r="S33" s="1"/>
  <c r="AT32" i="72"/>
  <c r="P67" i="86"/>
  <c r="R67" s="1"/>
  <c r="S67" s="1"/>
  <c r="AT66" i="72"/>
  <c r="P43" i="92"/>
  <c r="R43" s="1"/>
  <c r="S43" s="1"/>
  <c r="AY42" i="72"/>
  <c r="P15" i="91"/>
  <c r="R15" s="1"/>
  <c r="T15" s="1"/>
  <c r="AX14" i="72"/>
  <c r="P39" i="92"/>
  <c r="R39" s="1"/>
  <c r="S39" s="1"/>
  <c r="AY38" i="72"/>
  <c r="P32" i="91"/>
  <c r="R32" s="1"/>
  <c r="S32" s="1"/>
  <c r="AX31" i="72"/>
  <c r="P45" i="86"/>
  <c r="R45" s="1"/>
  <c r="AT44" i="72"/>
  <c r="U12" i="91"/>
  <c r="V11" i="72"/>
  <c r="U50" i="89"/>
  <c r="U49" i="72"/>
  <c r="U18" i="88"/>
  <c r="T17" i="72"/>
  <c r="P56" i="91"/>
  <c r="R56" s="1"/>
  <c r="AX55" i="72"/>
  <c r="U49" i="92"/>
  <c r="W48" i="72"/>
  <c r="P23" i="92"/>
  <c r="R23" s="1"/>
  <c r="T23" s="1"/>
  <c r="AY22" i="72"/>
  <c r="P74" i="92"/>
  <c r="R74" s="1"/>
  <c r="AY73" i="72"/>
  <c r="P35" i="88"/>
  <c r="R35" s="1"/>
  <c r="AV34" i="72"/>
  <c r="P27" i="88"/>
  <c r="R27" s="1"/>
  <c r="T27" s="1"/>
  <c r="AV26" i="72"/>
  <c r="P48" i="92"/>
  <c r="R48" s="1"/>
  <c r="AY47" i="72"/>
  <c r="P57" i="86"/>
  <c r="R57" s="1"/>
  <c r="S57" s="1"/>
  <c r="AT56" i="72"/>
  <c r="P44" i="91"/>
  <c r="R44" s="1"/>
  <c r="AX43" i="72"/>
  <c r="P58" i="92"/>
  <c r="R58" s="1"/>
  <c r="T58" s="1"/>
  <c r="AY57" i="72"/>
  <c r="P36" i="91"/>
  <c r="R36" s="1"/>
  <c r="AX35" i="72"/>
  <c r="P38" i="88"/>
  <c r="R38" s="1"/>
  <c r="T38" s="1"/>
  <c r="AV37" i="72"/>
  <c r="U73" i="91"/>
  <c r="V72" i="72"/>
  <c r="P56" i="92"/>
  <c r="R56" s="1"/>
  <c r="AY55" i="72"/>
  <c r="U12" i="86"/>
  <c r="R11" i="72"/>
  <c r="P23" i="89"/>
  <c r="R23" s="1"/>
  <c r="T23" s="1"/>
  <c r="AW22" i="72"/>
  <c r="P41" i="92"/>
  <c r="R41" s="1"/>
  <c r="AY40" i="72"/>
  <c r="P75" i="91"/>
  <c r="R75" s="1"/>
  <c r="T75" s="1"/>
  <c r="AX74" i="72"/>
  <c r="P61" i="91"/>
  <c r="R61" s="1"/>
  <c r="AX60" i="72"/>
  <c r="P60" i="86"/>
  <c r="R60" s="1"/>
  <c r="S60" s="1"/>
  <c r="AT59" i="72"/>
  <c r="P74" i="91"/>
  <c r="R74" s="1"/>
  <c r="T74" s="1"/>
  <c r="AX73" i="72"/>
  <c r="P26" i="88"/>
  <c r="R26" s="1"/>
  <c r="S26" s="1"/>
  <c r="AV25" i="72"/>
  <c r="P20" i="86"/>
  <c r="R20" s="1"/>
  <c r="AT19" i="72"/>
  <c r="P70" i="88"/>
  <c r="R70" s="1"/>
  <c r="AV69" i="72"/>
  <c r="P22" i="86"/>
  <c r="R22" s="1"/>
  <c r="T22" s="1"/>
  <c r="AT21" i="72"/>
  <c r="P8" i="86"/>
  <c r="R8" s="1"/>
  <c r="S8" s="1"/>
  <c r="AT7" i="72"/>
  <c r="P27" i="91"/>
  <c r="R27" s="1"/>
  <c r="T27" s="1"/>
  <c r="AX26" i="72"/>
  <c r="P16" i="92"/>
  <c r="R16" s="1"/>
  <c r="T16" s="1"/>
  <c r="AY15" i="72"/>
  <c r="P46" i="86"/>
  <c r="R46" s="1"/>
  <c r="T46" s="1"/>
  <c r="AT45" i="72"/>
  <c r="P72" i="86"/>
  <c r="R72" s="1"/>
  <c r="S72" s="1"/>
  <c r="AT71" i="72"/>
  <c r="P34" i="92"/>
  <c r="R34" s="1"/>
  <c r="AY33" i="72"/>
  <c r="P29" i="91"/>
  <c r="R29" s="1"/>
  <c r="AX28" i="72"/>
  <c r="P13" i="88"/>
  <c r="R13" s="1"/>
  <c r="S13" s="1"/>
  <c r="AV12" i="72"/>
  <c r="P69" i="89"/>
  <c r="R69" s="1"/>
  <c r="AW68" i="72"/>
  <c r="P68" i="88"/>
  <c r="R68" s="1"/>
  <c r="AV67" i="72"/>
  <c r="P38" i="91"/>
  <c r="R38" s="1"/>
  <c r="T38" s="1"/>
  <c r="AX37" i="72"/>
  <c r="P33" i="91"/>
  <c r="R33" s="1"/>
  <c r="T33" s="1"/>
  <c r="AX32" i="72"/>
  <c r="P43" i="89"/>
  <c r="R43" s="1"/>
  <c r="S43" s="1"/>
  <c r="AW42" i="72"/>
  <c r="P32" i="86"/>
  <c r="R32" s="1"/>
  <c r="AT31" i="72"/>
  <c r="P52" i="91"/>
  <c r="R52" s="1"/>
  <c r="AX51" i="72"/>
  <c r="U25" i="88"/>
  <c r="T24" i="72"/>
  <c r="U14" i="86"/>
  <c r="R13" i="72"/>
  <c r="P30" i="92"/>
  <c r="R30" s="1"/>
  <c r="AY29" i="72"/>
  <c r="U18" i="92"/>
  <c r="W17" i="72"/>
  <c r="P61" i="88"/>
  <c r="R61" s="1"/>
  <c r="T61" s="1"/>
  <c r="AV60" i="72"/>
  <c r="P74" i="88"/>
  <c r="R74" s="1"/>
  <c r="AV73" i="72"/>
  <c r="P20" i="88"/>
  <c r="R20" s="1"/>
  <c r="T20" s="1"/>
  <c r="AV19" i="72"/>
  <c r="P70" i="89"/>
  <c r="R70" s="1"/>
  <c r="T70" s="1"/>
  <c r="AW69" i="72"/>
  <c r="P35" i="92"/>
  <c r="R35" s="1"/>
  <c r="T35" s="1"/>
  <c r="AY34" i="72"/>
  <c r="P59" i="86"/>
  <c r="R59" s="1"/>
  <c r="S59" s="1"/>
  <c r="AT58" i="72"/>
  <c r="P72" i="91"/>
  <c r="R72" s="1"/>
  <c r="AX71" i="72"/>
  <c r="P34" i="89"/>
  <c r="R34" s="1"/>
  <c r="T34" s="1"/>
  <c r="AW33" i="72"/>
  <c r="P68" i="89"/>
  <c r="R68" s="1"/>
  <c r="AW67" i="72"/>
  <c r="P38" i="92"/>
  <c r="R38" s="1"/>
  <c r="T38" s="1"/>
  <c r="AY37" i="72"/>
  <c r="P67" i="88"/>
  <c r="R67" s="1"/>
  <c r="T67" s="1"/>
  <c r="AV66" i="72"/>
  <c r="P43" i="86"/>
  <c r="R43" s="1"/>
  <c r="S43" s="1"/>
  <c r="AT42" i="72"/>
  <c r="P39" i="86"/>
  <c r="R39" s="1"/>
  <c r="T39" s="1"/>
  <c r="AT38" i="72"/>
  <c r="U42" i="86"/>
  <c r="R41" i="72"/>
  <c r="U49" i="89"/>
  <c r="U48" i="72"/>
  <c r="U50" i="88"/>
  <c r="T49" i="72"/>
  <c r="U21" i="89"/>
  <c r="U20" i="72"/>
  <c r="U65" i="92"/>
  <c r="W64" i="72"/>
  <c r="U50" i="86"/>
  <c r="R49" i="72"/>
  <c r="U11" i="92"/>
  <c r="W10" i="72"/>
  <c r="U73" i="88"/>
  <c r="T72" i="72"/>
  <c r="U62" i="85"/>
  <c r="Q61" i="72"/>
  <c r="T49" i="90"/>
  <c r="V49" s="1"/>
  <c r="T31"/>
  <c r="V31" s="1"/>
  <c r="T21"/>
  <c r="V21" s="1"/>
  <c r="T65"/>
  <c r="V65" s="1"/>
  <c r="T19"/>
  <c r="V19" s="1"/>
  <c r="T53"/>
  <c r="V53" s="1"/>
  <c r="T54"/>
  <c r="V54" s="1"/>
  <c r="X54" s="1"/>
  <c r="AA43" i="100"/>
  <c r="S44" i="90"/>
  <c r="AZ43" i="72" s="1"/>
  <c r="AA60" i="100"/>
  <c r="AD60" s="1"/>
  <c r="G62" i="96" s="1"/>
  <c r="M62" s="1"/>
  <c r="N62" s="1"/>
  <c r="S61" i="90"/>
  <c r="AZ60" i="72" s="1"/>
  <c r="AA32" i="100"/>
  <c r="S33" i="90"/>
  <c r="AZ32" i="72" s="1"/>
  <c r="AA51" i="100"/>
  <c r="AD51" s="1"/>
  <c r="G53" i="96" s="1"/>
  <c r="S52" i="90"/>
  <c r="AA63" i="100"/>
  <c r="S64" i="90"/>
  <c r="AZ63" i="72" s="1"/>
  <c r="AA47" i="100"/>
  <c r="AD47" s="1"/>
  <c r="G49" i="96" s="1"/>
  <c r="S48" i="90"/>
  <c r="AA54" i="100"/>
  <c r="S55" i="90"/>
  <c r="AZ54" i="72" s="1"/>
  <c r="AA27" i="100"/>
  <c r="S28" i="90"/>
  <c r="AA35" i="100"/>
  <c r="S36" i="90"/>
  <c r="AZ35" i="72" s="1"/>
  <c r="AA38" i="100"/>
  <c r="AD38" s="1"/>
  <c r="G40" i="96" s="1"/>
  <c r="H40" s="1"/>
  <c r="S39" i="90"/>
  <c r="AA31" i="100"/>
  <c r="S32" i="90"/>
  <c r="AZ31" i="72" s="1"/>
  <c r="AA71" i="100"/>
  <c r="S72" i="90"/>
  <c r="AA66" i="100"/>
  <c r="S67" i="90"/>
  <c r="AZ66" i="72" s="1"/>
  <c r="AA50" i="100"/>
  <c r="AD50" s="1"/>
  <c r="G52" i="96" s="1"/>
  <c r="H52" s="1"/>
  <c r="S51" i="90"/>
  <c r="AA7" i="100"/>
  <c r="AD7" s="1"/>
  <c r="G9" i="96" s="1"/>
  <c r="S8" i="90"/>
  <c r="AZ7" i="72" s="1"/>
  <c r="AA33" i="100"/>
  <c r="AD33" s="1"/>
  <c r="G35" i="96" s="1"/>
  <c r="S34" i="90"/>
  <c r="AA44" i="100"/>
  <c r="S45" i="90"/>
  <c r="AZ44" i="72" s="1"/>
  <c r="AA22" i="100"/>
  <c r="S23" i="90"/>
  <c r="AA36" i="100"/>
  <c r="S37" i="90"/>
  <c r="AZ36" i="72" s="1"/>
  <c r="AA34" i="100"/>
  <c r="AD34" s="1"/>
  <c r="G36" i="96" s="1"/>
  <c r="S35" i="90"/>
  <c r="AZ34" i="72" s="1"/>
  <c r="AA58" i="100"/>
  <c r="S59" i="90"/>
  <c r="AZ58" i="72" s="1"/>
  <c r="AA12" i="100"/>
  <c r="AD12" s="1"/>
  <c r="G14" i="96" s="1"/>
  <c r="S13" i="90"/>
  <c r="AA57" i="100"/>
  <c r="S58" i="90"/>
  <c r="AZ57" i="72" s="1"/>
  <c r="AA37" i="100"/>
  <c r="AE37" s="1"/>
  <c r="S38" i="90"/>
  <c r="AZ37" i="72" s="1"/>
  <c r="AA14" i="100"/>
  <c r="S15" i="90"/>
  <c r="AZ14" i="72" s="1"/>
  <c r="AA29" i="100"/>
  <c r="S30" i="90"/>
  <c r="AA40" i="100"/>
  <c r="S41" i="90"/>
  <c r="AZ40" i="72" s="1"/>
  <c r="AA65" i="100"/>
  <c r="AD65" s="1"/>
  <c r="G67" i="96" s="1"/>
  <c r="S66" i="90"/>
  <c r="AZ65" i="72" s="1"/>
  <c r="AA25" i="100"/>
  <c r="S26" i="90"/>
  <c r="AZ25" i="72" s="1"/>
  <c r="AA19" i="100"/>
  <c r="S20" i="90"/>
  <c r="AZ19" i="72" s="1"/>
  <c r="AA26" i="100"/>
  <c r="S27" i="90"/>
  <c r="AZ26" i="72" s="1"/>
  <c r="AA45" i="100"/>
  <c r="AE45" s="1"/>
  <c r="S46" i="90"/>
  <c r="AZ45" i="72" s="1"/>
  <c r="AA39" i="100"/>
  <c r="S40" i="90"/>
  <c r="AZ39" i="72" s="1"/>
  <c r="AA8" i="100"/>
  <c r="AD8" s="1"/>
  <c r="G10" i="96" s="1"/>
  <c r="S9" i="90"/>
  <c r="AA68" i="100"/>
  <c r="S69" i="90"/>
  <c r="AZ68" i="72" s="1"/>
  <c r="AA67" i="100"/>
  <c r="AD67" s="1"/>
  <c r="G69" i="96" s="1"/>
  <c r="S68" i="90"/>
  <c r="AZ67" i="72" s="1"/>
  <c r="AD30" i="100"/>
  <c r="G32" i="96" s="1"/>
  <c r="M32" s="1"/>
  <c r="N32" s="1"/>
  <c r="AA59" i="100"/>
  <c r="AE59" s="1"/>
  <c r="S60" i="90"/>
  <c r="AZ59" i="72" s="1"/>
  <c r="AA55" i="100"/>
  <c r="AD55" s="1"/>
  <c r="G57" i="96" s="1"/>
  <c r="S56" i="90"/>
  <c r="AZ55" i="72" s="1"/>
  <c r="AE62" i="100"/>
  <c r="AA73"/>
  <c r="S74" i="90"/>
  <c r="AA69" i="100"/>
  <c r="S70" i="90"/>
  <c r="AZ69" i="72" s="1"/>
  <c r="AA56" i="100"/>
  <c r="AE56" s="1"/>
  <c r="S57" i="90"/>
  <c r="AZ56" i="72" s="1"/>
  <c r="AA70" i="100"/>
  <c r="AD70" s="1"/>
  <c r="S71" i="90"/>
  <c r="AZ70" i="72" s="1"/>
  <c r="AA42" i="100"/>
  <c r="AD42" s="1"/>
  <c r="G44" i="96" s="1"/>
  <c r="S43" i="90"/>
  <c r="AA74" i="100"/>
  <c r="S75" i="90"/>
  <c r="AZ74" i="72" s="1"/>
  <c r="AA21" i="100"/>
  <c r="AD21" s="1"/>
  <c r="G23" i="96" s="1"/>
  <c r="S22" i="90"/>
  <c r="AZ21" i="72" s="1"/>
  <c r="AA15" i="100"/>
  <c r="S16" i="90"/>
  <c r="AZ15" i="72" s="1"/>
  <c r="AA28" i="100"/>
  <c r="AE28" s="1"/>
  <c r="S29" i="90"/>
  <c r="AA23" i="100"/>
  <c r="S24" i="90"/>
  <c r="AZ23" i="72" s="1"/>
  <c r="U28" i="80"/>
  <c r="P30" i="72" s="1"/>
  <c r="U44" i="76"/>
  <c r="W44" s="1"/>
  <c r="P21" i="31"/>
  <c r="P69" s="1"/>
  <c r="O69"/>
  <c r="V7" i="80"/>
  <c r="U70"/>
  <c r="P72" i="72" s="1"/>
  <c r="V46" i="76"/>
  <c r="U22" i="80"/>
  <c r="W22" s="1"/>
  <c r="U15" i="76"/>
  <c r="O17" i="72" s="1"/>
  <c r="R31" i="80"/>
  <c r="T31" s="1"/>
  <c r="V31" s="1"/>
  <c r="U11"/>
  <c r="W11" s="1"/>
  <c r="U70" i="76"/>
  <c r="O72" i="72" s="1"/>
  <c r="U16" i="76"/>
  <c r="O18" i="72" s="1"/>
  <c r="U46" i="80"/>
  <c r="P48" i="72" s="1"/>
  <c r="U18" i="76"/>
  <c r="O20" i="72" s="1"/>
  <c r="U28" i="76"/>
  <c r="W28" s="1"/>
  <c r="V16" i="80"/>
  <c r="AD19" i="100"/>
  <c r="G21" i="96" s="1"/>
  <c r="V7" i="76"/>
  <c r="R10" i="80"/>
  <c r="T10" s="1"/>
  <c r="V10" s="1"/>
  <c r="V59" i="76"/>
  <c r="V9"/>
  <c r="V11"/>
  <c r="AD69" i="100"/>
  <c r="R12" i="76"/>
  <c r="T12" s="1"/>
  <c r="U12" s="1"/>
  <c r="R38"/>
  <c r="T38" s="1"/>
  <c r="V38" s="1"/>
  <c r="R40" i="80"/>
  <c r="T40" s="1"/>
  <c r="U40" s="1"/>
  <c r="U47" i="76"/>
  <c r="O49" i="72" s="1"/>
  <c r="U62" i="80"/>
  <c r="P64" i="72" s="1"/>
  <c r="AD58" i="100"/>
  <c r="AD27"/>
  <c r="G29" i="96" s="1"/>
  <c r="AD23" i="100"/>
  <c r="G25" i="96" s="1"/>
  <c r="AD28" i="100"/>
  <c r="G30" i="96" s="1"/>
  <c r="U60" i="80"/>
  <c r="W60" s="1"/>
  <c r="R5" i="76"/>
  <c r="T5" s="1"/>
  <c r="U5" s="1"/>
  <c r="AD22" i="100"/>
  <c r="AD74"/>
  <c r="G76" i="96" s="1"/>
  <c r="AD36" i="100"/>
  <c r="G38" i="96" s="1"/>
  <c r="AD25" i="100"/>
  <c r="G27" i="96" s="1"/>
  <c r="H27" s="1"/>
  <c r="S61" i="31"/>
  <c r="U61" s="1"/>
  <c r="V60" i="76"/>
  <c r="V8"/>
  <c r="AD40" i="100"/>
  <c r="G42" i="96" s="1"/>
  <c r="AD54" i="100"/>
  <c r="G56" i="96" s="1"/>
  <c r="AD29" i="100"/>
  <c r="G31" i="96" s="1"/>
  <c r="AD14" i="100"/>
  <c r="G16" i="96" s="1"/>
  <c r="AD31" i="100"/>
  <c r="G33" i="96" s="1"/>
  <c r="AD44" i="100"/>
  <c r="G46" i="96" s="1"/>
  <c r="V47" i="80"/>
  <c r="V39"/>
  <c r="AD26" i="100"/>
  <c r="G28" i="96" s="1"/>
  <c r="M28" s="1"/>
  <c r="N28" s="1"/>
  <c r="AD71" i="100"/>
  <c r="AD39"/>
  <c r="G41" i="96" s="1"/>
  <c r="AD57" i="100"/>
  <c r="G59" i="96" s="1"/>
  <c r="AD35" i="100"/>
  <c r="G37" i="96" s="1"/>
  <c r="AD32" i="100"/>
  <c r="G34" i="96" s="1"/>
  <c r="M34" s="1"/>
  <c r="N34" s="1"/>
  <c r="AD66" i="100"/>
  <c r="G68" i="96" s="1"/>
  <c r="AD63" i="100"/>
  <c r="AD68"/>
  <c r="G70" i="96" s="1"/>
  <c r="AD73" i="100"/>
  <c r="G75" i="96" s="1"/>
  <c r="AD15" i="100"/>
  <c r="G17" i="96" s="1"/>
  <c r="AD43" i="100"/>
  <c r="G45" i="96" s="1"/>
  <c r="S37" i="86"/>
  <c r="S32" i="88"/>
  <c r="T32"/>
  <c r="S45"/>
  <c r="S64" i="89"/>
  <c r="T64"/>
  <c r="S8" i="91"/>
  <c r="T8"/>
  <c r="S23" i="92"/>
  <c r="S36" i="91"/>
  <c r="T36"/>
  <c r="S23" i="89"/>
  <c r="S41" i="92"/>
  <c r="T41"/>
  <c r="S61" i="91"/>
  <c r="T61"/>
  <c r="S46" i="86"/>
  <c r="S8" i="88"/>
  <c r="T8"/>
  <c r="S71" i="89"/>
  <c r="S26" i="92"/>
  <c r="T26"/>
  <c r="S67"/>
  <c r="X25" i="90"/>
  <c r="W73"/>
  <c r="X73"/>
  <c r="S16" i="91"/>
  <c r="T16"/>
  <c r="S59" i="89"/>
  <c r="T59"/>
  <c r="S45" i="91"/>
  <c r="S24" i="88"/>
  <c r="T24"/>
  <c r="S43"/>
  <c r="T43"/>
  <c r="S15"/>
  <c r="T15"/>
  <c r="S27" i="92"/>
  <c r="S16" i="88"/>
  <c r="T16"/>
  <c r="S9" i="86"/>
  <c r="T9"/>
  <c r="S29" i="88"/>
  <c r="T29"/>
  <c r="S61"/>
  <c r="S72" i="91"/>
  <c r="T72"/>
  <c r="S34" i="89"/>
  <c r="S68"/>
  <c r="T68"/>
  <c r="S67" i="88"/>
  <c r="T43" i="86"/>
  <c r="S39"/>
  <c r="S51" i="91"/>
  <c r="T51"/>
  <c r="S37" i="89"/>
  <c r="T37"/>
  <c r="S70" i="86"/>
  <c r="T70"/>
  <c r="S22"/>
  <c r="S16" i="89"/>
  <c r="T16"/>
  <c r="S72" i="88"/>
  <c r="S34" i="92"/>
  <c r="T34"/>
  <c r="S44" i="88"/>
  <c r="T44"/>
  <c r="S68"/>
  <c r="T68"/>
  <c r="S33" i="91"/>
  <c r="S45" i="89"/>
  <c r="T45"/>
  <c r="S56" i="91"/>
  <c r="T56"/>
  <c r="S60" i="89"/>
  <c r="S74"/>
  <c r="T74"/>
  <c r="S20" i="88"/>
  <c r="S28"/>
  <c r="T28"/>
  <c r="S28" i="91"/>
  <c r="S46" i="89"/>
  <c r="T46"/>
  <c r="S57" i="91"/>
  <c r="T57"/>
  <c r="S34" i="88"/>
  <c r="T34" i="91"/>
  <c r="S58" i="92"/>
  <c r="S36"/>
  <c r="T36"/>
  <c r="T67" i="86"/>
  <c r="S43" i="91"/>
  <c r="T43"/>
  <c r="S15" i="86"/>
  <c r="T15"/>
  <c r="S32" i="89"/>
  <c r="S52" i="88"/>
  <c r="T52"/>
  <c r="S18" i="85"/>
  <c r="T18"/>
  <c r="S56" i="86"/>
  <c r="T56"/>
  <c r="S14" i="85"/>
  <c r="T14"/>
  <c r="S66" i="91"/>
  <c r="T66"/>
  <c r="S74" i="86"/>
  <c r="T74"/>
  <c r="T26" i="88"/>
  <c r="S64" i="86"/>
  <c r="T8"/>
  <c r="S27" i="91"/>
  <c r="S66" i="92"/>
  <c r="T66"/>
  <c r="S60" i="91"/>
  <c r="S55"/>
  <c r="T55"/>
  <c r="T64" i="88"/>
  <c r="S35" i="89"/>
  <c r="R56" i="76"/>
  <c r="T56" s="1"/>
  <c r="U56" s="1"/>
  <c r="T28" i="92"/>
  <c r="S16" i="86"/>
  <c r="T16"/>
  <c r="T72"/>
  <c r="S40" i="92"/>
  <c r="T40"/>
  <c r="S40" i="86"/>
  <c r="T40"/>
  <c r="S44"/>
  <c r="T44"/>
  <c r="T13" i="88"/>
  <c r="S58"/>
  <c r="S68" i="86"/>
  <c r="T68"/>
  <c r="S36"/>
  <c r="T36"/>
  <c r="S15" i="89"/>
  <c r="T15"/>
  <c r="S32" i="86"/>
  <c r="T32"/>
  <c r="S52"/>
  <c r="T52"/>
  <c r="S42" i="85"/>
  <c r="T42"/>
  <c r="S30" i="86"/>
  <c r="T30"/>
  <c r="T56" i="89"/>
  <c r="R53" i="80"/>
  <c r="T53" s="1"/>
  <c r="U53" s="1"/>
  <c r="S23" i="88"/>
  <c r="S75" i="89"/>
  <c r="T75"/>
  <c r="R48" i="80"/>
  <c r="T48" s="1"/>
  <c r="U48" s="1"/>
  <c r="S51" i="88"/>
  <c r="T51"/>
  <c r="S26" i="89"/>
  <c r="T26"/>
  <c r="S20"/>
  <c r="T20"/>
  <c r="S55" i="86"/>
  <c r="T55"/>
  <c r="S70" i="92"/>
  <c r="T70"/>
  <c r="S8"/>
  <c r="T8"/>
  <c r="S59"/>
  <c r="T59"/>
  <c r="S27" i="86"/>
  <c r="T27"/>
  <c r="S28" i="89"/>
  <c r="T28"/>
  <c r="S57" i="88"/>
  <c r="T72" i="92"/>
  <c r="S44" i="89"/>
  <c r="T44"/>
  <c r="S58"/>
  <c r="T58"/>
  <c r="S69" i="88"/>
  <c r="T69"/>
  <c r="T68" i="91"/>
  <c r="S71" i="92"/>
  <c r="T71"/>
  <c r="S38" i="89"/>
  <c r="T38"/>
  <c r="S15" i="92"/>
  <c r="T15"/>
  <c r="W17" i="90"/>
  <c r="X17"/>
  <c r="S11" i="85"/>
  <c r="T11"/>
  <c r="U59" i="80"/>
  <c r="P61" i="72" s="1"/>
  <c r="S53" i="85"/>
  <c r="T53"/>
  <c r="S50"/>
  <c r="T50"/>
  <c r="S54"/>
  <c r="T54"/>
  <c r="Y75" i="100"/>
  <c r="U75"/>
  <c r="T60" i="92"/>
  <c r="S74" i="91"/>
  <c r="S22" i="92"/>
  <c r="T22"/>
  <c r="S32"/>
  <c r="S75" i="86"/>
  <c r="S60" i="88"/>
  <c r="T60"/>
  <c r="S37" i="92"/>
  <c r="S64" i="91"/>
  <c r="T64"/>
  <c r="S35" i="92"/>
  <c r="S13" i="89"/>
  <c r="S58" i="91"/>
  <c r="T58"/>
  <c r="T33" i="92"/>
  <c r="S24" i="89"/>
  <c r="S52"/>
  <c r="T52"/>
  <c r="S12" i="85"/>
  <c r="T12"/>
  <c r="S41" i="91"/>
  <c r="T41"/>
  <c r="R72" i="80"/>
  <c r="T72" s="1"/>
  <c r="V72" s="1"/>
  <c r="T51" i="92"/>
  <c r="S26" i="86"/>
  <c r="S20"/>
  <c r="T20"/>
  <c r="S27" i="89"/>
  <c r="T27"/>
  <c r="S48" i="86"/>
  <c r="T48"/>
  <c r="S16" i="92"/>
  <c r="S57" i="89"/>
  <c r="T57"/>
  <c r="S34" i="86"/>
  <c r="T34"/>
  <c r="S24"/>
  <c r="T24"/>
  <c r="S73" i="85"/>
  <c r="T73"/>
  <c r="S75" i="92"/>
  <c r="T75"/>
  <c r="S66" i="88"/>
  <c r="T66"/>
  <c r="S66" i="89"/>
  <c r="T66"/>
  <c r="S55" i="92"/>
  <c r="T55"/>
  <c r="T22" i="88"/>
  <c r="S22" i="91"/>
  <c r="T22"/>
  <c r="T64" i="92"/>
  <c r="S35" i="86"/>
  <c r="T35"/>
  <c r="S59" i="88"/>
  <c r="T46" i="91"/>
  <c r="S57" i="92"/>
  <c r="T57"/>
  <c r="S40" i="88"/>
  <c r="T40"/>
  <c r="S40" i="91"/>
  <c r="T40"/>
  <c r="S29" i="92"/>
  <c r="T29"/>
  <c r="T44"/>
  <c r="S13" i="91"/>
  <c r="T13"/>
  <c r="T69" i="92"/>
  <c r="S71" i="88"/>
  <c r="T71"/>
  <c r="T33" i="86"/>
  <c r="S24" i="91"/>
  <c r="T24"/>
  <c r="T43" i="92"/>
  <c r="T32" i="91"/>
  <c r="S30" i="92"/>
  <c r="T30"/>
  <c r="S56" i="88"/>
  <c r="T56"/>
  <c r="S10" i="85"/>
  <c r="T10"/>
  <c r="S31"/>
  <c r="T31"/>
  <c r="U18" i="80"/>
  <c r="W18" s="1"/>
  <c r="S65" i="85"/>
  <c r="T65"/>
  <c r="S19"/>
  <c r="T19"/>
  <c r="S17"/>
  <c r="T17"/>
  <c r="W75" i="100"/>
  <c r="Z75"/>
  <c r="S41" i="89"/>
  <c r="S75" i="88"/>
  <c r="T75"/>
  <c r="S61" i="89"/>
  <c r="T61"/>
  <c r="S51"/>
  <c r="T51"/>
  <c r="S55" i="88"/>
  <c r="T55"/>
  <c r="S29" i="89"/>
  <c r="T29"/>
  <c r="S68" i="92"/>
  <c r="S36" i="88"/>
  <c r="T36"/>
  <c r="S38" i="86"/>
  <c r="T38"/>
  <c r="T30" i="88"/>
  <c r="S41"/>
  <c r="T41"/>
  <c r="S26" i="91"/>
  <c r="T26"/>
  <c r="S20"/>
  <c r="T22" i="89"/>
  <c r="S48" i="92"/>
  <c r="T48"/>
  <c r="S9" i="88"/>
  <c r="S44" i="91"/>
  <c r="T44"/>
  <c r="S39" i="88"/>
  <c r="W14" i="90"/>
  <c r="X14"/>
  <c r="S30" i="91"/>
  <c r="S66" i="86"/>
  <c r="T66"/>
  <c r="S61" i="92"/>
  <c r="T48" i="88"/>
  <c r="S9" i="89"/>
  <c r="S58" i="86"/>
  <c r="T58"/>
  <c r="S67" i="89"/>
  <c r="T67"/>
  <c r="S39"/>
  <c r="T39"/>
  <c r="S45" i="92"/>
  <c r="T45"/>
  <c r="S49" i="85"/>
  <c r="Q48" i="72" s="1"/>
  <c r="T49" i="85"/>
  <c r="T38" i="46"/>
  <c r="S23" i="86"/>
  <c r="T23"/>
  <c r="S23" i="91"/>
  <c r="T23"/>
  <c r="T61" i="86"/>
  <c r="S51"/>
  <c r="T51"/>
  <c r="T37" i="88"/>
  <c r="S55" i="89"/>
  <c r="T55"/>
  <c r="S35" i="88"/>
  <c r="T35"/>
  <c r="S48" i="89"/>
  <c r="T48"/>
  <c r="S46" i="92"/>
  <c r="T46"/>
  <c r="T57" i="86"/>
  <c r="S9" i="92"/>
  <c r="T9"/>
  <c r="T29" i="86"/>
  <c r="S69"/>
  <c r="T69"/>
  <c r="S71" i="91"/>
  <c r="T71"/>
  <c r="T33" i="88"/>
  <c r="S67" i="91"/>
  <c r="T67"/>
  <c r="S15"/>
  <c r="T39" i="92"/>
  <c r="S45" i="86"/>
  <c r="T45"/>
  <c r="S63" i="85"/>
  <c r="T63"/>
  <c r="S47"/>
  <c r="T47"/>
  <c r="S25"/>
  <c r="T25"/>
  <c r="S21"/>
  <c r="T21"/>
  <c r="X75" i="100"/>
  <c r="M50" i="96"/>
  <c r="N50" s="1"/>
  <c r="AE11" i="100"/>
  <c r="AE29"/>
  <c r="AE44"/>
  <c r="AE46"/>
  <c r="G74" i="96"/>
  <c r="M74" s="1"/>
  <c r="N74" s="1"/>
  <c r="H51"/>
  <c r="R31" i="76"/>
  <c r="T31" s="1"/>
  <c r="V31" s="1"/>
  <c r="V22"/>
  <c r="R53"/>
  <c r="T53" s="1"/>
  <c r="U53" s="1"/>
  <c r="R38" i="80"/>
  <c r="T38" s="1"/>
  <c r="V38" s="1"/>
  <c r="R39" i="90"/>
  <c r="R42" i="80"/>
  <c r="T42" s="1"/>
  <c r="U42" s="1"/>
  <c r="R63"/>
  <c r="T63" s="1"/>
  <c r="V63" s="1"/>
  <c r="R66" i="76"/>
  <c r="T66" s="1"/>
  <c r="V66" s="1"/>
  <c r="R64" i="80"/>
  <c r="T64" s="1"/>
  <c r="U64" s="1"/>
  <c r="N75" i="100"/>
  <c r="R6" i="80"/>
  <c r="T6" s="1"/>
  <c r="U6" s="1"/>
  <c r="V39" i="76"/>
  <c r="V44" i="80"/>
  <c r="R72" i="90"/>
  <c r="AE43" i="100"/>
  <c r="AE68"/>
  <c r="AE41"/>
  <c r="R20" i="80"/>
  <c r="T20" s="1"/>
  <c r="U20" s="1"/>
  <c r="R37" i="76"/>
  <c r="T37" s="1"/>
  <c r="U37" s="1"/>
  <c r="R49" i="80"/>
  <c r="T49" s="1"/>
  <c r="V49" s="1"/>
  <c r="R23" i="76"/>
  <c r="T23" s="1"/>
  <c r="U23" s="1"/>
  <c r="R55"/>
  <c r="T55" s="1"/>
  <c r="V55" s="1"/>
  <c r="R57" i="80"/>
  <c r="T57" s="1"/>
  <c r="U57" s="1"/>
  <c r="R52"/>
  <c r="T52" s="1"/>
  <c r="U52" s="1"/>
  <c r="R5"/>
  <c r="T5" s="1"/>
  <c r="U5" s="1"/>
  <c r="R54"/>
  <c r="T54" s="1"/>
  <c r="U54" s="1"/>
  <c r="R69"/>
  <c r="T69" s="1"/>
  <c r="V69" s="1"/>
  <c r="R26" i="76"/>
  <c r="T26" s="1"/>
  <c r="V26" s="1"/>
  <c r="R10"/>
  <c r="T10" s="1"/>
  <c r="V10" s="1"/>
  <c r="R24" i="80"/>
  <c r="T24" s="1"/>
  <c r="V24" s="1"/>
  <c r="R57" i="76"/>
  <c r="T57" s="1"/>
  <c r="U57" s="1"/>
  <c r="R71" i="80"/>
  <c r="T71" s="1"/>
  <c r="U71" s="1"/>
  <c r="AE10" i="100"/>
  <c r="R45" i="80"/>
  <c r="T45" s="1"/>
  <c r="V45" s="1"/>
  <c r="R32" i="90"/>
  <c r="R42" i="76"/>
  <c r="T42" s="1"/>
  <c r="U42" s="1"/>
  <c r="R24"/>
  <c r="T24" s="1"/>
  <c r="V24" s="1"/>
  <c r="R6"/>
  <c r="T6" s="1"/>
  <c r="V6" s="1"/>
  <c r="AE8" i="100"/>
  <c r="AE23"/>
  <c r="R72" i="76"/>
  <c r="T72" s="1"/>
  <c r="V72" s="1"/>
  <c r="R61" i="80"/>
  <c r="T61" s="1"/>
  <c r="U61" s="1"/>
  <c r="R35" i="90"/>
  <c r="R32" i="80"/>
  <c r="T32" s="1"/>
  <c r="V32" s="1"/>
  <c r="R59" i="90"/>
  <c r="R48"/>
  <c r="R13" i="80"/>
  <c r="T13" s="1"/>
  <c r="V13" s="1"/>
  <c r="R43"/>
  <c r="T43" s="1"/>
  <c r="U43" s="1"/>
  <c r="R54" i="76"/>
  <c r="T54" s="1"/>
  <c r="U54" s="1"/>
  <c r="R37" i="80"/>
  <c r="T37" s="1"/>
  <c r="V37" s="1"/>
  <c r="AE42" i="100"/>
  <c r="R15" i="90"/>
  <c r="R12" i="80"/>
  <c r="T12" s="1"/>
  <c r="U12" s="1"/>
  <c r="R67" i="76"/>
  <c r="T67" s="1"/>
  <c r="V67" s="1"/>
  <c r="R22" i="90"/>
  <c r="R61" i="76"/>
  <c r="T61" s="1"/>
  <c r="U61" s="1"/>
  <c r="R27" i="90"/>
  <c r="R46"/>
  <c r="R43" i="76"/>
  <c r="T43" s="1"/>
  <c r="U43" s="1"/>
  <c r="R21"/>
  <c r="T21" s="1"/>
  <c r="U21" s="1"/>
  <c r="R37" i="90"/>
  <c r="R38"/>
  <c r="R49" i="76"/>
  <c r="T49" s="1"/>
  <c r="U49" s="1"/>
  <c r="R41" i="90"/>
  <c r="R75"/>
  <c r="R61"/>
  <c r="R36"/>
  <c r="R70"/>
  <c r="R58" i="80"/>
  <c r="T58" s="1"/>
  <c r="U58" s="1"/>
  <c r="R58" i="76"/>
  <c r="T58" s="1"/>
  <c r="V58" s="1"/>
  <c r="R48"/>
  <c r="T48" s="1"/>
  <c r="U48" s="1"/>
  <c r="R55" i="90"/>
  <c r="R69" i="76"/>
  <c r="T69" s="1"/>
  <c r="U69" s="1"/>
  <c r="R40" i="90"/>
  <c r="R9"/>
  <c r="R34"/>
  <c r="R29"/>
  <c r="R41" i="76"/>
  <c r="T41" s="1"/>
  <c r="V41" s="1"/>
  <c r="R69" i="90"/>
  <c r="R66" i="80"/>
  <c r="T66" s="1"/>
  <c r="U66" s="1"/>
  <c r="R68" i="90"/>
  <c r="R35" i="80"/>
  <c r="T35" s="1"/>
  <c r="U35" s="1"/>
  <c r="R33" i="90"/>
  <c r="R27" i="80"/>
  <c r="T27" s="1"/>
  <c r="V27" s="1"/>
  <c r="R23" i="90"/>
  <c r="R17" i="76"/>
  <c r="T17" s="1"/>
  <c r="V17" s="1"/>
  <c r="R17" i="80"/>
  <c r="T17" s="1"/>
  <c r="U17" s="1"/>
  <c r="R52" i="76"/>
  <c r="T52" s="1"/>
  <c r="V52" s="1"/>
  <c r="R58" i="90"/>
  <c r="R65" i="76"/>
  <c r="T65" s="1"/>
  <c r="U65" s="1"/>
  <c r="R65" i="80"/>
  <c r="T65" s="1"/>
  <c r="U65" s="1"/>
  <c r="R33"/>
  <c r="T33" s="1"/>
  <c r="U33" s="1"/>
  <c r="R68"/>
  <c r="T68" s="1"/>
  <c r="U68" s="1"/>
  <c r="R68" i="76"/>
  <c r="T68" s="1"/>
  <c r="V68" s="1"/>
  <c r="R30"/>
  <c r="T30" s="1"/>
  <c r="V30" s="1"/>
  <c r="R67" i="90"/>
  <c r="R29" i="80"/>
  <c r="T29" s="1"/>
  <c r="U29" s="1"/>
  <c r="M22" i="96"/>
  <c r="N22" s="1"/>
  <c r="H22"/>
  <c r="M54"/>
  <c r="N54" s="1"/>
  <c r="H54"/>
  <c r="V51" i="80"/>
  <c r="U51"/>
  <c r="M12" i="96"/>
  <c r="N12" s="1"/>
  <c r="H12"/>
  <c r="V8" i="80"/>
  <c r="U8"/>
  <c r="R75" i="85"/>
  <c r="R26"/>
  <c r="R55"/>
  <c r="AE21" i="100"/>
  <c r="R35" i="85"/>
  <c r="R59"/>
  <c r="R27"/>
  <c r="R28"/>
  <c r="AE39" i="100"/>
  <c r="R34" i="85"/>
  <c r="R29"/>
  <c r="R58"/>
  <c r="U66" i="76"/>
  <c r="R69" i="85"/>
  <c r="R24"/>
  <c r="R43"/>
  <c r="V12" i="76"/>
  <c r="AE51" i="100"/>
  <c r="P9" i="72"/>
  <c r="W7" i="80"/>
  <c r="W46" i="76"/>
  <c r="O48" i="72"/>
  <c r="U18" i="46"/>
  <c r="W10"/>
  <c r="H26" i="96"/>
  <c r="M26"/>
  <c r="N26" s="1"/>
  <c r="R41" i="85"/>
  <c r="R74"/>
  <c r="AE54" i="100"/>
  <c r="P75"/>
  <c r="R70" i="85"/>
  <c r="R48"/>
  <c r="R72"/>
  <c r="O61" i="72"/>
  <c r="W59" i="76"/>
  <c r="M11" i="96"/>
  <c r="N11" s="1"/>
  <c r="H11"/>
  <c r="O9" i="72"/>
  <c r="W7" i="76"/>
  <c r="W46" i="80"/>
  <c r="W47"/>
  <c r="P49" i="72"/>
  <c r="R56" i="85"/>
  <c r="W8" i="76"/>
  <c r="O10" i="72"/>
  <c r="H13" i="96"/>
  <c r="M13"/>
  <c r="N13" s="1"/>
  <c r="V62" i="76"/>
  <c r="U62"/>
  <c r="H32" i="96"/>
  <c r="U15" i="80"/>
  <c r="V15"/>
  <c r="M55" i="96"/>
  <c r="N55" s="1"/>
  <c r="H55"/>
  <c r="Z28" i="46"/>
  <c r="R76" i="87"/>
  <c r="S7"/>
  <c r="S6" i="72" s="1"/>
  <c r="S75" s="1"/>
  <c r="H15" i="96"/>
  <c r="M15"/>
  <c r="N15" s="1"/>
  <c r="U14" i="76"/>
  <c r="V14"/>
  <c r="W29" i="46"/>
  <c r="U30"/>
  <c r="O7" i="89"/>
  <c r="N76"/>
  <c r="O7" i="85"/>
  <c r="N76"/>
  <c r="P73" i="76"/>
  <c r="P77" s="1"/>
  <c r="Q4"/>
  <c r="S75" i="100"/>
  <c r="Q4" i="80"/>
  <c r="P73"/>
  <c r="P77" s="1"/>
  <c r="Q7" i="90"/>
  <c r="Q76" s="1"/>
  <c r="P7"/>
  <c r="R20" i="76"/>
  <c r="T20" s="1"/>
  <c r="R63"/>
  <c r="T63" s="1"/>
  <c r="R74" i="90"/>
  <c r="R23" i="80"/>
  <c r="T23" s="1"/>
  <c r="R34"/>
  <c r="T34" s="1"/>
  <c r="R34" i="76"/>
  <c r="T34" s="1"/>
  <c r="R67" i="80"/>
  <c r="T67" s="1"/>
  <c r="R19" i="76"/>
  <c r="T19" s="1"/>
  <c r="R19" i="80"/>
  <c r="T19" s="1"/>
  <c r="R64" i="90"/>
  <c r="R32" i="76"/>
  <c r="T32" s="1"/>
  <c r="AE7" i="100"/>
  <c r="R56" i="80"/>
  <c r="T56" s="1"/>
  <c r="AE26" i="100"/>
  <c r="R25" i="76"/>
  <c r="T25" s="1"/>
  <c r="R25" i="80"/>
  <c r="T25" s="1"/>
  <c r="R44" i="90"/>
  <c r="R13"/>
  <c r="R71"/>
  <c r="AE70" i="100"/>
  <c r="R35" i="76"/>
  <c r="T35" s="1"/>
  <c r="AE32" i="100"/>
  <c r="R64" i="76"/>
  <c r="T64" s="1"/>
  <c r="R21" i="80"/>
  <c r="T21" s="1"/>
  <c r="R43" i="90"/>
  <c r="R40" i="76"/>
  <c r="T40" s="1"/>
  <c r="R36"/>
  <c r="T36" s="1"/>
  <c r="AE38" i="100"/>
  <c r="R30" i="90"/>
  <c r="G63" i="96"/>
  <c r="G43"/>
  <c r="AE74" i="100"/>
  <c r="R66" i="90"/>
  <c r="R51"/>
  <c r="AE50" i="100"/>
  <c r="R71" i="76"/>
  <c r="T71" s="1"/>
  <c r="AE63" i="100"/>
  <c r="R45" i="76"/>
  <c r="T45" s="1"/>
  <c r="AE15" i="100"/>
  <c r="R16" i="90"/>
  <c r="R26" i="80"/>
  <c r="T26" s="1"/>
  <c r="G64" i="96"/>
  <c r="AE52" i="100"/>
  <c r="AE20"/>
  <c r="G66" i="96"/>
  <c r="V9" i="80"/>
  <c r="U9"/>
  <c r="U14"/>
  <c r="V14"/>
  <c r="H19" i="96"/>
  <c r="M19"/>
  <c r="N19" s="1"/>
  <c r="R23" i="85"/>
  <c r="U72" i="76"/>
  <c r="R61" i="85"/>
  <c r="R51"/>
  <c r="AE19" i="100"/>
  <c r="R22" i="85"/>
  <c r="V61" i="80"/>
  <c r="R8" i="85"/>
  <c r="U24" i="76"/>
  <c r="AE27" i="100"/>
  <c r="U45" i="80"/>
  <c r="O75" i="100"/>
  <c r="AN75" i="72"/>
  <c r="R46" i="85"/>
  <c r="R57"/>
  <c r="R40"/>
  <c r="AE33" i="100"/>
  <c r="U31" i="80"/>
  <c r="U10"/>
  <c r="R13" i="85"/>
  <c r="M75" i="100"/>
  <c r="AE31"/>
  <c r="R36" i="85"/>
  <c r="R71"/>
  <c r="R33"/>
  <c r="R67"/>
  <c r="R39"/>
  <c r="AL75" i="72"/>
  <c r="R32" i="85"/>
  <c r="R45"/>
  <c r="W70" i="80"/>
  <c r="O24" i="72"/>
  <c r="W22" i="76"/>
  <c r="U49" i="85"/>
  <c r="O11" i="72"/>
  <c r="W9" i="76"/>
  <c r="AI75" i="72"/>
  <c r="R66" i="85"/>
  <c r="R60"/>
  <c r="K75" i="100"/>
  <c r="AO75" i="72"/>
  <c r="R64" i="85"/>
  <c r="AP75" i="72"/>
  <c r="R16" i="85"/>
  <c r="V40" i="80"/>
  <c r="R52" i="85"/>
  <c r="O62" i="72"/>
  <c r="W60" i="76"/>
  <c r="O46" i="72"/>
  <c r="S40" i="46"/>
  <c r="T40" s="1"/>
  <c r="R43"/>
  <c r="R42"/>
  <c r="T42" s="1"/>
  <c r="V51" i="76"/>
  <c r="U51"/>
  <c r="M18" i="96"/>
  <c r="N18" s="1"/>
  <c r="H18"/>
  <c r="V50" i="80"/>
  <c r="U50"/>
  <c r="M48" i="96"/>
  <c r="N48" s="1"/>
  <c r="H48"/>
  <c r="V50" i="76"/>
  <c r="U50"/>
  <c r="AM75" i="72"/>
  <c r="O41"/>
  <c r="W39" i="76"/>
  <c r="W39" i="80"/>
  <c r="P41" i="72"/>
  <c r="M9" i="31"/>
  <c r="O9" s="1"/>
  <c r="P9" s="1"/>
  <c r="R9" s="1"/>
  <c r="S9" s="1"/>
  <c r="P46" i="72"/>
  <c r="W44" i="80"/>
  <c r="Z23" i="46"/>
  <c r="D44" i="72"/>
  <c r="W11" i="76"/>
  <c r="O13" i="72"/>
  <c r="P18"/>
  <c r="W16" i="80"/>
  <c r="N76" i="91"/>
  <c r="O7"/>
  <c r="O7" i="88"/>
  <c r="N76"/>
  <c r="N76" i="86"/>
  <c r="O7"/>
  <c r="O7" i="92"/>
  <c r="N76"/>
  <c r="AE58" i="100"/>
  <c r="R13" i="76"/>
  <c r="T13" s="1"/>
  <c r="R57" i="90"/>
  <c r="J75" i="100"/>
  <c r="R60" i="90"/>
  <c r="R26"/>
  <c r="AE25" i="100"/>
  <c r="AJ75" i="72"/>
  <c r="R20" i="90"/>
  <c r="AE69" i="100"/>
  <c r="R8" i="90"/>
  <c r="R28"/>
  <c r="AE71" i="100"/>
  <c r="R41" i="80"/>
  <c r="T41" s="1"/>
  <c r="R55"/>
  <c r="T55" s="1"/>
  <c r="R33" i="76"/>
  <c r="T33" s="1"/>
  <c r="AE35" i="100"/>
  <c r="R30" i="80"/>
  <c r="T30" s="1"/>
  <c r="R24" i="90"/>
  <c r="R36" i="80"/>
  <c r="T36" s="1"/>
  <c r="R29" i="76"/>
  <c r="T29" s="1"/>
  <c r="R45" i="90"/>
  <c r="R52"/>
  <c r="R27" i="76"/>
  <c r="T27" s="1"/>
  <c r="R56" i="90"/>
  <c r="G20" i="96"/>
  <c r="U55" i="76" l="1"/>
  <c r="T69" i="90"/>
  <c r="V69" s="1"/>
  <c r="T58"/>
  <c r="V58" s="1"/>
  <c r="T67"/>
  <c r="V67" s="1"/>
  <c r="T15"/>
  <c r="V15" s="1"/>
  <c r="T32"/>
  <c r="V32" s="1"/>
  <c r="T41"/>
  <c r="V41" s="1"/>
  <c r="T55"/>
  <c r="V55" s="1"/>
  <c r="T56"/>
  <c r="V56" s="1"/>
  <c r="AD56" i="100"/>
  <c r="G58" i="96" s="1"/>
  <c r="H58" s="1"/>
  <c r="T64" i="90"/>
  <c r="V64" s="1"/>
  <c r="T71"/>
  <c r="V71" s="1"/>
  <c r="T26"/>
  <c r="V26" s="1"/>
  <c r="T59"/>
  <c r="V59" s="1"/>
  <c r="T33"/>
  <c r="V33" s="1"/>
  <c r="U28" i="92"/>
  <c r="W27" i="72"/>
  <c r="U72" i="86"/>
  <c r="R71" i="72"/>
  <c r="U57" i="86"/>
  <c r="R56" i="72"/>
  <c r="U32" i="91"/>
  <c r="V31" i="72"/>
  <c r="U68" i="91"/>
  <c r="V67" i="72"/>
  <c r="U29" i="86"/>
  <c r="R28" i="72"/>
  <c r="U15" i="91"/>
  <c r="V14" i="72"/>
  <c r="U51" i="86"/>
  <c r="R50" i="72"/>
  <c r="U9" i="88"/>
  <c r="T8" i="72"/>
  <c r="U38" i="86"/>
  <c r="R37" i="72"/>
  <c r="U24" i="91"/>
  <c r="V23" i="72"/>
  <c r="U35" i="86"/>
  <c r="R34" i="72"/>
  <c r="U66" i="89"/>
  <c r="U65" i="72"/>
  <c r="U75" i="92"/>
  <c r="W74" i="72"/>
  <c r="U24" i="86"/>
  <c r="R23" i="72"/>
  <c r="U20" i="86"/>
  <c r="R19" i="72"/>
  <c r="U12" i="85"/>
  <c r="Q11" i="72"/>
  <c r="U13" i="89"/>
  <c r="U12" i="72"/>
  <c r="U75" i="86"/>
  <c r="R74" i="72"/>
  <c r="U50" i="85"/>
  <c r="Q49" i="72"/>
  <c r="U57" i="88"/>
  <c r="T56" i="72"/>
  <c r="U26" i="89"/>
  <c r="U25" i="72"/>
  <c r="U32" i="86"/>
  <c r="R31" i="72"/>
  <c r="U36" i="86"/>
  <c r="R35" i="72"/>
  <c r="U58" i="88"/>
  <c r="T57" i="72"/>
  <c r="U60" i="91"/>
  <c r="V59" i="72"/>
  <c r="U74" i="86"/>
  <c r="R73" i="72"/>
  <c r="U14" i="85"/>
  <c r="Q13" i="72"/>
  <c r="U18" i="85"/>
  <c r="Q17" i="72"/>
  <c r="U58" i="92"/>
  <c r="W57" i="72"/>
  <c r="U28" i="91"/>
  <c r="V27" i="72"/>
  <c r="U33" i="91"/>
  <c r="V32" i="72"/>
  <c r="U44" i="88"/>
  <c r="T43" i="72"/>
  <c r="U45" i="91"/>
  <c r="V44" i="72"/>
  <c r="U16" i="91"/>
  <c r="V15" i="72"/>
  <c r="U71" i="89"/>
  <c r="U70" i="72"/>
  <c r="U46" i="86"/>
  <c r="R45" i="72"/>
  <c r="U45" i="88"/>
  <c r="T44" i="72"/>
  <c r="U13" i="88"/>
  <c r="T12" i="72"/>
  <c r="U39" i="92"/>
  <c r="W38" i="72"/>
  <c r="U43" i="92"/>
  <c r="W42" i="72"/>
  <c r="U33" i="86"/>
  <c r="R32" i="72"/>
  <c r="U69" i="92"/>
  <c r="W68" i="72"/>
  <c r="U44" i="92"/>
  <c r="W43" i="72"/>
  <c r="U72" i="92"/>
  <c r="W71" i="72"/>
  <c r="U46" i="91"/>
  <c r="V45" i="72"/>
  <c r="U61" i="86"/>
  <c r="R60" i="72"/>
  <c r="T28" i="86"/>
  <c r="S28"/>
  <c r="U60" i="92"/>
  <c r="W59" i="72"/>
  <c r="U33" i="92"/>
  <c r="W32" i="72"/>
  <c r="U22" i="89"/>
  <c r="U21" i="72"/>
  <c r="T46" i="90"/>
  <c r="V46" s="1"/>
  <c r="U38" i="80"/>
  <c r="U21" i="85"/>
  <c r="Q20" i="72"/>
  <c r="U47" i="85"/>
  <c r="Q46" i="72"/>
  <c r="U45" i="86"/>
  <c r="R44" i="72"/>
  <c r="U71" i="91"/>
  <c r="V70" i="72"/>
  <c r="U48" i="89"/>
  <c r="U47" i="72"/>
  <c r="U55" i="89"/>
  <c r="U54" i="72"/>
  <c r="U9" i="89"/>
  <c r="U8" i="72"/>
  <c r="U39" i="88"/>
  <c r="T38" i="72"/>
  <c r="U20" i="91"/>
  <c r="V19" i="72"/>
  <c r="U41" i="88"/>
  <c r="T40" i="72"/>
  <c r="U29" i="92"/>
  <c r="W28" i="72"/>
  <c r="U40" i="88"/>
  <c r="T39" i="72"/>
  <c r="S71" i="86"/>
  <c r="T59"/>
  <c r="U37" i="92"/>
  <c r="W36" i="72"/>
  <c r="T52" i="92"/>
  <c r="U74" i="91"/>
  <c r="V73" i="72"/>
  <c r="U11" i="85"/>
  <c r="Q10" i="72"/>
  <c r="U44" i="89"/>
  <c r="U43" i="72"/>
  <c r="U40" i="86"/>
  <c r="R39" i="72"/>
  <c r="U64" i="86"/>
  <c r="R63" i="72"/>
  <c r="S38" i="92"/>
  <c r="U57" i="91"/>
  <c r="V56" i="72"/>
  <c r="U39" i="86"/>
  <c r="R38" i="72"/>
  <c r="S70" i="89"/>
  <c r="U27" i="92"/>
  <c r="W26" i="72"/>
  <c r="U67" i="92"/>
  <c r="W66" i="72"/>
  <c r="S35" i="91"/>
  <c r="T35" i="90"/>
  <c r="V35" s="1"/>
  <c r="U67" i="91"/>
  <c r="V66" i="72"/>
  <c r="U67" i="89"/>
  <c r="U66" i="72"/>
  <c r="U30" i="91"/>
  <c r="V29" i="72"/>
  <c r="U17" i="85"/>
  <c r="Q16" i="72"/>
  <c r="U55" i="92"/>
  <c r="W54" i="72"/>
  <c r="U27" i="89"/>
  <c r="U26" i="72"/>
  <c r="U70" i="92"/>
  <c r="W69" i="72"/>
  <c r="U23" i="88"/>
  <c r="T22" i="72"/>
  <c r="U52" i="86"/>
  <c r="R51" i="72"/>
  <c r="U55" i="91"/>
  <c r="V54" i="72"/>
  <c r="U45" i="89"/>
  <c r="U44" i="72"/>
  <c r="U37" i="89"/>
  <c r="U36" i="72"/>
  <c r="U34" i="89"/>
  <c r="U33" i="72"/>
  <c r="U9" i="86"/>
  <c r="R8" i="72"/>
  <c r="U23" i="92"/>
  <c r="W22" i="72"/>
  <c r="AZ42"/>
  <c r="T43" i="90"/>
  <c r="V43" s="1"/>
  <c r="AZ73" i="72"/>
  <c r="T74" i="90"/>
  <c r="V74" s="1"/>
  <c r="AZ8" i="72"/>
  <c r="T9" i="90"/>
  <c r="V9" s="1"/>
  <c r="AZ29" i="72"/>
  <c r="T30" i="90"/>
  <c r="V30" s="1"/>
  <c r="AZ12" i="72"/>
  <c r="T13" i="90"/>
  <c r="V13" s="1"/>
  <c r="AZ22" i="72"/>
  <c r="T23" i="90"/>
  <c r="V23" s="1"/>
  <c r="W23" s="1"/>
  <c r="AZ33" i="72"/>
  <c r="T34" i="90"/>
  <c r="V34" s="1"/>
  <c r="AZ50" i="72"/>
  <c r="T51" i="90"/>
  <c r="V51" s="1"/>
  <c r="AZ71" i="72"/>
  <c r="T72" i="90"/>
  <c r="V72" s="1"/>
  <c r="AZ38" i="72"/>
  <c r="T39" i="90"/>
  <c r="V39" s="1"/>
  <c r="W39" s="1"/>
  <c r="AZ27" i="72"/>
  <c r="T28" i="90"/>
  <c r="V28" s="1"/>
  <c r="AZ47" i="72"/>
  <c r="T48" i="90"/>
  <c r="V48" s="1"/>
  <c r="W48" s="1"/>
  <c r="AZ51" i="72"/>
  <c r="T52" i="90"/>
  <c r="V52" s="1"/>
  <c r="W21"/>
  <c r="X21"/>
  <c r="U43" i="86"/>
  <c r="R42" i="72"/>
  <c r="U59" i="86"/>
  <c r="R58" i="72"/>
  <c r="S74" i="88"/>
  <c r="T74"/>
  <c r="S52" i="91"/>
  <c r="T52"/>
  <c r="U43" i="89"/>
  <c r="U42" i="72"/>
  <c r="S69" i="89"/>
  <c r="T69"/>
  <c r="S29" i="91"/>
  <c r="T29"/>
  <c r="U8" i="86"/>
  <c r="R7" i="72"/>
  <c r="S70" i="88"/>
  <c r="T70"/>
  <c r="U26"/>
  <c r="T25" i="72"/>
  <c r="U60" i="86"/>
  <c r="R59" i="72"/>
  <c r="T56" i="92"/>
  <c r="S56"/>
  <c r="S74"/>
  <c r="T74"/>
  <c r="U67" i="86"/>
  <c r="R66" i="72"/>
  <c r="S13" i="86"/>
  <c r="T13"/>
  <c r="U40" i="89"/>
  <c r="U39" i="72"/>
  <c r="T48" i="91"/>
  <c r="S48"/>
  <c r="T70"/>
  <c r="S70"/>
  <c r="T37"/>
  <c r="S37"/>
  <c r="U37" i="88"/>
  <c r="T36" i="72"/>
  <c r="U33" i="88"/>
  <c r="T32" i="72"/>
  <c r="U22" i="88"/>
  <c r="T21" i="72"/>
  <c r="U51" i="92"/>
  <c r="W50" i="72"/>
  <c r="U64" i="92"/>
  <c r="W63" i="72"/>
  <c r="W63" i="90"/>
  <c r="X63"/>
  <c r="U52" i="92"/>
  <c r="W51" i="72"/>
  <c r="T39" i="91"/>
  <c r="S39"/>
  <c r="S33" i="89"/>
  <c r="T33"/>
  <c r="T69" i="91"/>
  <c r="S69"/>
  <c r="T9"/>
  <c r="S9"/>
  <c r="T46" i="88"/>
  <c r="S46"/>
  <c r="U64"/>
  <c r="T63" i="72"/>
  <c r="S41" i="86"/>
  <c r="T41"/>
  <c r="U19" i="89"/>
  <c r="U18" i="72"/>
  <c r="T68" i="90"/>
  <c r="V68" s="1"/>
  <c r="T38"/>
  <c r="V38" s="1"/>
  <c r="U56" i="89"/>
  <c r="U55" i="72"/>
  <c r="T13" i="92"/>
  <c r="S13"/>
  <c r="S8" i="89"/>
  <c r="T8"/>
  <c r="S30"/>
  <c r="T30"/>
  <c r="U48" i="88"/>
  <c r="T47" i="72"/>
  <c r="S20" i="92"/>
  <c r="T20"/>
  <c r="U30" i="88"/>
  <c r="T29" i="72"/>
  <c r="T24" i="92"/>
  <c r="S24"/>
  <c r="S59" i="91"/>
  <c r="T59"/>
  <c r="S36" i="89"/>
  <c r="T36"/>
  <c r="U34" i="91"/>
  <c r="V33" i="72"/>
  <c r="S72" i="89"/>
  <c r="T72"/>
  <c r="T57" i="90"/>
  <c r="V57" s="1"/>
  <c r="U45" i="92"/>
  <c r="W44" i="72"/>
  <c r="U41" i="89"/>
  <c r="U40" i="72"/>
  <c r="U65" i="85"/>
  <c r="Q64" i="72"/>
  <c r="U13" i="91"/>
  <c r="V12" i="72"/>
  <c r="U59" i="88"/>
  <c r="T58" i="72"/>
  <c r="U34" i="86"/>
  <c r="R33" i="72"/>
  <c r="U16" i="92"/>
  <c r="W15" i="72"/>
  <c r="U26" i="86"/>
  <c r="R25" i="72"/>
  <c r="U35" i="92"/>
  <c r="W34" i="72"/>
  <c r="U32" i="92"/>
  <c r="W31" i="72"/>
  <c r="U28" i="89"/>
  <c r="U27" i="72"/>
  <c r="U59" i="92"/>
  <c r="W58" i="72"/>
  <c r="U20" i="89"/>
  <c r="U19" i="72"/>
  <c r="U30" i="86"/>
  <c r="R29" i="72"/>
  <c r="U15" i="89"/>
  <c r="U14" i="72"/>
  <c r="U34" i="88"/>
  <c r="T33" i="72"/>
  <c r="U60" i="89"/>
  <c r="U59" i="72"/>
  <c r="U22" i="86"/>
  <c r="R21" i="72"/>
  <c r="U61" i="88"/>
  <c r="T60" i="72"/>
  <c r="U23" i="89"/>
  <c r="U22" i="72"/>
  <c r="AZ28"/>
  <c r="T29" i="90"/>
  <c r="V29" s="1"/>
  <c r="O76" i="85"/>
  <c r="AS6" i="72"/>
  <c r="AS75" s="1"/>
  <c r="U69" i="86"/>
  <c r="R68" i="72"/>
  <c r="U35" i="88"/>
  <c r="T34" i="72"/>
  <c r="U23" i="91"/>
  <c r="V22" i="72"/>
  <c r="U61" i="92"/>
  <c r="W60" i="72"/>
  <c r="S27" i="88"/>
  <c r="U68" i="92"/>
  <c r="W67" i="72"/>
  <c r="U55" i="88"/>
  <c r="T54" i="72"/>
  <c r="U61" i="89"/>
  <c r="U60" i="72"/>
  <c r="U10" i="85"/>
  <c r="Q9" i="72"/>
  <c r="U30" i="92"/>
  <c r="W29" i="72"/>
  <c r="U71" i="88"/>
  <c r="T70" i="72"/>
  <c r="U57" i="92"/>
  <c r="W56" i="72"/>
  <c r="U22" i="91"/>
  <c r="V21" i="72"/>
  <c r="U24" i="89"/>
  <c r="U23" i="72"/>
  <c r="U38" i="89"/>
  <c r="U37" i="72"/>
  <c r="U58" i="89"/>
  <c r="U57" i="72"/>
  <c r="U44" i="86"/>
  <c r="R43" i="72"/>
  <c r="U16" i="86"/>
  <c r="R15" i="72"/>
  <c r="U35" i="89"/>
  <c r="U34" i="72"/>
  <c r="T60" i="86"/>
  <c r="U27" i="91"/>
  <c r="V26" i="72"/>
  <c r="U32" i="89"/>
  <c r="U31" i="72"/>
  <c r="U43" i="91"/>
  <c r="V42" i="72"/>
  <c r="T40" i="89"/>
  <c r="U20" i="88"/>
  <c r="T19" i="72"/>
  <c r="T43" i="89"/>
  <c r="U72" i="88"/>
  <c r="T71" i="72"/>
  <c r="U67" i="88"/>
  <c r="T66" i="72"/>
  <c r="U15" i="88"/>
  <c r="T14" i="72"/>
  <c r="U24" i="88"/>
  <c r="T23" i="72"/>
  <c r="W54" i="90"/>
  <c r="S38" i="91"/>
  <c r="S75"/>
  <c r="S38" i="88"/>
  <c r="U37" i="86"/>
  <c r="R36" i="72"/>
  <c r="T61" i="90"/>
  <c r="V61" s="1"/>
  <c r="T20"/>
  <c r="V20" s="1"/>
  <c r="T66"/>
  <c r="V66" s="1"/>
  <c r="T22"/>
  <c r="V22" s="1"/>
  <c r="O76" i="92"/>
  <c r="AY6" i="72"/>
  <c r="O76" i="88"/>
  <c r="AV6" i="72"/>
  <c r="AV75" s="1"/>
  <c r="U39" i="89"/>
  <c r="U38" i="72"/>
  <c r="U58" i="86"/>
  <c r="R57" i="72"/>
  <c r="U66" i="86"/>
  <c r="R65" i="72"/>
  <c r="U48" i="92"/>
  <c r="W47" i="72"/>
  <c r="U26" i="91"/>
  <c r="V25" i="72"/>
  <c r="U29" i="89"/>
  <c r="U28" i="72"/>
  <c r="U19" i="85"/>
  <c r="Q18" i="72"/>
  <c r="U41" i="91"/>
  <c r="V40" i="72"/>
  <c r="U52" i="89"/>
  <c r="U51" i="72"/>
  <c r="U58" i="91"/>
  <c r="V57" i="72"/>
  <c r="U64" i="91"/>
  <c r="V63" i="72"/>
  <c r="U60" i="88"/>
  <c r="T59" i="72"/>
  <c r="U22" i="92"/>
  <c r="W21" i="72"/>
  <c r="U54" i="85"/>
  <c r="Q53" i="72"/>
  <c r="U75" i="89"/>
  <c r="U74" i="72"/>
  <c r="U66" i="92"/>
  <c r="W65" i="72"/>
  <c r="U66" i="91"/>
  <c r="V65" i="72"/>
  <c r="U56" i="86"/>
  <c r="R55" i="72"/>
  <c r="U15" i="86"/>
  <c r="R14" i="72"/>
  <c r="U36" i="92"/>
  <c r="W35" i="72"/>
  <c r="U46" i="89"/>
  <c r="U45" i="72"/>
  <c r="U28" i="88"/>
  <c r="T27" i="72"/>
  <c r="U56" i="91"/>
  <c r="V55" i="72"/>
  <c r="U68" i="88"/>
  <c r="T67" i="72"/>
  <c r="U16" i="89"/>
  <c r="U15" i="72"/>
  <c r="U51" i="91"/>
  <c r="V50" i="72"/>
  <c r="U68" i="89"/>
  <c r="U67" i="72"/>
  <c r="U72" i="91"/>
  <c r="V71" i="72"/>
  <c r="U29" i="88"/>
  <c r="T28" i="72"/>
  <c r="U16" i="88"/>
  <c r="T15" i="72"/>
  <c r="U43" i="88"/>
  <c r="T42" i="72"/>
  <c r="U26" i="92"/>
  <c r="W25" i="72"/>
  <c r="U8" i="88"/>
  <c r="T7" i="72"/>
  <c r="U41" i="92"/>
  <c r="W40" i="72"/>
  <c r="U36" i="91"/>
  <c r="V35" i="72"/>
  <c r="U64" i="89"/>
  <c r="U63" i="72"/>
  <c r="U32" i="88"/>
  <c r="T31" i="72"/>
  <c r="O76" i="86"/>
  <c r="AT6" i="72"/>
  <c r="AT75" s="1"/>
  <c r="O76" i="91"/>
  <c r="AX6" i="72"/>
  <c r="AX75" s="1"/>
  <c r="U6" i="76"/>
  <c r="V54" i="80"/>
  <c r="U25" i="85"/>
  <c r="Q24" i="72"/>
  <c r="U63" i="85"/>
  <c r="Q62" i="72"/>
  <c r="U9" i="92"/>
  <c r="W8" i="72"/>
  <c r="U46" i="92"/>
  <c r="W45" i="72"/>
  <c r="U23" i="86"/>
  <c r="R22" i="72"/>
  <c r="U31" i="85"/>
  <c r="Q30" i="72"/>
  <c r="U56" i="88"/>
  <c r="T55" i="72"/>
  <c r="U40" i="91"/>
  <c r="V39" i="72"/>
  <c r="U66" i="88"/>
  <c r="T65" i="72"/>
  <c r="U73" i="85"/>
  <c r="Q72" i="72"/>
  <c r="U57" i="89"/>
  <c r="U56" i="72"/>
  <c r="U48" i="86"/>
  <c r="R47" i="72"/>
  <c r="U15" i="92"/>
  <c r="W14" i="72"/>
  <c r="U71" i="92"/>
  <c r="W70" i="72"/>
  <c r="U69" i="88"/>
  <c r="T68" i="72"/>
  <c r="U27" i="86"/>
  <c r="R26" i="72"/>
  <c r="U8" i="92"/>
  <c r="W7" i="72"/>
  <c r="U55" i="86"/>
  <c r="R54" i="72"/>
  <c r="U51" i="88"/>
  <c r="T50" i="72"/>
  <c r="U42" i="85"/>
  <c r="Q41" i="72"/>
  <c r="U68" i="86"/>
  <c r="R67" i="72"/>
  <c r="U40" i="92"/>
  <c r="W39" i="72"/>
  <c r="AD59" i="100"/>
  <c r="G61" i="96" s="1"/>
  <c r="H61" s="1"/>
  <c r="T36" i="90"/>
  <c r="V36" s="1"/>
  <c r="W36" s="1"/>
  <c r="T40"/>
  <c r="V40" s="1"/>
  <c r="W40" s="1"/>
  <c r="T27"/>
  <c r="V27" s="1"/>
  <c r="T45"/>
  <c r="V45" s="1"/>
  <c r="T60"/>
  <c r="V60" s="1"/>
  <c r="T44"/>
  <c r="V44" s="1"/>
  <c r="T16"/>
  <c r="V16" s="1"/>
  <c r="U31" i="89"/>
  <c r="U30" i="72"/>
  <c r="U50" i="92"/>
  <c r="W49" i="72"/>
  <c r="U65" i="88"/>
  <c r="T64" i="72"/>
  <c r="T37" i="90"/>
  <c r="V37" s="1"/>
  <c r="T24"/>
  <c r="V24" s="1"/>
  <c r="T75"/>
  <c r="V75" s="1"/>
  <c r="W75" s="1"/>
  <c r="O76" i="89"/>
  <c r="AW6" i="72"/>
  <c r="AW75" s="1"/>
  <c r="U44" i="91"/>
  <c r="V43" i="72"/>
  <c r="U36" i="88"/>
  <c r="T35" i="72"/>
  <c r="U51" i="89"/>
  <c r="U50" i="72"/>
  <c r="U75" i="88"/>
  <c r="T74" i="72"/>
  <c r="U53" i="85"/>
  <c r="Q52" i="72"/>
  <c r="U52" i="88"/>
  <c r="T51" i="72"/>
  <c r="U74" i="89"/>
  <c r="U73" i="72"/>
  <c r="U34" i="92"/>
  <c r="W33" i="72"/>
  <c r="U70" i="86"/>
  <c r="R69" i="72"/>
  <c r="U59" i="89"/>
  <c r="U58" i="72"/>
  <c r="U61" i="91"/>
  <c r="V60" i="72"/>
  <c r="U8" i="91"/>
  <c r="V7" i="72"/>
  <c r="T70" i="90"/>
  <c r="V70" s="1"/>
  <c r="U10" i="92"/>
  <c r="W9" i="72"/>
  <c r="U10" i="86"/>
  <c r="R9" i="72"/>
  <c r="AY75"/>
  <c r="T8" i="90"/>
  <c r="V8" s="1"/>
  <c r="AA6" i="100"/>
  <c r="AA75" s="1"/>
  <c r="S7" i="90"/>
  <c r="AZ6" i="72" s="1"/>
  <c r="AD37" i="100"/>
  <c r="G39" i="96" s="1"/>
  <c r="M39" s="1"/>
  <c r="N39" s="1"/>
  <c r="AD45" i="100"/>
  <c r="G47" i="96" s="1"/>
  <c r="H47" s="1"/>
  <c r="AE60" i="100"/>
  <c r="S76" i="90"/>
  <c r="S78" s="1"/>
  <c r="Y21"/>
  <c r="X20" i="72"/>
  <c r="Y63" i="90"/>
  <c r="X62" i="72"/>
  <c r="Y54" i="90"/>
  <c r="X53" i="72"/>
  <c r="Y17" i="90"/>
  <c r="X16" i="72"/>
  <c r="Y14" i="90"/>
  <c r="X13" i="72"/>
  <c r="Y73" i="90"/>
  <c r="X72" i="72"/>
  <c r="Y25" i="90"/>
  <c r="X24" i="72"/>
  <c r="U72" i="80"/>
  <c r="V48"/>
  <c r="W18" i="76"/>
  <c r="W16"/>
  <c r="W15"/>
  <c r="W28" i="80"/>
  <c r="V5" i="76"/>
  <c r="V56"/>
  <c r="V69"/>
  <c r="P24" i="72"/>
  <c r="V43" i="80"/>
  <c r="P13" i="72"/>
  <c r="W70" i="76"/>
  <c r="V35" i="80"/>
  <c r="W47" i="76"/>
  <c r="V58" i="80"/>
  <c r="V57"/>
  <c r="V57" i="76"/>
  <c r="V49"/>
  <c r="U31"/>
  <c r="W31" s="1"/>
  <c r="M52" i="96"/>
  <c r="N52" s="1"/>
  <c r="P62" i="72"/>
  <c r="U30" i="76"/>
  <c r="O32" i="72" s="1"/>
  <c r="O30"/>
  <c r="W59" i="80"/>
  <c r="V48" i="76"/>
  <c r="U24" i="80"/>
  <c r="W24" s="1"/>
  <c r="U32"/>
  <c r="P34" i="72" s="1"/>
  <c r="U67" i="76"/>
  <c r="W67" s="1"/>
  <c r="U38"/>
  <c r="W38" s="1"/>
  <c r="V29" i="80"/>
  <c r="V65"/>
  <c r="V17"/>
  <c r="W62"/>
  <c r="U27"/>
  <c r="W27" s="1"/>
  <c r="V66"/>
  <c r="U13"/>
  <c r="P15" i="72" s="1"/>
  <c r="V42" i="76"/>
  <c r="V23"/>
  <c r="V53"/>
  <c r="U10"/>
  <c r="W10" s="1"/>
  <c r="V6" i="80"/>
  <c r="V71"/>
  <c r="V20"/>
  <c r="V5"/>
  <c r="U37"/>
  <c r="P39" i="72" s="1"/>
  <c r="U63" i="80"/>
  <c r="P65" i="72" s="1"/>
  <c r="U68" i="76"/>
  <c r="W68" s="1"/>
  <c r="U17"/>
  <c r="W17" s="1"/>
  <c r="V65"/>
  <c r="U69" i="80"/>
  <c r="W69" s="1"/>
  <c r="X40" i="90"/>
  <c r="W61"/>
  <c r="X61"/>
  <c r="W35"/>
  <c r="X35"/>
  <c r="W67"/>
  <c r="X67"/>
  <c r="S36" i="85"/>
  <c r="T36"/>
  <c r="W58" i="90"/>
  <c r="X58"/>
  <c r="S9" i="85"/>
  <c r="T9"/>
  <c r="W68" i="90"/>
  <c r="X68"/>
  <c r="S70" i="85"/>
  <c r="T70"/>
  <c r="S38"/>
  <c r="T38"/>
  <c r="S13"/>
  <c r="T13"/>
  <c r="W72" i="90"/>
  <c r="X72"/>
  <c r="W59"/>
  <c r="X59"/>
  <c r="S22" i="85"/>
  <c r="T22"/>
  <c r="S51"/>
  <c r="T51"/>
  <c r="S61"/>
  <c r="Q60" i="72" s="1"/>
  <c r="T61" i="85"/>
  <c r="W47" i="90"/>
  <c r="X47"/>
  <c r="S56" i="85"/>
  <c r="T56"/>
  <c r="V21" i="76"/>
  <c r="W27" i="90"/>
  <c r="X27"/>
  <c r="S15" i="85"/>
  <c r="T15"/>
  <c r="S24"/>
  <c r="T24"/>
  <c r="S69"/>
  <c r="T69"/>
  <c r="U26" i="76"/>
  <c r="O28" i="72" s="1"/>
  <c r="S59" i="85"/>
  <c r="T59"/>
  <c r="S55"/>
  <c r="T55"/>
  <c r="S75"/>
  <c r="Q74" i="72" s="1"/>
  <c r="T75" i="85"/>
  <c r="W18" i="90"/>
  <c r="X17" i="72" s="1"/>
  <c r="X18" i="90"/>
  <c r="W42"/>
  <c r="X42"/>
  <c r="W22"/>
  <c r="X22"/>
  <c r="W12"/>
  <c r="X12"/>
  <c r="X39"/>
  <c r="S30" i="85"/>
  <c r="T30"/>
  <c r="W32" i="90"/>
  <c r="X32"/>
  <c r="S43" i="85"/>
  <c r="T43"/>
  <c r="S29"/>
  <c r="T29"/>
  <c r="W46" i="90"/>
  <c r="X46"/>
  <c r="S64" i="85"/>
  <c r="T64"/>
  <c r="S60"/>
  <c r="T60"/>
  <c r="U49" i="80"/>
  <c r="W49" s="1"/>
  <c r="S67" i="85"/>
  <c r="T67"/>
  <c r="W9" i="90"/>
  <c r="X9"/>
  <c r="S16" i="85"/>
  <c r="T16"/>
  <c r="W41" i="90"/>
  <c r="X41"/>
  <c r="V53" i="80"/>
  <c r="S32" i="85"/>
  <c r="T32"/>
  <c r="V12" i="80"/>
  <c r="W38" i="90"/>
  <c r="X38"/>
  <c r="V68" i="80"/>
  <c r="S40" i="85"/>
  <c r="T40"/>
  <c r="S57"/>
  <c r="T57"/>
  <c r="S8"/>
  <c r="T8"/>
  <c r="W70" i="90"/>
  <c r="X70"/>
  <c r="W37"/>
  <c r="X37"/>
  <c r="S23" i="85"/>
  <c r="T23"/>
  <c r="P20" i="72"/>
  <c r="V42" i="80"/>
  <c r="U41" i="76"/>
  <c r="O43" i="72" s="1"/>
  <c r="S72" i="85"/>
  <c r="T72"/>
  <c r="V61" i="76"/>
  <c r="S74" i="85"/>
  <c r="Q73" i="72" s="1"/>
  <c r="T74" i="85"/>
  <c r="S41"/>
  <c r="Q40" i="72" s="1"/>
  <c r="T41" i="85"/>
  <c r="S34"/>
  <c r="T34"/>
  <c r="S35"/>
  <c r="T35"/>
  <c r="S37"/>
  <c r="T37"/>
  <c r="W53" i="90"/>
  <c r="X53"/>
  <c r="W31"/>
  <c r="X30" i="72" s="1"/>
  <c r="X31" i="90"/>
  <c r="W49"/>
  <c r="X48" i="72" s="1"/>
  <c r="X49" i="90"/>
  <c r="W50"/>
  <c r="X49" i="72" s="1"/>
  <c r="X50" i="90"/>
  <c r="W29"/>
  <c r="X29"/>
  <c r="W15"/>
  <c r="X15"/>
  <c r="W11"/>
  <c r="X11"/>
  <c r="S58" i="85"/>
  <c r="T58"/>
  <c r="S27"/>
  <c r="T27"/>
  <c r="W65" i="90"/>
  <c r="X65"/>
  <c r="S52" i="85"/>
  <c r="T52"/>
  <c r="W34" i="90"/>
  <c r="X34"/>
  <c r="S45" i="85"/>
  <c r="T45"/>
  <c r="S39"/>
  <c r="Q38" i="72" s="1"/>
  <c r="T39" i="85"/>
  <c r="P7" i="88"/>
  <c r="P76" s="1"/>
  <c r="W55" i="90"/>
  <c r="X55"/>
  <c r="S66" i="85"/>
  <c r="Q65" i="72" s="1"/>
  <c r="T66" i="85"/>
  <c r="S33"/>
  <c r="Q32" i="72" s="1"/>
  <c r="T33" i="85"/>
  <c r="S71"/>
  <c r="T71"/>
  <c r="S46"/>
  <c r="Q45" i="72" s="1"/>
  <c r="T46" i="85"/>
  <c r="S20"/>
  <c r="T20"/>
  <c r="W10" i="90"/>
  <c r="X10"/>
  <c r="W19"/>
  <c r="X18" i="72" s="1"/>
  <c r="X19" i="90"/>
  <c r="W33"/>
  <c r="X33"/>
  <c r="S68" i="85"/>
  <c r="T68"/>
  <c r="W69" i="90"/>
  <c r="X69"/>
  <c r="S48" i="85"/>
  <c r="T48"/>
  <c r="U58" i="76"/>
  <c r="W58" s="1"/>
  <c r="W62" i="90"/>
  <c r="X62"/>
  <c r="S44" i="85"/>
  <c r="T44"/>
  <c r="S28"/>
  <c r="T28"/>
  <c r="S26"/>
  <c r="T26"/>
  <c r="AD6" i="100"/>
  <c r="M47" i="96"/>
  <c r="N47" s="1"/>
  <c r="H62"/>
  <c r="H34"/>
  <c r="H28"/>
  <c r="H74"/>
  <c r="M40"/>
  <c r="N40" s="1"/>
  <c r="M27"/>
  <c r="N27" s="1"/>
  <c r="V43" i="76"/>
  <c r="V37"/>
  <c r="AE66" i="100"/>
  <c r="G72" i="96"/>
  <c r="H72" s="1"/>
  <c r="AE12" i="100"/>
  <c r="V33" i="80"/>
  <c r="U52" i="76"/>
  <c r="O54" i="72" s="1"/>
  <c r="V64" i="80"/>
  <c r="P7" i="89"/>
  <c r="R7" s="1"/>
  <c r="T7" s="1"/>
  <c r="T44" i="46"/>
  <c r="G65" i="96"/>
  <c r="M65" s="1"/>
  <c r="N65" s="1"/>
  <c r="V54" i="76"/>
  <c r="V52" i="80"/>
  <c r="AE57" i="100"/>
  <c r="P7" i="92"/>
  <c r="P76" s="1"/>
  <c r="R44" i="46"/>
  <c r="P7" i="85"/>
  <c r="P76" s="1"/>
  <c r="AE47" i="100"/>
  <c r="G71" i="96"/>
  <c r="H71" s="1"/>
  <c r="P7" i="86"/>
  <c r="P76" s="1"/>
  <c r="P7" i="91"/>
  <c r="R7" s="1"/>
  <c r="T7" s="1"/>
  <c r="H42" i="96"/>
  <c r="M42"/>
  <c r="N42" s="1"/>
  <c r="M38"/>
  <c r="N38" s="1"/>
  <c r="H38"/>
  <c r="M67"/>
  <c r="N67" s="1"/>
  <c r="H67"/>
  <c r="H57"/>
  <c r="M57"/>
  <c r="N57" s="1"/>
  <c r="M31"/>
  <c r="N31" s="1"/>
  <c r="H31"/>
  <c r="V36" i="80"/>
  <c r="U36"/>
  <c r="V30"/>
  <c r="U30"/>
  <c r="V33" i="76"/>
  <c r="U33"/>
  <c r="U55" i="80"/>
  <c r="V55"/>
  <c r="U41"/>
  <c r="V41"/>
  <c r="M49" i="96"/>
  <c r="N49" s="1"/>
  <c r="H49"/>
  <c r="M58"/>
  <c r="N58" s="1"/>
  <c r="U13" i="76"/>
  <c r="V13"/>
  <c r="M36" i="96"/>
  <c r="N36" s="1"/>
  <c r="H36"/>
  <c r="R7" i="92"/>
  <c r="T7" s="1"/>
  <c r="W43" i="76"/>
  <c r="O45" i="72"/>
  <c r="O50"/>
  <c r="W48" i="76"/>
  <c r="W48" i="80"/>
  <c r="P50" i="72"/>
  <c r="W49" i="76"/>
  <c r="O51" i="72"/>
  <c r="W65" i="80"/>
  <c r="P67" i="72"/>
  <c r="P33"/>
  <c r="W31" i="80"/>
  <c r="O8" i="72"/>
  <c r="W6" i="76"/>
  <c r="O39" i="72"/>
  <c r="W37" i="76"/>
  <c r="M17" i="96"/>
  <c r="N17" s="1"/>
  <c r="H17"/>
  <c r="W45" i="80"/>
  <c r="P47" i="72"/>
  <c r="H29" i="96"/>
  <c r="M29"/>
  <c r="N29" s="1"/>
  <c r="O74" i="72"/>
  <c r="W72" i="76"/>
  <c r="P11" i="72"/>
  <c r="W9" i="80"/>
  <c r="M45" i="96"/>
  <c r="N45" s="1"/>
  <c r="H45"/>
  <c r="M9"/>
  <c r="N9" s="1"/>
  <c r="H9"/>
  <c r="M43"/>
  <c r="N43" s="1"/>
  <c r="H43"/>
  <c r="H63"/>
  <c r="M63"/>
  <c r="N63" s="1"/>
  <c r="U40" i="76"/>
  <c r="V40"/>
  <c r="M68" i="96"/>
  <c r="N68" s="1"/>
  <c r="H68"/>
  <c r="H37"/>
  <c r="M37"/>
  <c r="N37" s="1"/>
  <c r="H14"/>
  <c r="M14"/>
  <c r="N14" s="1"/>
  <c r="U25" i="80"/>
  <c r="V25"/>
  <c r="U32" i="76"/>
  <c r="V32"/>
  <c r="U19" i="80"/>
  <c r="V19"/>
  <c r="U67"/>
  <c r="V67"/>
  <c r="U34"/>
  <c r="V34"/>
  <c r="U20" i="76"/>
  <c r="V20"/>
  <c r="R7" i="90"/>
  <c r="P76"/>
  <c r="P78" s="1"/>
  <c r="R4" i="76"/>
  <c r="AQ6" i="72"/>
  <c r="AQ75" s="1"/>
  <c r="Q73" i="76"/>
  <c r="Q75" s="1"/>
  <c r="Y29" i="46"/>
  <c r="Y30" s="1"/>
  <c r="X29"/>
  <c r="W30"/>
  <c r="O16" i="72"/>
  <c r="W14" i="76"/>
  <c r="P17" i="72"/>
  <c r="W15" i="80"/>
  <c r="W66"/>
  <c r="P68" i="72"/>
  <c r="M56" i="96"/>
  <c r="N56" s="1"/>
  <c r="H56"/>
  <c r="W53" i="76"/>
  <c r="O55" i="72"/>
  <c r="M53" i="96"/>
  <c r="N53" s="1"/>
  <c r="H53"/>
  <c r="W64" i="80"/>
  <c r="P66" i="72"/>
  <c r="O33"/>
  <c r="W54" i="76"/>
  <c r="O56" i="72"/>
  <c r="H23" i="96"/>
  <c r="M23"/>
  <c r="N23" s="1"/>
  <c r="P54" i="72"/>
  <c r="W52" i="80"/>
  <c r="P73" i="72"/>
  <c r="W71" i="80"/>
  <c r="U75" i="85"/>
  <c r="P22" i="72"/>
  <c r="W20" i="80"/>
  <c r="AE55" i="100"/>
  <c r="AE14"/>
  <c r="AE67"/>
  <c r="AE73"/>
  <c r="M70" i="31"/>
  <c r="S44" i="46"/>
  <c r="AE36" i="100"/>
  <c r="O70" i="31"/>
  <c r="AE40" i="100"/>
  <c r="U38" i="46"/>
  <c r="G60" i="96"/>
  <c r="AE65" i="100"/>
  <c r="H20" i="96"/>
  <c r="M20"/>
  <c r="N20" s="1"/>
  <c r="U27" i="76"/>
  <c r="V27"/>
  <c r="M46" i="96"/>
  <c r="N46" s="1"/>
  <c r="H46"/>
  <c r="U29" i="76"/>
  <c r="V29"/>
  <c r="H69" i="96"/>
  <c r="M69"/>
  <c r="N69" s="1"/>
  <c r="M75"/>
  <c r="N75" s="1"/>
  <c r="H75"/>
  <c r="M16"/>
  <c r="N16" s="1"/>
  <c r="H16"/>
  <c r="H44"/>
  <c r="M44"/>
  <c r="N44" s="1"/>
  <c r="H70"/>
  <c r="M70"/>
  <c r="N70" s="1"/>
  <c r="M59"/>
  <c r="N59" s="1"/>
  <c r="H59"/>
  <c r="H30"/>
  <c r="M30"/>
  <c r="N30" s="1"/>
  <c r="M76"/>
  <c r="N76" s="1"/>
  <c r="H76"/>
  <c r="R7" i="86"/>
  <c r="T7" s="1"/>
  <c r="T76" s="1"/>
  <c r="H75" i="72"/>
  <c r="O52"/>
  <c r="W50" i="76"/>
  <c r="W50" i="80"/>
  <c r="P52" i="72"/>
  <c r="O53"/>
  <c r="W51" i="76"/>
  <c r="P42" i="72"/>
  <c r="W40" i="80"/>
  <c r="W69" i="76"/>
  <c r="O71" i="72"/>
  <c r="O7"/>
  <c r="W5" i="76"/>
  <c r="P55" i="72"/>
  <c r="W53" i="80"/>
  <c r="W29"/>
  <c r="P31" i="72"/>
  <c r="W12" i="80"/>
  <c r="P14" i="72"/>
  <c r="P70"/>
  <c r="W68" i="80"/>
  <c r="W33"/>
  <c r="P35" i="72"/>
  <c r="W65" i="76"/>
  <c r="O67" i="72"/>
  <c r="M33" i="96"/>
  <c r="N33" s="1"/>
  <c r="H33"/>
  <c r="W10" i="80"/>
  <c r="P12" i="72"/>
  <c r="H35" i="96"/>
  <c r="M35"/>
  <c r="N35" s="1"/>
  <c r="O26" i="72"/>
  <c r="W24" i="76"/>
  <c r="O58" i="72"/>
  <c r="W56" i="76"/>
  <c r="W5" i="80"/>
  <c r="P7" i="72"/>
  <c r="W32" i="80"/>
  <c r="P63" i="72"/>
  <c r="W61" i="80"/>
  <c r="P19" i="72"/>
  <c r="W17" i="80"/>
  <c r="H21" i="96"/>
  <c r="M21"/>
  <c r="N21" s="1"/>
  <c r="P59" i="72"/>
  <c r="W57" i="80"/>
  <c r="W14"/>
  <c r="P16" i="72"/>
  <c r="H66" i="96"/>
  <c r="M66"/>
  <c r="N66" s="1"/>
  <c r="H64"/>
  <c r="M64"/>
  <c r="N64" s="1"/>
  <c r="H25"/>
  <c r="M25"/>
  <c r="N25" s="1"/>
  <c r="V26" i="80"/>
  <c r="U26"/>
  <c r="V45" i="76"/>
  <c r="U45"/>
  <c r="V71"/>
  <c r="U71"/>
  <c r="U36"/>
  <c r="V36"/>
  <c r="U21" i="80"/>
  <c r="V21"/>
  <c r="U64" i="76"/>
  <c r="V64"/>
  <c r="V35"/>
  <c r="U35"/>
  <c r="H10" i="96"/>
  <c r="M10"/>
  <c r="N10" s="1"/>
  <c r="U25" i="76"/>
  <c r="V25"/>
  <c r="V56" i="80"/>
  <c r="U56"/>
  <c r="U19" i="76"/>
  <c r="V19"/>
  <c r="V34"/>
  <c r="U34"/>
  <c r="U23" i="80"/>
  <c r="V23"/>
  <c r="V63" i="76"/>
  <c r="U63"/>
  <c r="AE22" i="100"/>
  <c r="G24" i="96"/>
  <c r="I77" i="90"/>
  <c r="Q77"/>
  <c r="R77" s="1"/>
  <c r="R4" i="80"/>
  <c r="Q73"/>
  <c r="AR6" i="72"/>
  <c r="AR75" s="1"/>
  <c r="R75" i="100"/>
  <c r="P70" i="31"/>
  <c r="R21"/>
  <c r="R69" s="1"/>
  <c r="S76" i="87"/>
  <c r="U7"/>
  <c r="U76" s="1"/>
  <c r="W62" i="76"/>
  <c r="O64" i="72"/>
  <c r="P29"/>
  <c r="W42" i="76"/>
  <c r="O44" i="72"/>
  <c r="W42" i="80"/>
  <c r="P44" i="72"/>
  <c r="W21" i="76"/>
  <c r="O23" i="72"/>
  <c r="P37"/>
  <c r="W35" i="80"/>
  <c r="W55" i="76"/>
  <c r="O57" i="72"/>
  <c r="P8"/>
  <c r="W6" i="80"/>
  <c r="O63" i="72"/>
  <c r="W61" i="76"/>
  <c r="O25" i="72"/>
  <c r="W23" i="76"/>
  <c r="U74" i="85"/>
  <c r="P60" i="72"/>
  <c r="W58" i="80"/>
  <c r="W38"/>
  <c r="P40" i="72"/>
  <c r="X10" i="46"/>
  <c r="W18"/>
  <c r="Y10"/>
  <c r="Y18" s="1"/>
  <c r="W12" i="76"/>
  <c r="O14" i="72"/>
  <c r="O68"/>
  <c r="W66" i="76"/>
  <c r="M41" i="96"/>
  <c r="N41" s="1"/>
  <c r="H41"/>
  <c r="P56" i="72"/>
  <c r="W54" i="80"/>
  <c r="W43"/>
  <c r="P45" i="72"/>
  <c r="W57" i="76"/>
  <c r="O59" i="72"/>
  <c r="P74"/>
  <c r="W72" i="80"/>
  <c r="W8"/>
  <c r="P10" i="72"/>
  <c r="P53"/>
  <c r="W51" i="80"/>
  <c r="G73" i="96"/>
  <c r="AE34" i="100"/>
  <c r="M61" i="96" l="1"/>
  <c r="N61" s="1"/>
  <c r="U48" i="85"/>
  <c r="Q47" i="72"/>
  <c r="U71" i="85"/>
  <c r="Q70" i="72"/>
  <c r="U67" i="85"/>
  <c r="Q66" i="72"/>
  <c r="U69" i="85"/>
  <c r="Q68" i="72"/>
  <c r="U38" i="88"/>
  <c r="T37" i="72"/>
  <c r="U9" i="91"/>
  <c r="V8" i="72"/>
  <c r="U70" i="91"/>
  <c r="V69" i="72"/>
  <c r="U56" i="92"/>
  <c r="W55" i="72"/>
  <c r="U70" i="89"/>
  <c r="U69" i="72"/>
  <c r="U71" i="86"/>
  <c r="R70" i="72"/>
  <c r="T76" i="91"/>
  <c r="T76" i="89"/>
  <c r="U28" i="85"/>
  <c r="Q27" i="72"/>
  <c r="U58" i="85"/>
  <c r="Q57" i="72"/>
  <c r="U37" i="85"/>
  <c r="Q36" i="72"/>
  <c r="U34" i="85"/>
  <c r="Q33" i="72"/>
  <c r="U8" i="85"/>
  <c r="Q7" i="72"/>
  <c r="U40" i="85"/>
  <c r="Q39" i="72"/>
  <c r="U64" i="85"/>
  <c r="Q63" i="72"/>
  <c r="U29" i="85"/>
  <c r="Q28" i="72"/>
  <c r="U59" i="85"/>
  <c r="Q58" i="72"/>
  <c r="X75" i="90"/>
  <c r="U51" i="85"/>
  <c r="Q50" i="72"/>
  <c r="U13" i="85"/>
  <c r="Q12" i="72"/>
  <c r="U70" i="85"/>
  <c r="Q69" i="72"/>
  <c r="U9" i="85"/>
  <c r="Q8" i="72"/>
  <c r="U36" i="85"/>
  <c r="Q35" i="72"/>
  <c r="AE72"/>
  <c r="BA72" s="1"/>
  <c r="AZ75"/>
  <c r="U75" i="91"/>
  <c r="V74" i="72"/>
  <c r="U59" i="91"/>
  <c r="V58" i="72"/>
  <c r="U8" i="89"/>
  <c r="U7" i="72"/>
  <c r="U33" i="89"/>
  <c r="U32" i="72"/>
  <c r="U69" i="89"/>
  <c r="U68" i="72"/>
  <c r="U52" i="91"/>
  <c r="V51" i="72"/>
  <c r="U38" i="92"/>
  <c r="W37" i="72"/>
  <c r="U28" i="86"/>
  <c r="R27" i="72"/>
  <c r="U68" i="85"/>
  <c r="Q67" i="72"/>
  <c r="U20" i="85"/>
  <c r="Q19" i="72"/>
  <c r="U72" i="85"/>
  <c r="Q71" i="72"/>
  <c r="U16" i="85"/>
  <c r="Q15" i="72"/>
  <c r="U15" i="85"/>
  <c r="Q14" i="72"/>
  <c r="X36" i="90"/>
  <c r="X23"/>
  <c r="U24" i="85"/>
  <c r="Q23" i="72"/>
  <c r="X48" i="90"/>
  <c r="U38" i="91"/>
  <c r="V37" i="72"/>
  <c r="T7" i="90"/>
  <c r="V7" s="1"/>
  <c r="U24" i="92"/>
  <c r="W23" i="72"/>
  <c r="U13" i="92"/>
  <c r="W12" i="72"/>
  <c r="U46" i="88"/>
  <c r="T45" i="72"/>
  <c r="U69" i="91"/>
  <c r="V68" i="72"/>
  <c r="U39" i="91"/>
  <c r="V38" i="72"/>
  <c r="U37" i="91"/>
  <c r="V36" i="72"/>
  <c r="U48" i="91"/>
  <c r="V47" i="72"/>
  <c r="U26" i="85"/>
  <c r="Q25" i="72"/>
  <c r="U44" i="85"/>
  <c r="Q43" i="72"/>
  <c r="U45" i="85"/>
  <c r="Q44" i="72"/>
  <c r="U52" i="85"/>
  <c r="Q51" i="72"/>
  <c r="U27" i="85"/>
  <c r="Q26" i="72"/>
  <c r="U35" i="85"/>
  <c r="Q34" i="72"/>
  <c r="U23" i="85"/>
  <c r="Q22" i="72"/>
  <c r="U57" i="85"/>
  <c r="Q56" i="72"/>
  <c r="U32" i="85"/>
  <c r="Q31" i="72"/>
  <c r="U60" i="85"/>
  <c r="Q59" i="72"/>
  <c r="U43" i="85"/>
  <c r="Q42" i="72"/>
  <c r="U30" i="85"/>
  <c r="Q29" i="72"/>
  <c r="U55" i="85"/>
  <c r="Q54" i="72"/>
  <c r="U56" i="85"/>
  <c r="Q55" i="72"/>
  <c r="U22" i="85"/>
  <c r="Q21" i="72"/>
  <c r="U38" i="85"/>
  <c r="Q37" i="72"/>
  <c r="U27" i="88"/>
  <c r="T26" i="72"/>
  <c r="U72" i="89"/>
  <c r="U71" i="72"/>
  <c r="U36" i="89"/>
  <c r="U35" i="72"/>
  <c r="U20" i="92"/>
  <c r="W19" i="72"/>
  <c r="U30" i="89"/>
  <c r="U29" i="72"/>
  <c r="U41" i="86"/>
  <c r="R40" i="72"/>
  <c r="U13" i="86"/>
  <c r="R12" i="72"/>
  <c r="U74" i="92"/>
  <c r="W73" i="72"/>
  <c r="U70" i="88"/>
  <c r="T69" i="72"/>
  <c r="U29" i="91"/>
  <c r="V28" i="72"/>
  <c r="U74" i="88"/>
  <c r="T73" i="72"/>
  <c r="U35" i="91"/>
  <c r="V34" i="72"/>
  <c r="H39" i="96"/>
  <c r="I78" i="90"/>
  <c r="J77"/>
  <c r="J78" s="1"/>
  <c r="K77"/>
  <c r="Y69"/>
  <c r="X68" i="72"/>
  <c r="Y33" i="90"/>
  <c r="X32" i="72"/>
  <c r="Y10" i="90"/>
  <c r="X9" i="72"/>
  <c r="Y55" i="90"/>
  <c r="X54" i="72"/>
  <c r="Y41" i="90"/>
  <c r="X40" i="72"/>
  <c r="Y9" i="90"/>
  <c r="X8" i="72"/>
  <c r="AE8" s="1"/>
  <c r="BA8" s="1"/>
  <c r="Y75" i="90"/>
  <c r="X74" i="72"/>
  <c r="Y11" i="90"/>
  <c r="X10" i="72"/>
  <c r="AE10" s="1"/>
  <c r="BA10" s="1"/>
  <c r="Y29" i="90"/>
  <c r="X28" i="72"/>
  <c r="Y53" i="90"/>
  <c r="X52" i="72"/>
  <c r="AE52" s="1"/>
  <c r="BA52" s="1"/>
  <c r="Y36" i="90"/>
  <c r="X35" i="72"/>
  <c r="Y70" i="90"/>
  <c r="X69" i="72"/>
  <c r="Y46" i="90"/>
  <c r="X45" i="72"/>
  <c r="Y12" i="90"/>
  <c r="X11" i="72"/>
  <c r="AE11" s="1"/>
  <c r="BA11" s="1"/>
  <c r="Y23" i="90"/>
  <c r="X22" i="72"/>
  <c r="Y72" i="90"/>
  <c r="X71" i="72"/>
  <c r="Y68" i="90"/>
  <c r="X67" i="72"/>
  <c r="Y58" i="90"/>
  <c r="X57" i="72"/>
  <c r="Y67" i="90"/>
  <c r="X66" i="72"/>
  <c r="Y61" i="90"/>
  <c r="X60" i="72"/>
  <c r="Y48" i="90"/>
  <c r="X47" i="72"/>
  <c r="Y38" i="90"/>
  <c r="X37" i="72"/>
  <c r="Y27" i="90"/>
  <c r="X26" i="72"/>
  <c r="Y62" i="90"/>
  <c r="X61" i="72"/>
  <c r="AE61" s="1"/>
  <c r="BA61" s="1"/>
  <c r="Y34" i="90"/>
  <c r="X33" i="72"/>
  <c r="Y65" i="90"/>
  <c r="X64" i="72"/>
  <c r="AE64" s="1"/>
  <c r="BA64" s="1"/>
  <c r="Y15" i="90"/>
  <c r="X14" i="72"/>
  <c r="Y37" i="90"/>
  <c r="X36" i="72"/>
  <c r="Y32" i="90"/>
  <c r="X31" i="72"/>
  <c r="Y39" i="90"/>
  <c r="X38" i="72"/>
  <c r="Y22" i="90"/>
  <c r="X21" i="72"/>
  <c r="Y42" i="90"/>
  <c r="X41" i="72"/>
  <c r="Y47" i="90"/>
  <c r="X46" i="72"/>
  <c r="AE46" s="1"/>
  <c r="BA46" s="1"/>
  <c r="Y59" i="90"/>
  <c r="X58" i="72"/>
  <c r="Y35" i="90"/>
  <c r="X34" i="72"/>
  <c r="Y40" i="90"/>
  <c r="X39" i="72"/>
  <c r="AE39" s="1"/>
  <c r="BA39" s="1"/>
  <c r="U41" i="85"/>
  <c r="AE24" i="72"/>
  <c r="BA24" s="1"/>
  <c r="P71"/>
  <c r="W63" i="80"/>
  <c r="R7" i="88"/>
  <c r="T7" s="1"/>
  <c r="T76" s="1"/>
  <c r="P26" i="72"/>
  <c r="W37" i="80"/>
  <c r="W30" i="76"/>
  <c r="AE13" i="72"/>
  <c r="BA13" s="1"/>
  <c r="AE62"/>
  <c r="BA62" s="1"/>
  <c r="O40"/>
  <c r="AE20"/>
  <c r="BA20" s="1"/>
  <c r="U39" i="85"/>
  <c r="O69" i="72"/>
  <c r="AE74"/>
  <c r="BA74" s="1"/>
  <c r="O12"/>
  <c r="W26" i="76"/>
  <c r="O19" i="72"/>
  <c r="W13" i="80"/>
  <c r="O60" i="72"/>
  <c r="W52" i="76"/>
  <c r="U46" i="85"/>
  <c r="U33"/>
  <c r="AE33" i="72"/>
  <c r="BA33" s="1"/>
  <c r="AE77" i="100"/>
  <c r="W41" i="76"/>
  <c r="P76" i="89"/>
  <c r="U61" i="85"/>
  <c r="AE9" i="72"/>
  <c r="BA9" s="1"/>
  <c r="O70"/>
  <c r="AE68"/>
  <c r="BA68" s="1"/>
  <c r="R7" i="85"/>
  <c r="T7" s="1"/>
  <c r="T76" s="1"/>
  <c r="P76" i="91"/>
  <c r="Y38" i="46"/>
  <c r="AE67" i="72"/>
  <c r="BA67" s="1"/>
  <c r="W26" i="90"/>
  <c r="X25" i="72" s="1"/>
  <c r="X26" i="90"/>
  <c r="W71"/>
  <c r="X71"/>
  <c r="U66" i="85"/>
  <c r="W57" i="90"/>
  <c r="X57"/>
  <c r="W56"/>
  <c r="X56"/>
  <c r="W43"/>
  <c r="X43"/>
  <c r="P51" i="72"/>
  <c r="W8" i="90"/>
  <c r="X7" i="72" s="1"/>
  <c r="X8" i="90"/>
  <c r="Y50"/>
  <c r="AE49" i="72"/>
  <c r="BA49" s="1"/>
  <c r="Y31" i="90"/>
  <c r="AE30" i="72"/>
  <c r="BA30" s="1"/>
  <c r="W30" i="90"/>
  <c r="X30"/>
  <c r="W16"/>
  <c r="X16"/>
  <c r="W66"/>
  <c r="X66"/>
  <c r="W13"/>
  <c r="X13"/>
  <c r="W20"/>
  <c r="X20"/>
  <c r="W24"/>
  <c r="X24"/>
  <c r="W44"/>
  <c r="X43" i="72" s="1"/>
  <c r="X44" i="90"/>
  <c r="W45"/>
  <c r="X45"/>
  <c r="W64"/>
  <c r="X64"/>
  <c r="W51"/>
  <c r="X51"/>
  <c r="W28"/>
  <c r="X28"/>
  <c r="W74"/>
  <c r="X74"/>
  <c r="W60"/>
  <c r="X60"/>
  <c r="W52"/>
  <c r="X51" i="72" s="1"/>
  <c r="X52" i="90"/>
  <c r="Y19"/>
  <c r="AE18" i="72"/>
  <c r="BA18" s="1"/>
  <c r="Y49" i="90"/>
  <c r="AE48" i="72"/>
  <c r="BA48" s="1"/>
  <c r="Y18" i="90"/>
  <c r="AE17" i="72"/>
  <c r="BA17" s="1"/>
  <c r="M71" i="96"/>
  <c r="N71" s="1"/>
  <c r="AD75" i="100"/>
  <c r="M72" i="96"/>
  <c r="N72" s="1"/>
  <c r="H65"/>
  <c r="T76" i="92"/>
  <c r="W38" i="46"/>
  <c r="AE6" i="100"/>
  <c r="AE75" s="1"/>
  <c r="Q78" i="90"/>
  <c r="M73" i="96"/>
  <c r="N73" s="1"/>
  <c r="H73"/>
  <c r="T4" i="80"/>
  <c r="R73"/>
  <c r="M24" i="96"/>
  <c r="N24" s="1"/>
  <c r="H24"/>
  <c r="W63" i="76"/>
  <c r="O65" i="72"/>
  <c r="W34" i="76"/>
  <c r="O36" i="72"/>
  <c r="P58"/>
  <c r="W56" i="80"/>
  <c r="O37" i="72"/>
  <c r="W35" i="76"/>
  <c r="W71"/>
  <c r="O73" i="72"/>
  <c r="W45" i="76"/>
  <c r="O47" i="72"/>
  <c r="W26" i="80"/>
  <c r="P28" i="72"/>
  <c r="Z29" i="46"/>
  <c r="Z30" s="1"/>
  <c r="X30"/>
  <c r="D14" i="72" s="1"/>
  <c r="S7" i="89"/>
  <c r="U6" i="72" s="1"/>
  <c r="R76" i="89"/>
  <c r="Q77" i="76"/>
  <c r="R75"/>
  <c r="T75"/>
  <c r="V75" s="1"/>
  <c r="R73"/>
  <c r="T4"/>
  <c r="R76" i="90"/>
  <c r="R78" s="1"/>
  <c r="W20" i="76"/>
  <c r="O22" i="72"/>
  <c r="W34" i="80"/>
  <c r="P36" i="72"/>
  <c r="W67" i="80"/>
  <c r="P69" i="72"/>
  <c r="P21"/>
  <c r="W19" i="80"/>
  <c r="W32" i="76"/>
  <c r="O34" i="72"/>
  <c r="W25" i="80"/>
  <c r="P27" i="72"/>
  <c r="O42"/>
  <c r="W40" i="76"/>
  <c r="S7" i="92"/>
  <c r="W6" i="72" s="1"/>
  <c r="W75" s="1"/>
  <c r="R76" i="92"/>
  <c r="O15" i="72"/>
  <c r="W13" i="76"/>
  <c r="P43" i="72"/>
  <c r="W41" i="80"/>
  <c r="P57" i="72"/>
  <c r="W55" i="80"/>
  <c r="AE16" i="72"/>
  <c r="BA16" s="1"/>
  <c r="N75"/>
  <c r="Z10" i="46"/>
  <c r="Z18" s="1"/>
  <c r="X18"/>
  <c r="S21" i="31"/>
  <c r="R70"/>
  <c r="Q75" i="80"/>
  <c r="R75" s="1"/>
  <c r="T75" s="1"/>
  <c r="V75" s="1"/>
  <c r="E64" i="81"/>
  <c r="E71" s="1"/>
  <c r="P25" i="72"/>
  <c r="W23" i="80"/>
  <c r="O21" i="72"/>
  <c r="W19" i="76"/>
  <c r="W25"/>
  <c r="O27" i="72"/>
  <c r="W64" i="76"/>
  <c r="O66" i="72"/>
  <c r="P23"/>
  <c r="W21" i="80"/>
  <c r="W36" i="76"/>
  <c r="O38" i="72"/>
  <c r="R76" i="91"/>
  <c r="S7"/>
  <c r="V6" i="72" s="1"/>
  <c r="S7" i="86"/>
  <c r="R6" i="72" s="1"/>
  <c r="R76" i="86"/>
  <c r="O31" i="72"/>
  <c r="W29" i="76"/>
  <c r="W27"/>
  <c r="O29" i="72"/>
  <c r="H60" i="96"/>
  <c r="M60"/>
  <c r="N60" s="1"/>
  <c r="S7" i="88"/>
  <c r="T6" i="72" s="1"/>
  <c r="W33" i="76"/>
  <c r="O35" i="72"/>
  <c r="P32"/>
  <c r="W30" i="80"/>
  <c r="W36"/>
  <c r="P38" i="72"/>
  <c r="AE53"/>
  <c r="BA53" s="1"/>
  <c r="AE71" l="1"/>
  <c r="BA71" s="1"/>
  <c r="AE40"/>
  <c r="BA40" s="1"/>
  <c r="T75"/>
  <c r="R75"/>
  <c r="U75"/>
  <c r="AE45"/>
  <c r="BA45" s="1"/>
  <c r="V75"/>
  <c r="M77" i="90"/>
  <c r="K78"/>
  <c r="Y56"/>
  <c r="X55" i="72"/>
  <c r="AE55" s="1"/>
  <c r="BA55" s="1"/>
  <c r="Y20" i="90"/>
  <c r="X19" i="72"/>
  <c r="AE19" s="1"/>
  <c r="BA19" s="1"/>
  <c r="Y30" i="90"/>
  <c r="X29" i="72"/>
  <c r="AE29" s="1"/>
  <c r="BA29" s="1"/>
  <c r="Y71" i="90"/>
  <c r="X70" i="72"/>
  <c r="AE70" s="1"/>
  <c r="BA70" s="1"/>
  <c r="Y74" i="90"/>
  <c r="X73" i="72"/>
  <c r="AE73" s="1"/>
  <c r="BA73" s="1"/>
  <c r="Y51" i="90"/>
  <c r="X50" i="72"/>
  <c r="AE50" s="1"/>
  <c r="BA50" s="1"/>
  <c r="Y45" i="90"/>
  <c r="X44" i="72"/>
  <c r="Y43" i="90"/>
  <c r="X42" i="72"/>
  <c r="Y57" i="90"/>
  <c r="X56" i="72"/>
  <c r="Y60" i="90"/>
  <c r="X59" i="72"/>
  <c r="AE59" s="1"/>
  <c r="BA59" s="1"/>
  <c r="Y28" i="90"/>
  <c r="X27" i="72"/>
  <c r="AE27" s="1"/>
  <c r="BA27" s="1"/>
  <c r="Y64" i="90"/>
  <c r="X63" i="72"/>
  <c r="AE63" s="1"/>
  <c r="BA63" s="1"/>
  <c r="Y66" i="90"/>
  <c r="X65" i="72"/>
  <c r="AE65" s="1"/>
  <c r="BA65" s="1"/>
  <c r="Y24" i="90"/>
  <c r="X23" i="72"/>
  <c r="AE23" s="1"/>
  <c r="BA23" s="1"/>
  <c r="Y13" i="90"/>
  <c r="X12" i="72"/>
  <c r="AE12" s="1"/>
  <c r="BA12" s="1"/>
  <c r="Y16" i="90"/>
  <c r="X15" i="72"/>
  <c r="AE60"/>
  <c r="BA60" s="1"/>
  <c r="AE26"/>
  <c r="BA26" s="1"/>
  <c r="AE34"/>
  <c r="BA34" s="1"/>
  <c r="AE58"/>
  <c r="BA58" s="1"/>
  <c r="R76" i="88"/>
  <c r="AE69" i="72"/>
  <c r="BA69" s="1"/>
  <c r="S69" i="31"/>
  <c r="S70" s="1"/>
  <c r="E75" i="72" s="1"/>
  <c r="AE35"/>
  <c r="BA35" s="1"/>
  <c r="AE66"/>
  <c r="BA66" s="1"/>
  <c r="R76" i="85"/>
  <c r="S7"/>
  <c r="AE21" i="72"/>
  <c r="BA21" s="1"/>
  <c r="AE47"/>
  <c r="BA47" s="1"/>
  <c r="AE44"/>
  <c r="BA44" s="1"/>
  <c r="AE28"/>
  <c r="BA28" s="1"/>
  <c r="AE32"/>
  <c r="BA32" s="1"/>
  <c r="AE57"/>
  <c r="BA57" s="1"/>
  <c r="AE36"/>
  <c r="BA36" s="1"/>
  <c r="AE37"/>
  <c r="BA37" s="1"/>
  <c r="X7" i="90"/>
  <c r="X76" s="1"/>
  <c r="Y52"/>
  <c r="AE51" i="72"/>
  <c r="BA51" s="1"/>
  <c r="Y44" i="90"/>
  <c r="AE43" i="72"/>
  <c r="BA43" s="1"/>
  <c r="Y8" i="90"/>
  <c r="AE7" i="72"/>
  <c r="BA7" s="1"/>
  <c r="Y26" i="90"/>
  <c r="AE25" i="72"/>
  <c r="BA25" s="1"/>
  <c r="AE56"/>
  <c r="BA56" s="1"/>
  <c r="G8" i="96"/>
  <c r="M8" s="1"/>
  <c r="Z38" i="46"/>
  <c r="AE31" i="72"/>
  <c r="BA31" s="1"/>
  <c r="Q77" i="80"/>
  <c r="S76" i="88"/>
  <c r="U7"/>
  <c r="U76" s="1"/>
  <c r="S76" i="86"/>
  <c r="U7"/>
  <c r="U76" s="1"/>
  <c r="D22" i="72"/>
  <c r="D75" s="1"/>
  <c r="X38" i="46"/>
  <c r="V4" i="76"/>
  <c r="V73" s="1"/>
  <c r="V77" s="1"/>
  <c r="T73"/>
  <c r="T77" s="1"/>
  <c r="U4"/>
  <c r="S76" i="89"/>
  <c r="U7"/>
  <c r="U76" s="1"/>
  <c r="R77" i="80"/>
  <c r="S76" i="91"/>
  <c r="U7"/>
  <c r="U76" s="1"/>
  <c r="G75" i="72"/>
  <c r="G64" i="81"/>
  <c r="H64"/>
  <c r="U7" i="92"/>
  <c r="U76" s="1"/>
  <c r="S76"/>
  <c r="K75" i="72"/>
  <c r="AE14"/>
  <c r="BA14" s="1"/>
  <c r="F75"/>
  <c r="U4" i="80"/>
  <c r="T73"/>
  <c r="T77" s="1"/>
  <c r="V4"/>
  <c r="V73" s="1"/>
  <c r="V77" s="1"/>
  <c r="AE38" i="72"/>
  <c r="BA38" s="1"/>
  <c r="R77" i="76"/>
  <c r="I75" i="72"/>
  <c r="U7" i="85" l="1"/>
  <c r="U76" s="1"/>
  <c r="Q6" i="72"/>
  <c r="Q75" s="1"/>
  <c r="N77" i="90"/>
  <c r="X77"/>
  <c r="X78" s="1"/>
  <c r="M78"/>
  <c r="S76" i="85"/>
  <c r="T76" i="90"/>
  <c r="T78" s="1"/>
  <c r="H8" i="96"/>
  <c r="H77" s="1"/>
  <c r="G77"/>
  <c r="W4" i="80"/>
  <c r="W73" s="1"/>
  <c r="U73"/>
  <c r="P6" i="72"/>
  <c r="P75" s="1"/>
  <c r="AE54"/>
  <c r="BA54" s="1"/>
  <c r="M75"/>
  <c r="E88" i="81"/>
  <c r="H71"/>
  <c r="G71"/>
  <c r="N8" i="96"/>
  <c r="N77" s="1"/>
  <c r="M77"/>
  <c r="AE41" i="72"/>
  <c r="BA41" s="1"/>
  <c r="L75"/>
  <c r="AE15"/>
  <c r="BA15" s="1"/>
  <c r="W7" i="90"/>
  <c r="X6" i="72" s="1"/>
  <c r="V76" i="90"/>
  <c r="V78" s="1"/>
  <c r="U73" i="76"/>
  <c r="O6" i="72"/>
  <c r="W4" i="76"/>
  <c r="W73" s="1"/>
  <c r="AE42" i="72"/>
  <c r="BA42" s="1"/>
  <c r="AE22"/>
  <c r="BA22" s="1"/>
  <c r="Y77" i="90" l="1"/>
  <c r="N78"/>
  <c r="O75" i="72"/>
  <c r="W76" i="90"/>
  <c r="W78" s="1"/>
  <c r="Y7"/>
  <c r="Y76" s="1"/>
  <c r="Y78" s="1"/>
  <c r="X75" i="72"/>
  <c r="H88" i="81"/>
  <c r="G88"/>
  <c r="E90"/>
  <c r="G90" s="1"/>
  <c r="AE77" i="72" l="1"/>
  <c r="AE6"/>
  <c r="BA6" s="1"/>
  <c r="BA75" l="1"/>
  <c r="AE75"/>
  <c r="BA77" s="1"/>
</calcChain>
</file>

<file path=xl/sharedStrings.xml><?xml version="1.0" encoding="utf-8"?>
<sst xmlns="http://schemas.openxmlformats.org/spreadsheetml/2006/main" count="5021" uniqueCount="1511">
  <si>
    <t>Foreign Language 
Associates</t>
  </si>
  <si>
    <t>Pay Raise
&amp; Insurance
Supplement
Amounts
from Prior
Years</t>
  </si>
  <si>
    <t>FY2006/07
Hold 
Harmless 
Amount</t>
  </si>
  <si>
    <t>School 
System</t>
  </si>
  <si>
    <t>AD VALOREM 
CONSTITUTIONAL TAX</t>
  </si>
  <si>
    <t>COMBINED 
SALES 
PERCENT</t>
  </si>
  <si>
    <t>SALES
REVENUE 
(NON-DEBT)</t>
  </si>
  <si>
    <t>SALES 
REVENUE 
(DEBT)</t>
  </si>
  <si>
    <t>PARISH 
MILL 
RATE</t>
  </si>
  <si>
    <t>DIST 
MILL 
LOW</t>
  </si>
  <si>
    <t>DIST 
MILL 
HIGH</t>
  </si>
  <si>
    <t># 
OF 
DISTS.</t>
  </si>
  <si>
    <t>DIST 
REVENUE 
AMOUNT</t>
  </si>
  <si>
    <t>PARISH 
REVENUE 
AMOUNT</t>
  </si>
  <si>
    <t>TOTAL AVG. 
MILL RATE 
(NON DEBT)</t>
  </si>
  <si>
    <t>TOTAL AVG.
MILL RATE 
(DEBT)</t>
  </si>
  <si>
    <t>REVENUE
DISTRICT 
INCL. DEBT</t>
  </si>
  <si>
    <t>REVENUE
PARISHWIDE
INCL. DEBT</t>
  </si>
  <si>
    <t>PARISHWIDE  
MILLAGE 
INCL. DEBT</t>
  </si>
  <si>
    <t>TOTAL AVG.
MILL RATE 
INCLUDING
DEBT</t>
  </si>
  <si>
    <t>DEBT 
RATE</t>
  </si>
  <si>
    <t>% 
Change</t>
  </si>
  <si>
    <t>col. 34+col.30+col. 26</t>
  </si>
  <si>
    <t>set by resolution</t>
  </si>
  <si>
    <t>col. 5 + col. 7 + col. 11</t>
  </si>
  <si>
    <t>col. 14 + col. 18</t>
  </si>
  <si>
    <t>La. Tax Commission Tables 41 &amp; 43</t>
  </si>
  <si>
    <t>(col. 26/ col. 3)*1000</t>
  </si>
  <si>
    <t>col. 30/ col 27</t>
  </si>
  <si>
    <t>col. 28/ col. 31</t>
  </si>
  <si>
    <t>col. 29/ col. 31</t>
  </si>
  <si>
    <t>City of Baker</t>
  </si>
  <si>
    <t>Foreign Language Associates</t>
  </si>
  <si>
    <t>Zachary Community</t>
  </si>
  <si>
    <t>Level 3 Legislative Enhancements</t>
  </si>
  <si>
    <t>col. 4 + col. 6 + col 13</t>
  </si>
  <si>
    <t>col. 5 + col. 7 + col 14</t>
  </si>
  <si>
    <t>col. 11 + col. 18</t>
  </si>
  <si>
    <t>(col. 19/ col. 3)*1000</t>
  </si>
  <si>
    <t>(col. 12/ col. 3)*1000</t>
  </si>
  <si>
    <t>SUMMARY OF AD VALOREM TAXES</t>
  </si>
  <si>
    <t>AFR-kpc 62220 col. 3</t>
  </si>
  <si>
    <t>AFR-kpc 62220 col. 4</t>
  </si>
  <si>
    <t>AFR-kpc 62320 col. 3</t>
  </si>
  <si>
    <t>AFR-kpc 62320 col. 4</t>
  </si>
  <si>
    <t>AFR-kpc 62320 col. 5</t>
  </si>
  <si>
    <t>AFR-kpc 62320 col. 6</t>
  </si>
  <si>
    <t>AFR-kpc 62320 col. 7</t>
  </si>
  <si>
    <t>AFR-kpc 62320 col. 8</t>
  </si>
  <si>
    <t>AFR-kpc 62620 col. 3</t>
  </si>
  <si>
    <t>AFR-kpc 62620 col. 4</t>
  </si>
  <si>
    <t>AFR-kpc 62620 col. 5</t>
  </si>
  <si>
    <t>AFR-kpc 62620 col. 6</t>
  </si>
  <si>
    <t>AFR-kpc 62620 col. 7</t>
  </si>
  <si>
    <t>AFR-kpc 62620 col. 8</t>
  </si>
  <si>
    <t>AD VALOREM RENEWABLE TAXES</t>
  </si>
  <si>
    <t>DEBT SERVICE TAXES</t>
  </si>
  <si>
    <t>TOTAL AD VALOREM TAXES         (DEBT)</t>
  </si>
  <si>
    <t>PARISH REVENUE AMOUNT</t>
  </si>
  <si>
    <t>DIST. MILL LOW</t>
  </si>
  <si>
    <t>DIST. MILL HIGH</t>
  </si>
  <si>
    <t># OF DISTS.</t>
  </si>
  <si>
    <t>(6b)</t>
  </si>
  <si>
    <t>("Table 7 state total col. 25" x "Tbl 7 col. 3") / 1000</t>
  </si>
  <si>
    <t>"Table 7 total col. 27" * "Tbl 7 col. 31"</t>
  </si>
  <si>
    <t>Input from SIS</t>
  </si>
  <si>
    <t>K.</t>
  </si>
  <si>
    <t>Foreign Associate Teacher Stipends</t>
  </si>
  <si>
    <t>Prior Year Audit Adjustments</t>
  </si>
  <si>
    <t>See 
Table 2</t>
  </si>
  <si>
    <t>col.13 x Tbl 3, col.1 (Oct 1 membership)</t>
  </si>
  <si>
    <t>If col 14 &gt;col. 15 then col. 15, otherwise col. 14</t>
  </si>
  <si>
    <t>AFR-kpc 63320 col.3</t>
  </si>
  <si>
    <t>AFR kpc 63320 col.4</t>
  </si>
  <si>
    <t>Input from LANSER</t>
  </si>
  <si>
    <t>Input from ASR</t>
  </si>
  <si>
    <t>SUMMARY OF SALES TAXES</t>
  </si>
  <si>
    <t>Col.2a X 17%</t>
  </si>
  <si>
    <t>Col.31 X 5%</t>
  </si>
  <si>
    <t>Col.4a X 150%</t>
  </si>
  <si>
    <t>Col.5a X  60%</t>
  </si>
  <si>
    <t>Per HCR 235</t>
  </si>
  <si>
    <t>SIS</t>
  </si>
  <si>
    <t>AFR kpcs (50% of 1210, 1220) 8231, 8232, 8233, 8234, 8240, 14200, 14300, 14400</t>
  </si>
  <si>
    <t>Col.35 / Tab.3 col.1</t>
  </si>
  <si>
    <t>State Share
Per Pupil
(Levels 
1, 2  &amp; 3)
for
Orleans 
Parish</t>
  </si>
  <si>
    <t>Recovery School District Funding</t>
  </si>
  <si>
    <t>Sitecode</t>
  </si>
  <si>
    <t>RSD Chartered</t>
  </si>
  <si>
    <t>Total RSD Chartered</t>
  </si>
  <si>
    <t>TOTAL RSD 
(Operated + Chartered)</t>
  </si>
  <si>
    <t xml:space="preserve">Percent 
State </t>
  </si>
  <si>
    <t>O.</t>
  </si>
  <si>
    <t>Adjustments</t>
  </si>
  <si>
    <t>P.</t>
  </si>
  <si>
    <t>Total 
Stipends
for Foreign
Associate
Teachers</t>
  </si>
  <si>
    <t>See Table 2</t>
  </si>
  <si>
    <t xml:space="preserve">COMPUTED SALES
TAX BASE with GROWTH CAP OF </t>
  </si>
  <si>
    <t>STATE TOTAL</t>
  </si>
  <si>
    <t>COMPUTED SALES TAX BASE</t>
  </si>
  <si>
    <t>NON-DEBT RATE</t>
  </si>
  <si>
    <t>Hide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</si>
  <si>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</si>
  <si>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</si>
  <si>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</si>
  <si>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</si>
  <si>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</si>
  <si>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</si>
  <si>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</si>
  <si>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</si>
  <si>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</si>
  <si>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</si>
  <si>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</si>
  <si>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</si>
  <si>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</si>
  <si>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</si>
  <si>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</si>
  <si>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</si>
  <si>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</si>
  <si>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</si>
  <si>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</si>
  <si>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</si>
  <si>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</si>
  <si>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</si>
  <si>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</si>
  <si>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</si>
  <si>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</si>
  <si>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</si>
  <si>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</si>
  <si>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</si>
  <si>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</si>
  <si>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</si>
  <si>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</si>
  <si>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</si>
  <si>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</si>
  <si>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</si>
  <si>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</si>
  <si>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</si>
  <si>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</si>
  <si>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</si>
  <si>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</si>
  <si>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</si>
  <si>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</si>
  <si>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</si>
  <si>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</si>
  <si>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</si>
  <si>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</si>
  <si>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</si>
  <si>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</si>
  <si>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</si>
  <si>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</si>
  <si>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</si>
  <si>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</si>
  <si>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</si>
  <si>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</si>
  <si>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</si>
  <si>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</si>
  <si>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</si>
  <si>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</si>
  <si>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</si>
  <si>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</si>
  <si>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</si>
  <si>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</si>
  <si>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</si>
  <si>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</si>
  <si>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</si>
  <si>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</si>
  <si>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</si>
  <si>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(3a)</t>
  </si>
  <si>
    <t>(4a)</t>
  </si>
  <si>
    <t>(5a)</t>
  </si>
  <si>
    <t>(2a)</t>
  </si>
  <si>
    <t>Level 1 Base Per Pupil Amount</t>
  </si>
  <si>
    <t>1.</t>
  </si>
  <si>
    <t>2.</t>
  </si>
  <si>
    <t>3.</t>
  </si>
  <si>
    <t>4.</t>
  </si>
  <si>
    <t>Exceptionalities Weight Factor (150%)</t>
  </si>
  <si>
    <t>5.</t>
  </si>
  <si>
    <t>Gifted/Talented Weight Factor (60%)</t>
  </si>
  <si>
    <t>6.</t>
  </si>
  <si>
    <t>Total Level 1 State and Local Costs (A X B)</t>
  </si>
  <si>
    <t>Level 2 Eligible Local Revenue</t>
  </si>
  <si>
    <t>A.</t>
  </si>
  <si>
    <t>B.</t>
  </si>
  <si>
    <t>C.</t>
  </si>
  <si>
    <t>D.</t>
  </si>
  <si>
    <t>E.</t>
  </si>
  <si>
    <t>G.</t>
  </si>
  <si>
    <t>H.</t>
  </si>
  <si>
    <t>I.</t>
  </si>
  <si>
    <t>J.</t>
  </si>
  <si>
    <t>M.</t>
  </si>
  <si>
    <t xml:space="preserve">TOTAL </t>
  </si>
  <si>
    <t>MFP Formula Items</t>
  </si>
  <si>
    <t xml:space="preserve">Economy-of-Scale Weight Factor </t>
  </si>
  <si>
    <t>Total Local Revenues in MFP</t>
  </si>
  <si>
    <t>Average Equivalent Millage Rate</t>
  </si>
  <si>
    <t>Average Equivalent Sales Tax Rate</t>
  </si>
  <si>
    <t>Property Tax Revenue</t>
  </si>
  <si>
    <t>Sales Tax Revenue</t>
  </si>
  <si>
    <t>7.</t>
  </si>
  <si>
    <t>Other Revenues Considered</t>
  </si>
  <si>
    <t>LEA</t>
  </si>
  <si>
    <t xml:space="preserve">cols. + 2+  3 + 4 + 5 + 6 </t>
  </si>
  <si>
    <t>AFR kpc 63320 col. 5</t>
  </si>
  <si>
    <t>if col 1 is less than 7500, then 7500 less col 1, otherwise 0</t>
  </si>
  <si>
    <t>col 6a / 37,500 max of 20% (7,500/37,500)</t>
  </si>
  <si>
    <t>col. 6b x  col. 1</t>
  </si>
  <si>
    <t>col. 8 x col. 9</t>
  </si>
  <si>
    <t>col. 1 + col. 7</t>
  </si>
  <si>
    <t>School</t>
  </si>
  <si>
    <t>St. Charles L1,L2 &amp; L3 total state allocation 07/08 prior to this reduction</t>
  </si>
  <si>
    <t>St. Charles 06/07 L1, L2 &amp; L3 total state allocation</t>
  </si>
  <si>
    <t>growth dollars from 06/07 to 07/08</t>
  </si>
  <si>
    <t>St. Charles requested their growth dollars be used to reduce</t>
  </si>
  <si>
    <t>their Hold Harmless Amount in 07/08.</t>
  </si>
  <si>
    <t>At-Risk Weight Factor (22%)</t>
  </si>
  <si>
    <t>Career &amp; Technical Weight Factor (6%)</t>
  </si>
  <si>
    <t>Mandated Cost Adjustment ($100)</t>
  </si>
  <si>
    <t>Rank</t>
  </si>
  <si>
    <t>Level 3 State Funding for Foreign Associate Teachers</t>
  </si>
  <si>
    <t>St. John the Baptist</t>
  </si>
  <si>
    <t>MFP Simulation Summary (6-11-07)</t>
  </si>
  <si>
    <t>Level 1 and 2 State Share (C1+E1)</t>
  </si>
  <si>
    <t>F.</t>
  </si>
  <si>
    <t>Table 3, total of col.33</t>
  </si>
  <si>
    <t>(6a)</t>
  </si>
  <si>
    <t>R.S. 17:350.21 Lab School Funding</t>
  </si>
  <si>
    <t>TABLE 1: STATE LEVEL COMPARISON</t>
  </si>
  <si>
    <t xml:space="preserve">
COMPUTED SALES 
TAX BASE
 PERCENT CHANGE</t>
  </si>
  <si>
    <t xml:space="preserve">Economy-of-Scale 
Weighted 
Add-On Units </t>
  </si>
  <si>
    <t>ELIGIBLE
 LOCAL REVENUE
 LEVEL 2</t>
  </si>
  <si>
    <t xml:space="preserve"> Local Deduction (Property, Sales &amp; Other Revenue)(continued)</t>
  </si>
  <si>
    <t>For Information Only</t>
  </si>
  <si>
    <t>Central Community</t>
  </si>
  <si>
    <t>% Change</t>
  </si>
  <si>
    <t xml:space="preserve">TOTAL
LEVEL 1
COSTS </t>
  </si>
  <si>
    <t>Local Share of 
Level 1
(DEDUCTION for Property &amp; Sales and Other Revenues)</t>
  </si>
  <si>
    <t xml:space="preserve">Local Revenue
 Limit on 
Level 2 State Support </t>
  </si>
  <si>
    <t>LOCAL SHARE 
of Level 2</t>
  </si>
  <si>
    <t>MFP 
State Average
 Per Pupil (L1,L2+L3)</t>
  </si>
  <si>
    <t>Projected Yield of Sales Tax Rate of</t>
  </si>
  <si>
    <t xml:space="preserve">Projected Yield of Property Tax Millage Rate of </t>
  </si>
  <si>
    <t>11a</t>
  </si>
  <si>
    <t>3a</t>
  </si>
  <si>
    <t>3b</t>
  </si>
  <si>
    <t>3c</t>
  </si>
  <si>
    <t>Hold Harmless (Total)</t>
  </si>
  <si>
    <t>TOTAL AD VALOREM TAXES
(NON DEBT)</t>
  </si>
  <si>
    <t>Per Pupil 
Local Share
 of Level 1</t>
  </si>
  <si>
    <t xml:space="preserve">Rank
</t>
  </si>
  <si>
    <t>Local Revenue as Percent of Total State and Local</t>
  </si>
  <si>
    <t>Table 6:  Calculation of the Local Deduction</t>
  </si>
  <si>
    <t>Per Pupil based on February 1 Membership</t>
  </si>
  <si>
    <t>Remaining
Hold 
Harmless
(FY2007/08)</t>
  </si>
  <si>
    <t>Weighted
 Add-On 
Units
Career &amp; Technical</t>
  </si>
  <si>
    <t>Total Net Assessed Property (capped at 10%)</t>
  </si>
  <si>
    <t>Total Est. Sales Tax Base (capped at 15%)</t>
  </si>
  <si>
    <t>State Share of Cost (65%)</t>
  </si>
  <si>
    <t>Local Share of Cost (35%)</t>
  </si>
  <si>
    <t xml:space="preserve">Level 2 State Support </t>
  </si>
  <si>
    <t>Orleans Parish School Board</t>
  </si>
  <si>
    <t>Weighted
Add-on 
Students
At Risk 
(with LEP)</t>
  </si>
  <si>
    <t xml:space="preserve">Weighted
Add-On
Students 
Other Exceptionalities </t>
  </si>
  <si>
    <t xml:space="preserve">Weighted
Add-On 
Students
Gifted/Talented </t>
  </si>
  <si>
    <t xml:space="preserve">Total Weighted 
Add-On 
Students
and/or Units </t>
  </si>
  <si>
    <t xml:space="preserve">Total 
Weighted
Membership
and/or Units </t>
  </si>
  <si>
    <t>DIST. 
REVENUE 
AMOUNT</t>
  </si>
  <si>
    <t>Stipend for First Year Foreign Associate Teachers</t>
  </si>
  <si>
    <t>Stipend for Second and Third Year Foreign Associate Teachers</t>
  </si>
  <si>
    <t>East Baton Rouge Parish School Board</t>
  </si>
  <si>
    <t>Lincoln Parish School Board</t>
  </si>
  <si>
    <t>Ouachita Parish School Board</t>
  </si>
  <si>
    <t>Union Parish School Board</t>
  </si>
  <si>
    <t>for Livingston</t>
  </si>
  <si>
    <t>ECONOMY-
OF-SCALE 
PERCENT 
SUPPORT</t>
  </si>
  <si>
    <t>ECONOMY-OF-SCALE:
If &lt; 7500, then 
7500 less 
February
Membership</t>
  </si>
  <si>
    <t>*</t>
  </si>
  <si>
    <t>Total Revenue 
(for Use in MFP Level 1 and 2)</t>
  </si>
  <si>
    <t>Local Deduction (Property, Sales &amp; Other Revenue)</t>
  </si>
  <si>
    <t>Other Revenue</t>
  </si>
  <si>
    <t>State 
Share
 %</t>
  </si>
  <si>
    <t>Local 
Share
 %</t>
  </si>
  <si>
    <t>(actual revenues using rates)</t>
  </si>
  <si>
    <t>local deduct percentage calculation</t>
  </si>
  <si>
    <r>
      <t>LSU</t>
    </r>
    <r>
      <rPr>
        <sz val="10"/>
        <rFont val="Arial"/>
        <family val="2"/>
      </rPr>
      <t xml:space="preserve">
Lab. School</t>
    </r>
  </si>
  <si>
    <r>
      <t>Southern Univ.</t>
    </r>
    <r>
      <rPr>
        <sz val="10"/>
        <rFont val="Arial"/>
        <family val="2"/>
      </rPr>
      <t xml:space="preserve">
Lab. School</t>
    </r>
  </si>
  <si>
    <t>School
System</t>
  </si>
  <si>
    <t>Adjustments Due to Student, 
CAFR/AFR and PEP Audits</t>
  </si>
  <si>
    <t>Due 
District
(+)</t>
  </si>
  <si>
    <t>Due 
State
(-)</t>
  </si>
  <si>
    <t>Per Pupil 
Amount</t>
  </si>
  <si>
    <t>Local Share
of Level 1
with 75% max Local Share
(DEDUCTION for Property &amp; Sales and Other Revenues)</t>
  </si>
  <si>
    <t xml:space="preserve">Actual 
Sales and Property
Tax Revenues
(Including Debt) 
Plus Other Revenue </t>
  </si>
  <si>
    <t xml:space="preserve">Local Revenue
Over
Level 1 </t>
  </si>
  <si>
    <t xml:space="preserve">Local Revenue 
Under Level 1 </t>
  </si>
  <si>
    <t>Per Pupil
Amount</t>
  </si>
  <si>
    <t>Plus/(Minus) Prior Year Adjustments - LSU/SU Lab Schools</t>
  </si>
  <si>
    <t>Total Type 5 Charters 
East Baton Rouge Parish</t>
  </si>
  <si>
    <t>Total Type 5 Charters 
Caddo Parish</t>
  </si>
  <si>
    <t>Total RSD LA</t>
  </si>
  <si>
    <r>
      <t xml:space="preserve">State Share
Per Pupil
(Levels 
1, 2  &amp; 3)
</t>
    </r>
    <r>
      <rPr>
        <sz val="10"/>
        <color indexed="18"/>
        <rFont val="Arial"/>
        <family val="2"/>
      </rPr>
      <t>(Table 3, 
col. 29)</t>
    </r>
  </si>
  <si>
    <t>See
Table 2</t>
  </si>
  <si>
    <t>Total 
Local Deduction
(sales,prop,
other)</t>
  </si>
  <si>
    <r>
      <t xml:space="preserve">Advocates for Arts and Tech.
</t>
    </r>
    <r>
      <rPr>
        <sz val="11"/>
        <rFont val="Futura Lt BT"/>
        <family val="2"/>
      </rPr>
      <t>(Crocker Arts)</t>
    </r>
  </si>
  <si>
    <r>
      <t xml:space="preserve">Intercultural Charter School Brd.
</t>
    </r>
    <r>
      <rPr>
        <sz val="11"/>
        <rFont val="Futura Lt BT"/>
        <family val="2"/>
      </rPr>
      <t>(Intercultural Charter)</t>
    </r>
  </si>
  <si>
    <r>
      <t xml:space="preserve">N.O. College Prep Academies
</t>
    </r>
    <r>
      <rPr>
        <sz val="11"/>
        <rFont val="Futura Lt BT"/>
        <family val="2"/>
      </rPr>
      <t>(N. O. College Prep /S. Williams)</t>
    </r>
  </si>
  <si>
    <r>
      <t xml:space="preserve">Broadmoor Charter
</t>
    </r>
    <r>
      <rPr>
        <sz val="11"/>
        <rFont val="Futura Lt BT"/>
        <family val="2"/>
      </rPr>
      <t xml:space="preserve"> (Andrew H. Wilson/Mc #7)</t>
    </r>
  </si>
  <si>
    <r>
      <t xml:space="preserve">KIPP New Orleans
</t>
    </r>
    <r>
      <rPr>
        <sz val="11"/>
        <rFont val="Futura Lt BT"/>
        <family val="2"/>
      </rPr>
      <t>(KIPP Central City Academy)</t>
    </r>
  </si>
  <si>
    <r>
      <t xml:space="preserve">KIPP New Orleans
</t>
    </r>
    <r>
      <rPr>
        <sz val="11"/>
        <rFont val="Futura Lt BT"/>
        <family val="2"/>
      </rPr>
      <t>(Edward Phillips/Kipp Believe)</t>
    </r>
  </si>
  <si>
    <r>
      <t xml:space="preserve">KIPP New Orleans
</t>
    </r>
    <r>
      <rPr>
        <sz val="11"/>
        <rFont val="Futura Lt BT"/>
        <family val="2"/>
      </rPr>
      <t>(McDonogh #15)</t>
    </r>
  </si>
  <si>
    <r>
      <t xml:space="preserve">Instititute of Academic Excellence,
</t>
    </r>
    <r>
      <rPr>
        <sz val="11"/>
        <rFont val="Futura Lt BT"/>
        <family val="2"/>
      </rPr>
      <t>SUNO  (Sophie B. Wright)</t>
    </r>
  </si>
  <si>
    <r>
      <t xml:space="preserve">Algiers Charter School Assoc. 
</t>
    </r>
    <r>
      <rPr>
        <sz val="11"/>
        <rFont val="Futura Lt BT"/>
        <family val="2"/>
      </rPr>
      <t>(ACSA Tech High at Rosenwald)</t>
    </r>
  </si>
  <si>
    <r>
      <t xml:space="preserve">Algiers Charter School Assoc. 
</t>
    </r>
    <r>
      <rPr>
        <sz val="11"/>
        <rFont val="Futura Lt BT"/>
        <family val="2"/>
      </rPr>
      <t>(Martin Behrman)</t>
    </r>
  </si>
  <si>
    <r>
      <t xml:space="preserve">Algiers Charter School Assoc. 
</t>
    </r>
    <r>
      <rPr>
        <sz val="11"/>
        <rFont val="Futura Lt BT"/>
        <family val="2"/>
      </rPr>
      <t>(Dwight D. Eisenhower)</t>
    </r>
  </si>
  <si>
    <r>
      <t xml:space="preserve">Algiers Charter School Assoc. 
</t>
    </r>
    <r>
      <rPr>
        <sz val="11"/>
        <rFont val="Futura Lt BT"/>
        <family val="2"/>
      </rPr>
      <t>(William J. Fischer)</t>
    </r>
  </si>
  <si>
    <r>
      <t xml:space="preserve">Algiers Charter School Assoc.
</t>
    </r>
    <r>
      <rPr>
        <sz val="11"/>
        <rFont val="Futura Lt BT"/>
        <family val="2"/>
      </rPr>
      <t xml:space="preserve"> (McDonogh #32)</t>
    </r>
  </si>
  <si>
    <r>
      <t xml:space="preserve">Algiers Charter School Assoc.
</t>
    </r>
    <r>
      <rPr>
        <sz val="11"/>
        <rFont val="Futura Lt BT"/>
        <family val="2"/>
      </rPr>
      <t>(O. P. Walker Sr. High)</t>
    </r>
  </si>
  <si>
    <r>
      <t xml:space="preserve">Choice Foundation
</t>
    </r>
    <r>
      <rPr>
        <sz val="11"/>
        <rFont val="Futura Lt BT"/>
        <family val="2"/>
      </rPr>
      <t>(Lafayette Academy)</t>
    </r>
  </si>
  <si>
    <r>
      <t xml:space="preserve">New Orleans Charter School Fdtn.
</t>
    </r>
    <r>
      <rPr>
        <sz val="11"/>
        <rFont val="Futura Lt BT"/>
        <family val="2"/>
      </rPr>
      <t xml:space="preserve"> (Mc #28 City Park)</t>
    </r>
  </si>
  <si>
    <r>
      <t xml:space="preserve">Friends of King 
</t>
    </r>
    <r>
      <rPr>
        <sz val="11"/>
        <rFont val="Futura Lt BT"/>
        <family val="2"/>
      </rPr>
      <t>(Martin Luther King Elem.)</t>
    </r>
  </si>
  <si>
    <r>
      <t xml:space="preserve">New Beginnings, UNO 
</t>
    </r>
    <r>
      <rPr>
        <sz val="11"/>
        <rFont val="Futura Lt BT"/>
        <family val="2"/>
      </rPr>
      <t>(Medard Nelson)</t>
    </r>
  </si>
  <si>
    <r>
      <t xml:space="preserve">New Beginnings, UNO 
</t>
    </r>
    <r>
      <rPr>
        <sz val="11"/>
        <rFont val="Futura Lt BT"/>
        <family val="2"/>
      </rPr>
      <t>(Capdau without Early College H.S.)</t>
    </r>
  </si>
  <si>
    <t xml:space="preserve">     Prior Year Pay Raise/Insurance Supplements</t>
  </si>
  <si>
    <t xml:space="preserve">     Remaining Hold Harmless</t>
  </si>
  <si>
    <t xml:space="preserve">     Redistribution of Hold Harmless Phase-out</t>
  </si>
  <si>
    <t>Q.</t>
  </si>
  <si>
    <t>Total OPSB + RSD + DOE</t>
  </si>
  <si>
    <t>(Table 3, 
col. 29)</t>
  </si>
  <si>
    <t>Total EBR Parish + 
RSD Charters</t>
  </si>
  <si>
    <t>Plus/(Minus) Prior Year Adjustments - RSD</t>
  </si>
  <si>
    <t>Mid-Year - Normal Student Growth</t>
  </si>
  <si>
    <t xml:space="preserve">
STATE SHARE 
OF LEVEL 1</t>
  </si>
  <si>
    <t xml:space="preserve">
STATE SHARE
OF LEVEL 2 </t>
  </si>
  <si>
    <t xml:space="preserve">
Levels 1 &amp; 2
STATE SHARE
 OF COST</t>
  </si>
  <si>
    <r>
      <t xml:space="preserve">
Levels 1</t>
    </r>
    <r>
      <rPr>
        <b/>
        <i/>
        <sz val="10"/>
        <color indexed="18"/>
        <rFont val="Arial Narrow"/>
        <family val="2"/>
      </rPr>
      <t xml:space="preserve"> and 2
LOCAL </t>
    </r>
    <r>
      <rPr>
        <b/>
        <sz val="10"/>
        <color indexed="18"/>
        <rFont val="Arial Narrow"/>
        <family val="2"/>
      </rPr>
      <t>SHARE 
OF COST</t>
    </r>
  </si>
  <si>
    <r>
      <t xml:space="preserve">
</t>
    </r>
    <r>
      <rPr>
        <b/>
        <sz val="10"/>
        <color indexed="10"/>
        <rFont val="Arial Narrow"/>
        <family val="2"/>
      </rPr>
      <t xml:space="preserve">TOTAL STATE </t>
    </r>
    <r>
      <rPr>
        <b/>
        <sz val="10"/>
        <color indexed="18"/>
        <rFont val="Arial Narrow"/>
        <family val="2"/>
      </rPr>
      <t xml:space="preserve">
(with Continuation
of Pay Raises)
 AND
</t>
    </r>
    <r>
      <rPr>
        <b/>
        <sz val="10"/>
        <color indexed="10"/>
        <rFont val="Arial Narrow"/>
        <family val="2"/>
      </rPr>
      <t>LOCAL</t>
    </r>
    <r>
      <rPr>
        <b/>
        <sz val="10"/>
        <color indexed="18"/>
        <rFont val="Arial Narrow"/>
        <family val="2"/>
      </rPr>
      <t xml:space="preserve"> COST OF  
Levels 1 and 2</t>
    </r>
  </si>
  <si>
    <t>R.</t>
  </si>
  <si>
    <t>001</t>
  </si>
  <si>
    <t>Acadia Parish</t>
  </si>
  <si>
    <t>002</t>
  </si>
  <si>
    <t>Allen Parish</t>
  </si>
  <si>
    <t>003</t>
  </si>
  <si>
    <t>Ascension Parish</t>
  </si>
  <si>
    <t>004</t>
  </si>
  <si>
    <t>Assumption Parish</t>
  </si>
  <si>
    <t>005</t>
  </si>
  <si>
    <t>Avoyelles Parish</t>
  </si>
  <si>
    <t>006</t>
  </si>
  <si>
    <t>Beauregard Parish</t>
  </si>
  <si>
    <t>007</t>
  </si>
  <si>
    <t>Bienville Parish</t>
  </si>
  <si>
    <t>008</t>
  </si>
  <si>
    <t>Bossier Parish</t>
  </si>
  <si>
    <t>009</t>
  </si>
  <si>
    <t>Caddo Parish</t>
  </si>
  <si>
    <t>010</t>
  </si>
  <si>
    <t>Calcasieu Parish</t>
  </si>
  <si>
    <t>011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</si>
  <si>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</si>
  <si>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</si>
  <si>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</si>
  <si>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</si>
  <si>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</si>
  <si>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</si>
  <si>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</si>
  <si>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</si>
  <si>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</si>
  <si>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</si>
  <si>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</si>
  <si>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017</t>
  </si>
  <si>
    <t>East Baton Rouge Parish</t>
  </si>
  <si>
    <t>018</t>
  </si>
  <si>
    <t>East Carroll Parish</t>
  </si>
  <si>
    <t>019</t>
  </si>
  <si>
    <t>East Feliciana Parish</t>
  </si>
  <si>
    <t>020</t>
  </si>
  <si>
    <t>Evangeline Parish</t>
  </si>
  <si>
    <t>021</t>
  </si>
  <si>
    <t>Franklin Parish</t>
  </si>
  <si>
    <t>022</t>
  </si>
  <si>
    <t>Grant Parish</t>
  </si>
  <si>
    <t>023</t>
  </si>
  <si>
    <t>Iberia Parish</t>
  </si>
  <si>
    <t>024</t>
  </si>
  <si>
    <t>Iberville Parish</t>
  </si>
  <si>
    <t>025</t>
  </si>
  <si>
    <t>Jackson Parish</t>
  </si>
  <si>
    <t>026</t>
  </si>
  <si>
    <t>Jefferson Parish</t>
  </si>
  <si>
    <t>027</t>
  </si>
  <si>
    <t>Jefferson Davis Parish</t>
  </si>
  <si>
    <t>028</t>
  </si>
  <si>
    <t>Lafayette Parish</t>
  </si>
  <si>
    <t>029</t>
  </si>
  <si>
    <t>Lafourche Parish</t>
  </si>
  <si>
    <t>030</t>
  </si>
  <si>
    <t>LaSalle Parish</t>
  </si>
  <si>
    <t>031</t>
  </si>
  <si>
    <t>Lincoln Parish</t>
  </si>
  <si>
    <t>032</t>
  </si>
  <si>
    <t>Livingston Parish</t>
  </si>
  <si>
    <t>033</t>
  </si>
  <si>
    <t>Madison Parish</t>
  </si>
  <si>
    <t>034</t>
  </si>
  <si>
    <t>Morehouse Parish</t>
  </si>
  <si>
    <t>035</t>
  </si>
  <si>
    <t>Natchitoches Parish</t>
  </si>
  <si>
    <t>036</t>
  </si>
  <si>
    <t>Orleans Parish</t>
  </si>
  <si>
    <t>037</t>
  </si>
  <si>
    <t>Ouachita Parish</t>
  </si>
  <si>
    <t>038</t>
  </si>
  <si>
    <t>Plaquemines Parish</t>
  </si>
  <si>
    <t>039</t>
  </si>
  <si>
    <t>Pointe Coupee Parish</t>
  </si>
  <si>
    <t>040</t>
  </si>
  <si>
    <t>Rapides Parish</t>
  </si>
  <si>
    <t>041</t>
  </si>
  <si>
    <t>Red River Parish</t>
  </si>
  <si>
    <t>042</t>
  </si>
  <si>
    <t>Richland Parish</t>
  </si>
  <si>
    <t>043</t>
  </si>
  <si>
    <t>Sabine Parish</t>
  </si>
  <si>
    <t>044</t>
  </si>
  <si>
    <t>St. Bernard Parish</t>
  </si>
  <si>
    <t>045</t>
  </si>
  <si>
    <t>St. Charles Parish</t>
  </si>
  <si>
    <t>046</t>
  </si>
  <si>
    <t>St. Helena Parish</t>
  </si>
  <si>
    <t>047</t>
  </si>
  <si>
    <t>St. James Parish</t>
  </si>
  <si>
    <t>048</t>
  </si>
  <si>
    <t>St. John the Baptist Parish</t>
  </si>
  <si>
    <t>049</t>
  </si>
  <si>
    <t>St. Landry Parish</t>
  </si>
  <si>
    <t>050</t>
  </si>
  <si>
    <t>St. Martin Parish</t>
  </si>
  <si>
    <t>051</t>
  </si>
  <si>
    <t>St. Mary Parish</t>
  </si>
  <si>
    <t>052</t>
  </si>
  <si>
    <t>St. Tammany Parish</t>
  </si>
  <si>
    <t>053</t>
  </si>
  <si>
    <t>Tangipahoa Parish</t>
  </si>
  <si>
    <t>054</t>
  </si>
  <si>
    <t>Tensas Parish</t>
  </si>
  <si>
    <t>055</t>
  </si>
  <si>
    <t>Terrebonne Parish</t>
  </si>
  <si>
    <t>056</t>
  </si>
  <si>
    <t>Union Parish</t>
  </si>
  <si>
    <t>057</t>
  </si>
  <si>
    <t>Vermilion Parish</t>
  </si>
  <si>
    <t>058</t>
  </si>
  <si>
    <t>Vernon Parish</t>
  </si>
  <si>
    <t>059</t>
  </si>
  <si>
    <t>Washington Parish</t>
  </si>
  <si>
    <t>060</t>
  </si>
  <si>
    <t>Webster Parish</t>
  </si>
  <si>
    <t>061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</si>
  <si>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</si>
  <si>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</si>
  <si>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</si>
  <si>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</si>
  <si>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</si>
  <si>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</si>
  <si>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</si>
  <si>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065</t>
  </si>
  <si>
    <t>066</t>
  </si>
  <si>
    <t>067</t>
  </si>
  <si>
    <t>068</t>
  </si>
  <si>
    <t>069</t>
  </si>
  <si>
    <t>318</t>
  </si>
  <si>
    <t>319</t>
  </si>
  <si>
    <t>Southern University Lab School</t>
  </si>
  <si>
    <t>396</t>
  </si>
  <si>
    <t>371001</t>
  </si>
  <si>
    <t>372001</t>
  </si>
  <si>
    <t>377001</t>
  </si>
  <si>
    <t>Glen Oaks Middle School</t>
  </si>
  <si>
    <t>377002</t>
  </si>
  <si>
    <t>Prescott Middle School</t>
  </si>
  <si>
    <t>377004</t>
  </si>
  <si>
    <t>377005</t>
  </si>
  <si>
    <t>389002</t>
  </si>
  <si>
    <t>377003</t>
  </si>
  <si>
    <t>Pointe Coupee Central High School</t>
  </si>
  <si>
    <t>300001</t>
  </si>
  <si>
    <t>P. A. Capdau School</t>
  </si>
  <si>
    <t>300002</t>
  </si>
  <si>
    <t>Nelson Elementary School</t>
  </si>
  <si>
    <t>300003</t>
  </si>
  <si>
    <t>373001</t>
  </si>
  <si>
    <t>374001</t>
  </si>
  <si>
    <t>375001</t>
  </si>
  <si>
    <t>376001</t>
  </si>
  <si>
    <t>379001</t>
  </si>
  <si>
    <t>Crocker Arts and Technology School</t>
  </si>
  <si>
    <t>380001</t>
  </si>
  <si>
    <t>The Intercultural Charter School</t>
  </si>
  <si>
    <t>381001</t>
  </si>
  <si>
    <t>Akili Academy of New Orleans</t>
  </si>
  <si>
    <t>382001</t>
  </si>
  <si>
    <t>New Orleans Charter Science and Math Academy</t>
  </si>
  <si>
    <t>383001</t>
  </si>
  <si>
    <t>Sojourner Truth Academy</t>
  </si>
  <si>
    <t>384001</t>
  </si>
  <si>
    <t>Miller-McCoy Academy</t>
  </si>
  <si>
    <t>385001</t>
  </si>
  <si>
    <t>NOLA College Prep Charter School</t>
  </si>
  <si>
    <t>387001</t>
  </si>
  <si>
    <t>Langston Hughes Academy Charter School</t>
  </si>
  <si>
    <t>388001</t>
  </si>
  <si>
    <t>Andrew H. Wilson Charter School</t>
  </si>
  <si>
    <t>390001</t>
  </si>
  <si>
    <t>James M. Singleton Charter School</t>
  </si>
  <si>
    <t>391001</t>
  </si>
  <si>
    <t>Dr. M.L.K. Charter School for Science &amp; Tech.</t>
  </si>
  <si>
    <t>392001</t>
  </si>
  <si>
    <t>McDonogh #28 City Park Academy</t>
  </si>
  <si>
    <t>393001</t>
  </si>
  <si>
    <t>Lafayette Academy of New Orleans</t>
  </si>
  <si>
    <t>394003</t>
  </si>
  <si>
    <t>McDonogh #42 Elementary Charter School</t>
  </si>
  <si>
    <t>395001</t>
  </si>
  <si>
    <t>Martin Behrman Elementary School</t>
  </si>
  <si>
    <t>395002</t>
  </si>
  <si>
    <t>Dwight D. Eisenhower Elementary School</t>
  </si>
  <si>
    <t>395003</t>
  </si>
  <si>
    <t>William J. Fischer Elementary School</t>
  </si>
  <si>
    <t>395004</t>
  </si>
  <si>
    <t>McDonogh #32 Elementary School</t>
  </si>
  <si>
    <t>395005</t>
  </si>
  <si>
    <t>O.P. Walker Senior High School</t>
  </si>
  <si>
    <t>395007</t>
  </si>
  <si>
    <t>Algiers Technology Academy</t>
  </si>
  <si>
    <t>397001</t>
  </si>
  <si>
    <t>398001</t>
  </si>
  <si>
    <t>KIPP Believe College Prep (Phillips)</t>
  </si>
  <si>
    <t>398002</t>
  </si>
  <si>
    <t>KIPP McDonogh 15 School for the Creative Arts</t>
  </si>
  <si>
    <t>398003</t>
  </si>
  <si>
    <t>KIPP Central City Academy</t>
  </si>
  <si>
    <t>398004</t>
  </si>
  <si>
    <t>KIPP Central City Primary</t>
  </si>
  <si>
    <t>399001</t>
  </si>
  <si>
    <t>Samuel J. Green Charter School</t>
  </si>
  <si>
    <t>399002</t>
  </si>
  <si>
    <t>Arthur Ashe Charter School</t>
  </si>
  <si>
    <t>TIF Revenues</t>
  </si>
  <si>
    <t>Includes</t>
  </si>
  <si>
    <r>
      <t xml:space="preserve">New Beginnings, UNO
</t>
    </r>
    <r>
      <rPr>
        <sz val="11"/>
        <rFont val="Futura Lt BT"/>
        <family val="2"/>
      </rPr>
      <t>(Thurgood Marshall Early College HS)</t>
    </r>
  </si>
  <si>
    <r>
      <t xml:space="preserve">Miller-McCoy Academy
</t>
    </r>
    <r>
      <rPr>
        <sz val="11"/>
        <rFont val="Futura Lt BT"/>
        <family val="2"/>
      </rPr>
      <t>(Miller-McCoy Academy)</t>
    </r>
  </si>
  <si>
    <r>
      <t>KIPP New Orleans, Inc.
(</t>
    </r>
    <r>
      <rPr>
        <sz val="11"/>
        <rFont val="Futura Lt BT"/>
        <family val="2"/>
      </rPr>
      <t>Kipp Renaissance High School)</t>
    </r>
  </si>
  <si>
    <r>
      <t xml:space="preserve">KIPP New Orleans, Inc.
</t>
    </r>
    <r>
      <rPr>
        <sz val="11"/>
        <rFont val="Futura Lt BT"/>
        <family val="2"/>
      </rPr>
      <t>Kipp N. O. Leadership Academy)</t>
    </r>
  </si>
  <si>
    <r>
      <t xml:space="preserve">KIPP New Orleans, Inc.
</t>
    </r>
    <r>
      <rPr>
        <sz val="11"/>
        <rFont val="Futura Lt BT"/>
        <family val="2"/>
      </rPr>
      <t>(Kipp Central City Primary)</t>
    </r>
  </si>
  <si>
    <t>Firstline Schools, Inc.
(Samuel J. Green)</t>
  </si>
  <si>
    <r>
      <t xml:space="preserve">Firstline Schools, Inc.
</t>
    </r>
    <r>
      <rPr>
        <sz val="11"/>
        <rFont val="Futura Lt BT"/>
        <family val="2"/>
      </rPr>
      <t>(N. O. Charter Middle at Ashe)</t>
    </r>
  </si>
  <si>
    <r>
      <t xml:space="preserve">Firstline Schools, Inc.
</t>
    </r>
    <r>
      <rPr>
        <sz val="11"/>
        <rFont val="Futura Lt BT"/>
        <family val="2"/>
      </rPr>
      <t>(Dibert School)</t>
    </r>
  </si>
  <si>
    <r>
      <t xml:space="preserve">ReNew Schools
</t>
    </r>
    <r>
      <rPr>
        <sz val="11"/>
        <rFont val="Futura Lt BT"/>
        <family val="2"/>
      </rPr>
      <t>(Live Oak Elementary)</t>
    </r>
  </si>
  <si>
    <r>
      <t xml:space="preserve">ReNew Schools
</t>
    </r>
    <r>
      <rPr>
        <sz val="11"/>
        <rFont val="Futura Lt BT"/>
        <family val="2"/>
      </rPr>
      <t>(Laurel Elementary)</t>
    </r>
  </si>
  <si>
    <r>
      <t xml:space="preserve">Morris Jeff. Community Sch, Inc.
</t>
    </r>
    <r>
      <rPr>
        <sz val="11"/>
        <rFont val="Futura Lt BT"/>
        <family val="2"/>
      </rPr>
      <t>(Morris Jeff. Community School)</t>
    </r>
  </si>
  <si>
    <r>
      <t xml:space="preserve">Pelican Foundation
</t>
    </r>
    <r>
      <rPr>
        <sz val="11"/>
        <rFont val="Arial"/>
        <family val="2"/>
      </rPr>
      <t>(Kenilworth Middle)</t>
    </r>
  </si>
  <si>
    <r>
      <t xml:space="preserve">Shreveport Charter, Inc.
</t>
    </r>
    <r>
      <rPr>
        <sz val="11"/>
        <rFont val="Arial"/>
        <family val="2"/>
      </rPr>
      <t>(Linwood M iddle)</t>
    </r>
  </si>
  <si>
    <t>L.</t>
  </si>
  <si>
    <t>Office of Juvenile Justice</t>
  </si>
  <si>
    <t>SCHOOL 
SYSTEM</t>
  </si>
  <si>
    <t>MFP Local Share of Educational Cost for 
Youth in Secure Care</t>
  </si>
  <si>
    <t>Per Pupil Amount
Adjusted for
 Year-Round
School</t>
  </si>
  <si>
    <t>Per Pupil Amount
Adjusted for
 Year-Round
School and 
50% Special Ed</t>
  </si>
  <si>
    <t>Adjusted
Local
Share
Per Pupil
including
OJJ</t>
  </si>
  <si>
    <t>MFP 
Budget Ltr</t>
  </si>
  <si>
    <t>col 2 X 1.3164</t>
  </si>
  <si>
    <t>col 3 + $1,470</t>
  </si>
  <si>
    <t>col 1 X col 4</t>
  </si>
  <si>
    <t>MFP
Budget Ltr</t>
  </si>
  <si>
    <t>Includes Continuation of FY2007/08 and FY08-09 Pay Raise</t>
  </si>
  <si>
    <t>**</t>
  </si>
  <si>
    <t>State Average is used in the calculation of students with prior residency of "Out of State" or "Unknown"</t>
  </si>
  <si>
    <t xml:space="preserve">Note:  </t>
  </si>
  <si>
    <t>The State may have to fund the local portion of students identified as being from out of the state</t>
  </si>
  <si>
    <t>(=56/177))</t>
  </si>
  <si>
    <t>Special Ed Students on 2/1/09 (state)</t>
  </si>
  <si>
    <t>base students 2/1/09 (state)</t>
  </si>
  <si>
    <t>percentage special ed students to base students (state average)</t>
  </si>
  <si>
    <t>weigted add on special ed students 2/1/09</t>
  </si>
  <si>
    <t>total weighted students 2/1/09</t>
  </si>
  <si>
    <t>percentage special ed add on students to total weighted students</t>
  </si>
  <si>
    <t>total Level 1 and Level 2 state dollars</t>
  </si>
  <si>
    <t>Total L1 &amp; L2 dollars time 14.1%</t>
  </si>
  <si>
    <t>For 14% to increase to 50%, that is a 3572% increase</t>
  </si>
  <si>
    <t>14.1% of L1 &amp; L2 dolalrs x 354%</t>
  </si>
  <si>
    <t>base students on 2/1/09</t>
  </si>
  <si>
    <t>per pupil amount of special ed funding</t>
  </si>
  <si>
    <t>minus per pupil amount of original special ed funding ($375,552,036/650,290)</t>
  </si>
  <si>
    <t>Per pupil amount to increase funding for OJJ per pupil amounts</t>
  </si>
  <si>
    <t xml:space="preserve">Increase 
Cost 
Adjustment </t>
  </si>
  <si>
    <t>Continuation of
Prior Year
Pay Raises</t>
  </si>
  <si>
    <t>Continuation of Prior Year Pay Raises</t>
  </si>
  <si>
    <t>Continuation 
of
Prior Year
Pay Raises</t>
  </si>
  <si>
    <t>Mandated Cost 
Adjustment</t>
  </si>
  <si>
    <t>Continuation 
of 
Prior Year
Pay 
Raises</t>
  </si>
  <si>
    <t>Continuation of Prior Year 
Pay Raises</t>
  </si>
  <si>
    <t>Prior Year Pay Raises (FY01-02 through FY08-09)</t>
  </si>
  <si>
    <t xml:space="preserve">
Continuation
of
Prior Year 
Pay Raises
(FY2001-02 
through
FY2008-09)
Per Pupil
Amount</t>
  </si>
  <si>
    <t>Continuation
of Prior Year 
Pay Raises
(FY2001-02 
through
FY2008-09)
Per Pupil
Amount</t>
  </si>
  <si>
    <t>Continuation
of
Prior Year 
Pay Raises
(FY2001-02 
through
FY2008-09)
Per Pupil
Amount</t>
  </si>
  <si>
    <r>
      <t xml:space="preserve">New Beginnings, UNO
</t>
    </r>
    <r>
      <rPr>
        <sz val="11"/>
        <rFont val="Futura Lt BT"/>
        <family val="2"/>
      </rPr>
      <t>Gentilly Terrace Charter School</t>
    </r>
  </si>
  <si>
    <r>
      <t xml:space="preserve">Continuation of Prior Year Pay Raises
</t>
    </r>
    <r>
      <rPr>
        <b/>
        <sz val="10"/>
        <color indexed="18"/>
        <rFont val="Arial"/>
        <family val="2"/>
      </rPr>
      <t>(2001-02 Certificated, 2002-03 Support Worker, 
2006-07 Certificated and Support Worker,
2007-08 Certificated and Support Worker, and
FY2008-09 Certificated)</t>
    </r>
  </si>
  <si>
    <r>
      <t xml:space="preserve">
Levels 1, 2 &amp; 3
STATE SHARE
OF COST
</t>
    </r>
    <r>
      <rPr>
        <b/>
        <sz val="10"/>
        <color indexed="10"/>
        <rFont val="Arial"/>
        <family val="2"/>
      </rPr>
      <t xml:space="preserve">without </t>
    </r>
    <r>
      <rPr>
        <b/>
        <sz val="10"/>
        <color indexed="18"/>
        <rFont val="Arial"/>
        <family val="2"/>
      </rPr>
      <t>Continuation of Prior Year
Pay Raises</t>
    </r>
  </si>
  <si>
    <r>
      <t xml:space="preserve">
Level 3 State 
Funding 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indexed="18"/>
        <rFont val="Arial"/>
        <family val="2"/>
      </rPr>
      <t>Continuation 
of Prior Year
Pay Raises</t>
    </r>
  </si>
  <si>
    <r>
      <t xml:space="preserve">
Levels 1, 2 &amp; 3
STATE SHARE
OF COST
</t>
    </r>
    <r>
      <rPr>
        <b/>
        <sz val="10"/>
        <color indexed="10"/>
        <rFont val="Arial"/>
        <family val="2"/>
      </rPr>
      <t>with 
Continuation of 
Prior Year
Pay Raises</t>
    </r>
  </si>
  <si>
    <r>
      <t xml:space="preserve">
Level 3 
State 
Funding
</t>
    </r>
    <r>
      <rPr>
        <b/>
        <sz val="10"/>
        <color indexed="10"/>
        <rFont val="Arial"/>
        <family val="2"/>
      </rPr>
      <t xml:space="preserve">with 
Continuation of
 Prior Year
Pay Raises </t>
    </r>
  </si>
  <si>
    <t>State Funds 
(with Continuation of Prior Year Pay Raises)
as Percent 
of Total State
and Local</t>
  </si>
  <si>
    <r>
      <t>Total
Level 3
Unequalized 
Funding</t>
    </r>
    <r>
      <rPr>
        <b/>
        <sz val="10"/>
        <color indexed="18"/>
        <rFont val="Arial"/>
        <family val="2"/>
      </rPr>
      <t xml:space="preserve">
(Without Continuation
of 
Prior Year
Pay Raises)</t>
    </r>
  </si>
  <si>
    <t>Total
Level 3
Unequalized 
Funding 
with
Continuation
of Prior Year
Pay Raises</t>
  </si>
  <si>
    <t>Without Continuation of Prior Year Pay Raises</t>
  </si>
  <si>
    <t>With Continuation of Prior Year Pay Raises</t>
  </si>
  <si>
    <t>Total Students Funded through the MFP</t>
  </si>
  <si>
    <t xml:space="preserve">     LSU and Southern Lab Schools</t>
  </si>
  <si>
    <t xml:space="preserve">     Office of Juvenile Justice</t>
  </si>
  <si>
    <t>Plus/(Minus) Prior Year Adjustments - City/Parish Schools</t>
  </si>
  <si>
    <r>
      <t xml:space="preserve">
</t>
    </r>
    <r>
      <rPr>
        <sz val="12"/>
        <rFont val="Arial"/>
        <family val="2"/>
      </rPr>
      <t>Pointe Coupee Parish
School Board</t>
    </r>
  </si>
  <si>
    <t xml:space="preserve">
Caddo Parish School Board</t>
  </si>
  <si>
    <t>East Baton Rouge 
Parish School Board</t>
  </si>
  <si>
    <t>St. Helena Parish 
School Board</t>
  </si>
  <si>
    <t>Total Pointe Coupee
Parish + RSD Charters</t>
  </si>
  <si>
    <t>Total Caddo Parish + RSD Charters</t>
  </si>
  <si>
    <t>Total St. Helena Parish
+ RSD LA Operated</t>
  </si>
  <si>
    <t>RSD LA Operated
St. Helena Central Middle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</si>
  <si>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</si>
  <si>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</si>
  <si>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r>
      <t xml:space="preserve">Spirit of Excellence Academy
</t>
    </r>
    <r>
      <rPr>
        <sz val="11"/>
        <rFont val="Futura Lt BT"/>
        <family val="2"/>
      </rPr>
      <t>(Spirit of Exc. Academy)(Harney)</t>
    </r>
  </si>
  <si>
    <t xml:space="preserve">Other Local School System Funding </t>
  </si>
  <si>
    <t xml:space="preserve">State Share Formula Allocation (City/Parish Local School Systems) </t>
  </si>
  <si>
    <r>
      <t xml:space="preserve">State </t>
    </r>
    <r>
      <rPr>
        <b/>
        <sz val="10"/>
        <color indexed="18"/>
        <rFont val="Arial"/>
        <family val="2"/>
      </rPr>
      <t xml:space="preserve">
Admin 
Fee to
Dept. of
Education
(.25%)</t>
    </r>
  </si>
  <si>
    <t>Total 
State 
Allocation 
minus Admin.
Fee 
+/- Audit
Adjustments</t>
  </si>
  <si>
    <t xml:space="preserve"> </t>
  </si>
  <si>
    <r>
      <rPr>
        <b/>
        <sz val="10"/>
        <color indexed="18"/>
        <rFont val="Arial"/>
        <family val="2"/>
      </rPr>
      <t>Local</t>
    </r>
    <r>
      <rPr>
        <b/>
        <sz val="10"/>
        <color indexed="18"/>
        <rFont val="Arial"/>
        <family val="2"/>
      </rPr>
      <t xml:space="preserve">
Admin 
Fee to
</t>
    </r>
    <r>
      <rPr>
        <b/>
        <sz val="10"/>
        <color indexed="18"/>
        <rFont val="Arial"/>
        <family val="2"/>
      </rPr>
      <t>Dept.</t>
    </r>
    <r>
      <rPr>
        <b/>
        <sz val="10"/>
        <color indexed="18"/>
        <rFont val="Arial"/>
        <family val="2"/>
      </rPr>
      <t xml:space="preserve"> of
Education
(.25%)</t>
    </r>
  </si>
  <si>
    <t>L
E
A</t>
  </si>
  <si>
    <t>col 11 ÷ 12</t>
  </si>
  <si>
    <t>Difference</t>
  </si>
  <si>
    <t>Redistribution
of Hold Harmless 
Phase-out
(FY2007/08 - FY2011/12)</t>
  </si>
  <si>
    <t>LA School for Math, Science &amp; the Arts (LSMSA)</t>
  </si>
  <si>
    <t xml:space="preserve">     Legacy Type 2 Charter Schools</t>
  </si>
  <si>
    <t xml:space="preserve">     LA School for Math, Science and the Arts (LSMSA)</t>
  </si>
  <si>
    <t xml:space="preserve">     New Orleans Center for Creative Arts (NOCCA)</t>
  </si>
  <si>
    <t>New Orleans Center for Creative Arts (NOCCA)(full-day students)</t>
  </si>
  <si>
    <t>S.</t>
  </si>
  <si>
    <t>T.</t>
  </si>
  <si>
    <r>
      <t xml:space="preserve">Arise Academy
</t>
    </r>
    <r>
      <rPr>
        <sz val="11"/>
        <rFont val="Futura Lt BT"/>
        <family val="2"/>
      </rPr>
      <t>(Arise Academy)</t>
    </r>
  </si>
  <si>
    <t>Success Preparatory Academy
(Success Prep)</t>
  </si>
  <si>
    <r>
      <t xml:space="preserve">Pride College Prep Academy
</t>
    </r>
    <r>
      <rPr>
        <sz val="11"/>
        <rFont val="Futura Lt BT"/>
        <family val="2"/>
      </rPr>
      <t>(Pride College Prep)</t>
    </r>
  </si>
  <si>
    <r>
      <t xml:space="preserve">Choice Foundation 
</t>
    </r>
    <r>
      <rPr>
        <sz val="11"/>
        <rFont val="Futura Lt BT"/>
        <family val="2"/>
      </rPr>
      <t>(Esperanza/Crossman)</t>
    </r>
  </si>
  <si>
    <r>
      <t>RSD LA Operated
(</t>
    </r>
    <r>
      <rPr>
        <sz val="11"/>
        <rFont val="Arial"/>
        <family val="2"/>
      </rPr>
      <t>Linear Middle)</t>
    </r>
  </si>
  <si>
    <t>3960xx</t>
  </si>
  <si>
    <t>036xxx</t>
  </si>
  <si>
    <t>Calcasieu Parish School Board</t>
  </si>
  <si>
    <t>Feb. 1, 2011
MFP 
Funded
Membership
(Per SIS)</t>
  </si>
  <si>
    <t>Feb. 1, 2011
MFP Funded
Membership 
+ 
ADM* at OJJ</t>
  </si>
  <si>
    <t>Per SIS</t>
  </si>
  <si>
    <t>State Admin Fee</t>
  </si>
  <si>
    <t>Admin.
Fee
to
RSD</t>
  </si>
  <si>
    <t>Admin.
Fee
to 
LDOE</t>
  </si>
  <si>
    <t>Total
Admin.  
Fee</t>
  </si>
  <si>
    <t>Site
Code</t>
  </si>
  <si>
    <t>Local Admin Fee</t>
  </si>
  <si>
    <t>RSD Operated (Orleans Only)</t>
  </si>
  <si>
    <t>399004</t>
  </si>
  <si>
    <t>398006</t>
  </si>
  <si>
    <t>398005</t>
  </si>
  <si>
    <t>Esperanza Charter School</t>
  </si>
  <si>
    <t>393002</t>
  </si>
  <si>
    <t>Pride College Preparatory Academy</t>
  </si>
  <si>
    <t>Benjamin E. Mays Preparatory School</t>
  </si>
  <si>
    <t>Success Preparatory Academy</t>
  </si>
  <si>
    <t>Arise Academy</t>
  </si>
  <si>
    <t>369002</t>
  </si>
  <si>
    <t>369001</t>
  </si>
  <si>
    <t>368001</t>
  </si>
  <si>
    <t>367001</t>
  </si>
  <si>
    <t>366001</t>
  </si>
  <si>
    <t>300004</t>
  </si>
  <si>
    <t>Crestworth Learning Academy</t>
  </si>
  <si>
    <t>Dalton Elementary School</t>
  </si>
  <si>
    <t>Lanier Elementary School</t>
  </si>
  <si>
    <t>Kenilworth Science and Technology School</t>
  </si>
  <si>
    <t>New Vision Learning Academy</t>
  </si>
  <si>
    <t>Avoyelles Public Charter School</t>
  </si>
  <si>
    <t>Delhi Charter School</t>
  </si>
  <si>
    <t>Milestone SABIS Academy of New Orleans</t>
  </si>
  <si>
    <t>The MAX Charter School</t>
  </si>
  <si>
    <t>Linwood Public Charter School</t>
  </si>
  <si>
    <t>FY10-11
Audit 
Adjustments</t>
  </si>
  <si>
    <t>Jefferson Parish School Board</t>
  </si>
  <si>
    <t>St. Tammany Parish School Board</t>
  </si>
  <si>
    <t>orleans decreased 54,750</t>
  </si>
  <si>
    <t>40.50/17.76</t>
  </si>
  <si>
    <t>8.</t>
  </si>
  <si>
    <t>V.</t>
  </si>
  <si>
    <t>First Year Non-Legacy Type 2 Charter Schools</t>
  </si>
  <si>
    <t>* does not include First Year Non-Legacy Type 2 Charters</t>
  </si>
  <si>
    <t>Non-Legacy Type 2 Charters (Not 1st Year)</t>
  </si>
  <si>
    <t>ReNew Schools*
(K-8 Charter School/Sarah Reed)</t>
  </si>
  <si>
    <t xml:space="preserve">     Years 1 - 4/Years 1 - 5 Reduction of Remaining Hold Harmless</t>
  </si>
  <si>
    <t xml:space="preserve">Legacy Type 2 Charter Schools </t>
  </si>
  <si>
    <t>Plus/(Minus) Prior Year Adjustments - Non-Legacy Type 2 Charters</t>
  </si>
  <si>
    <t>Calculation for Prior Year Pay Raises</t>
  </si>
  <si>
    <t>MFP Allocation Including Adjustments (R + S)</t>
  </si>
  <si>
    <r>
      <t xml:space="preserve">LA Dept. of Education
</t>
    </r>
    <r>
      <rPr>
        <sz val="12"/>
        <rFont val="Arial"/>
        <family val="2"/>
      </rPr>
      <t>Administrative Fee (.25%)</t>
    </r>
  </si>
  <si>
    <r>
      <t xml:space="preserve">RSD LA
</t>
    </r>
    <r>
      <rPr>
        <sz val="12"/>
        <rFont val="Arial"/>
        <family val="2"/>
      </rPr>
      <t>Administrative Fee (1.75%)</t>
    </r>
  </si>
  <si>
    <t>Firstline Schools, Inc.*
(Firstline H.S. Charter)(Clark)</t>
  </si>
  <si>
    <t>N/A</t>
  </si>
  <si>
    <t>Greater Gentilly H.S.</t>
  </si>
  <si>
    <r>
      <t xml:space="preserve">
 State 
Per Pupil 
Levels
1, 2 &amp; 3
</t>
    </r>
    <r>
      <rPr>
        <sz val="10"/>
        <color indexed="18"/>
        <rFont val="Arial"/>
        <family val="2"/>
      </rPr>
      <t>(90%)</t>
    </r>
    <r>
      <rPr>
        <b/>
        <sz val="10"/>
        <color indexed="18"/>
        <rFont val="Arial"/>
        <family val="2"/>
      </rPr>
      <t xml:space="preserve">
(per Budget 
Letter)</t>
    </r>
  </si>
  <si>
    <r>
      <t xml:space="preserve">Continuation
of
Prior Year
Pay 
Raises
</t>
    </r>
    <r>
      <rPr>
        <sz val="10"/>
        <color indexed="18"/>
        <rFont val="Arial"/>
        <family val="2"/>
      </rPr>
      <t>(90%)</t>
    </r>
  </si>
  <si>
    <t>Total LAVCA</t>
  </si>
  <si>
    <t>TOTAL LAVCA and
LA Dept. of Education</t>
  </si>
  <si>
    <t xml:space="preserve">Preliminary
Enrollment
</t>
  </si>
  <si>
    <t>LA. Dept. of Ed. Admin Fee</t>
  </si>
  <si>
    <t>TOTAL LA Connections &amp;
LA Dept. of Education</t>
  </si>
  <si>
    <t xml:space="preserve">Total LA Connections </t>
  </si>
  <si>
    <r>
      <t xml:space="preserve">Transfer 
to pay
the local
share 
due to
Lycee Francois
</t>
    </r>
    <r>
      <rPr>
        <sz val="10"/>
        <color indexed="18"/>
        <rFont val="Arial"/>
        <family val="2"/>
      </rPr>
      <t>(Table 5C-1,
column 18)</t>
    </r>
  </si>
  <si>
    <r>
      <t xml:space="preserve">July ONLY:
Local
Admin 
Fee
Payable 
to DOE
(.25%
LAVCA
</t>
    </r>
    <r>
      <rPr>
        <sz val="10"/>
        <color indexed="18"/>
        <rFont val="Arial"/>
        <family val="2"/>
      </rPr>
      <t>(Table 5C-2,
column 14</t>
    </r>
  </si>
  <si>
    <r>
      <t xml:space="preserve">July ONLY:
Local
Admin 
Fee
Payable 
to DOE
(.25%)
LA Conn.
</t>
    </r>
    <r>
      <rPr>
        <sz val="10"/>
        <color indexed="18"/>
        <rFont val="Arial"/>
        <family val="2"/>
      </rPr>
      <t>(Table 5C-3,
column 14</t>
    </r>
  </si>
  <si>
    <r>
      <t xml:space="preserve">July ONLY:
Local
Admin Fee
Payable 
to DOE
(.25%)
RSD LA
</t>
    </r>
    <r>
      <rPr>
        <sz val="10"/>
        <color indexed="18"/>
        <rFont val="Arial"/>
        <family val="2"/>
      </rPr>
      <t>(Table 5B-2,
column 17)</t>
    </r>
  </si>
  <si>
    <r>
      <t xml:space="preserve">July ONLY:
Local
Admin Fee
Payable 
to RSD
(1.75%)
RSD LA
</t>
    </r>
    <r>
      <rPr>
        <sz val="10"/>
        <color indexed="18"/>
        <rFont val="Arial"/>
        <family val="2"/>
      </rPr>
      <t>(Table 5B-2,
column 16)</t>
    </r>
  </si>
  <si>
    <t>Plus/(Minus) Prior Year Adjustments - Legacy Type 2 Charters</t>
  </si>
  <si>
    <t>ReNew Schools*
(ReNew Accel. H.S., City Park)</t>
  </si>
  <si>
    <t>ReNew Schools*
(ReNew Accel. H.S., West Bank)</t>
  </si>
  <si>
    <t>2010
TOTAL ASSESSED PROPERTY VALUE</t>
  </si>
  <si>
    <t>2010
ASSESSED HOMESTEAD EXEMPTION</t>
  </si>
  <si>
    <t>2010
NET ASSESSED TAXABLE PROPERTY</t>
  </si>
  <si>
    <t>(Prior Year)
 2009
Net Assessed Taxable Property (Without cap)</t>
  </si>
  <si>
    <t>2010
NET ASSESSED TAXABLE PROPERTY
with Cap of</t>
  </si>
  <si>
    <t>TOTAL 
AD VALOREM 
REVENUE 
INCLUDING DEBT
(2010-2011)</t>
  </si>
  <si>
    <t>TOTAL 
SALES TAX REVENUE
(2010-2011)</t>
  </si>
  <si>
    <t>(Prior Year)
2011-2012
 COMPUTED SALES TAX BASE
(Without cap)</t>
  </si>
  <si>
    <t>2012-2013
COMPUTED
 SALES TAX 
BASE</t>
  </si>
  <si>
    <t>OTHER REVENUES:  
Includes State and Federal taxes in lieu of &amp; 50% of earnings from 16th section and from other real estate
2010-2011 AFR</t>
  </si>
  <si>
    <t>FY2011-12
Budget Letter
July 2011
Circular No. 1142</t>
  </si>
  <si>
    <t>deduct</t>
  </si>
  <si>
    <t>for TIF</t>
  </si>
  <si>
    <t>in Livingston</t>
  </si>
  <si>
    <t xml:space="preserve">  2010 ASSESSED PROPERTY VALUE</t>
  </si>
  <si>
    <t>St. Landry Parish School Board</t>
  </si>
  <si>
    <t>Concordia Parish School Board</t>
  </si>
  <si>
    <t>1.98%/.87%</t>
  </si>
  <si>
    <t>Difference between 
FY2011-12
and 
FY2012-13
Simulation
STATE 
SHARE OF 
COST LEVELS
1, 2, &amp; 3</t>
  </si>
  <si>
    <t>2010
Net Assessed 
Property
(with 10% Cap)</t>
  </si>
  <si>
    <t>FY2010-11
Sales Tax Revenue
(per 10-11 AFR)</t>
  </si>
  <si>
    <t>FY2010-11
Computed Sales Tax Base with 15% Cap on Growth</t>
  </si>
  <si>
    <t>2010
Ad Valorem 
Tax Revenues
(per 10-11 AFR)</t>
  </si>
  <si>
    <t>11/12
Level 1</t>
  </si>
  <si>
    <t>11/12
Level II</t>
  </si>
  <si>
    <t>11/12 Column 16</t>
  </si>
  <si>
    <t>2/1//11
SIS
Base Count</t>
  </si>
  <si>
    <t>2/1/11
Total
Weighted
Count</t>
  </si>
  <si>
    <t>LSMSA</t>
  </si>
  <si>
    <r>
      <t xml:space="preserve">MFP State Share of Educational Cost 
</t>
    </r>
    <r>
      <rPr>
        <b/>
        <sz val="10"/>
        <color indexed="18"/>
        <rFont val="Arial"/>
        <family val="2"/>
      </rPr>
      <t>Based on Estimated 10.1.11 Residency Data</t>
    </r>
  </si>
  <si>
    <t>col 2 X 
col 3</t>
  </si>
  <si>
    <t>col 1 X 
col 5</t>
  </si>
  <si>
    <r>
      <t xml:space="preserve">FY 2012-13
Level 1
State 
Share
Percent
</t>
    </r>
    <r>
      <rPr>
        <sz val="8"/>
        <color indexed="18"/>
        <rFont val="Arial"/>
        <family val="2"/>
      </rPr>
      <t>(Table 3,
 Col 13)</t>
    </r>
  </si>
  <si>
    <r>
      <t xml:space="preserve">FY 2012-13
Level 1
Local 
Share
Percent
</t>
    </r>
    <r>
      <rPr>
        <sz val="8"/>
        <color indexed="18"/>
        <rFont val="Arial"/>
        <family val="2"/>
      </rPr>
      <t>(Table 3, 
Col 14)</t>
    </r>
  </si>
  <si>
    <t>Total 
State Share 
Based on Students</t>
  </si>
  <si>
    <t xml:space="preserve">State 
Share 
of 
State 
Per Pupil
</t>
  </si>
  <si>
    <t>NOCCA</t>
  </si>
  <si>
    <t>col 2 X 
col 4</t>
  </si>
  <si>
    <r>
      <t xml:space="preserve">FY2012-13
Levels 1, 2 &amp; 3
STATE SHARE
OF COST
Per Pupil
</t>
    </r>
    <r>
      <rPr>
        <sz val="8"/>
        <color indexed="18"/>
        <rFont val="Arial"/>
        <family val="2"/>
      </rPr>
      <t>(Table 3, Col 33)</t>
    </r>
  </si>
  <si>
    <r>
      <t xml:space="preserve">FY2012-13
State 
Share 
Percent
</t>
    </r>
    <r>
      <rPr>
        <sz val="8"/>
        <color indexed="18"/>
        <rFont val="Arial"/>
        <family val="2"/>
      </rPr>
      <t>(Table 3, 
Col 13)</t>
    </r>
  </si>
  <si>
    <r>
      <t xml:space="preserve">FY2012-13
Local 
Share
Percent
</t>
    </r>
    <r>
      <rPr>
        <sz val="8"/>
        <color indexed="18"/>
        <rFont val="Arial"/>
        <family val="2"/>
      </rPr>
      <t>(Table 3,
Col 14)</t>
    </r>
  </si>
  <si>
    <t>New Vision
(Not in a District Bldg)</t>
  </si>
  <si>
    <t xml:space="preserve">MFP Local Share of Educational Cost </t>
  </si>
  <si>
    <t>Glencoe
(Not in a District Bldg)</t>
  </si>
  <si>
    <t>Avoyelles
(Not in a District Bldg)</t>
  </si>
  <si>
    <t>Delhi
(Not in a District Bldg)</t>
  </si>
  <si>
    <t>Belle Chasse
(Not in a District Bldg)</t>
  </si>
  <si>
    <t>Milestone SABIS
(Not in a District Bldg)</t>
  </si>
  <si>
    <t>The MAX
(Not in a District Bldg)</t>
  </si>
  <si>
    <t>Continuation
of
Prior
Year
Pay Raises</t>
  </si>
  <si>
    <t>col 3 + col 4</t>
  </si>
  <si>
    <t>col 1 x
per pupil</t>
  </si>
  <si>
    <t>Crescent City Schools, Inc.
(Crescent City School)(Tubman)</t>
  </si>
  <si>
    <t>Comm. Leaders Adv. Student Suc
(Fannie C. Williams)</t>
  </si>
  <si>
    <t>Future is Now
(John McDonogh Senior H.S.)</t>
  </si>
  <si>
    <t>Friends of King
(Joseph A. Craig)</t>
  </si>
  <si>
    <t>Collegiate Academies
(Collegiate Academy 2)</t>
  </si>
  <si>
    <t>N. O. College Prep
(Cohen College Prep)</t>
  </si>
  <si>
    <r>
      <t xml:space="preserve">Choice Foundation (Takeover)
</t>
    </r>
    <r>
      <rPr>
        <sz val="11"/>
        <rFont val="Futura Lt BT"/>
        <family val="2"/>
      </rPr>
      <t xml:space="preserve"> (McDonogh #42)</t>
    </r>
  </si>
  <si>
    <r>
      <t xml:space="preserve">Projected
MFP 
Member-
ship
</t>
    </r>
    <r>
      <rPr>
        <sz val="10"/>
        <color indexed="18"/>
        <rFont val="Arial"/>
        <family val="2"/>
      </rPr>
      <t>(Per SIS)</t>
    </r>
  </si>
  <si>
    <t>FY11-12
Audit 
Adjustments</t>
  </si>
  <si>
    <t xml:space="preserve">Local
Admin
Fee
</t>
  </si>
  <si>
    <t>Prior Year
Reduction
of Remaining
Hold Harmless
(FY07/08 thru 
FY11/12)</t>
  </si>
  <si>
    <t>Remaining
Hold 
Harmless
(FY2012/13))</t>
  </si>
  <si>
    <t>One-Tenth (FY12/13)
Reduction of 
Remaining
 Hold Harmless</t>
  </si>
  <si>
    <r>
      <t xml:space="preserve">
Feb. 1, 2012
Member-
ship 
(pe</t>
    </r>
    <r>
      <rPr>
        <sz val="10"/>
        <color indexed="18"/>
        <rFont val="Arial"/>
        <family val="2"/>
      </rPr>
      <t>r</t>
    </r>
    <r>
      <rPr>
        <b/>
        <sz val="10"/>
        <color indexed="18"/>
        <rFont val="Arial"/>
        <family val="2"/>
      </rPr>
      <t xml:space="preserve"> SIS)</t>
    </r>
  </si>
  <si>
    <t>Hold Harmless
(Reduction for FY2012-13 is Available for Rewards)</t>
  </si>
  <si>
    <t xml:space="preserve">To Be Distributed as Rewards </t>
  </si>
  <si>
    <r>
      <t xml:space="preserve">FY2012-13
State Average
Levels 1, 2 &amp; 3
STATE SHARE
OF COST
Per Pupil
</t>
    </r>
    <r>
      <rPr>
        <sz val="8"/>
        <color indexed="18"/>
        <rFont val="Arial"/>
        <family val="2"/>
      </rPr>
      <t>(Table 3, Col 33)</t>
    </r>
  </si>
  <si>
    <t xml:space="preserve">Local 
Share 
of 
State 
Per Pupil
</t>
  </si>
  <si>
    <t xml:space="preserve">State
 Share 
of 
State 
Per Pupil
</t>
  </si>
  <si>
    <t>Total State Share 
Based 
on Students</t>
  </si>
  <si>
    <t xml:space="preserve">Local Share 
of 
State
 Per 
Pupil
</t>
  </si>
  <si>
    <t>col 6 / 12</t>
  </si>
  <si>
    <t>col 1 X
col 8</t>
  </si>
  <si>
    <t>col 9 / 12</t>
  </si>
  <si>
    <t>col 6 +
 col 9</t>
  </si>
  <si>
    <t>col 7 +
 col 10</t>
  </si>
  <si>
    <t>Local Share of
Educational Cost</t>
  </si>
  <si>
    <t>W.</t>
  </si>
  <si>
    <t>X.</t>
  </si>
  <si>
    <t>LA School for the Deaf and Visually Impaired (LSDVI)</t>
  </si>
  <si>
    <t xml:space="preserve">Projected
MFP
Funded Member-
ship
</t>
  </si>
  <si>
    <t>State
Admin Fee
to the 
Dept. of
Education</t>
  </si>
  <si>
    <t>col 5 X .25%</t>
  </si>
  <si>
    <t>Local
Admin Fee
to the 
Dept. of
Educaton</t>
  </si>
  <si>
    <t>col 5 + col 6</t>
  </si>
  <si>
    <t>col 7 ÷ 12</t>
  </si>
  <si>
    <t>Local Share
Allocation
minus
Admin Fee</t>
  </si>
  <si>
    <r>
      <t xml:space="preserve">FY2012-13
Levels 1, 2 &amp; 3
STATE SHARE
OF COST Per Pupil without
Pay Raise
</t>
    </r>
    <r>
      <rPr>
        <sz val="10"/>
        <color indexed="18"/>
        <rFont val="Arial"/>
        <family val="2"/>
      </rPr>
      <t>(Table 3, Col 29)</t>
    </r>
  </si>
  <si>
    <t>Y.</t>
  </si>
  <si>
    <t>SSD</t>
  </si>
  <si>
    <r>
      <t xml:space="preserve">FY2012-13
Levels 1 and 2
LOCAL 
SHARE 
Per Pupil
</t>
    </r>
    <r>
      <rPr>
        <sz val="10"/>
        <color indexed="18"/>
        <rFont val="Arial"/>
        <family val="2"/>
      </rPr>
      <t>(Table 3, Col 37)</t>
    </r>
  </si>
  <si>
    <t>Special School District (SSD)</t>
  </si>
  <si>
    <t>State
Percent
of 
Level 1
Funding</t>
  </si>
  <si>
    <t xml:space="preserve">Local 
Percent
of 
Level 1
Funding
</t>
  </si>
  <si>
    <t>School Name</t>
  </si>
  <si>
    <t>Lesser 
of
Per Pupil
Tuition
or
Per Pupil
Amount</t>
  </si>
  <si>
    <t>U.</t>
  </si>
  <si>
    <t>Grand Total State</t>
  </si>
  <si>
    <t>Z.</t>
  </si>
  <si>
    <t>1.98%/.85%</t>
  </si>
  <si>
    <r>
      <t xml:space="preserve">Pay Raise
Per 
Pupil
Amount
</t>
    </r>
    <r>
      <rPr>
        <sz val="9"/>
        <color indexed="18"/>
        <rFont val="Arial"/>
        <family val="2"/>
      </rPr>
      <t>(Table 4, col 14)</t>
    </r>
  </si>
  <si>
    <t xml:space="preserve">
Pay Raise
Continuation
</t>
  </si>
  <si>
    <t>LA School for the Deaf and Visually Impaired 
(LSDVI)</t>
  </si>
  <si>
    <t>Total MFP Allocation (I+J+K+L+M+N+O+P+Q+R+S+T+U+V)</t>
  </si>
  <si>
    <t>Number of Foreign Associate Teachers
Feb. 1, 2012</t>
  </si>
  <si>
    <t>State Payment of 
Local Share for
Students Living on Base</t>
  </si>
  <si>
    <t>Total
Actual
Educational
Cost
(Estimated)</t>
  </si>
  <si>
    <t xml:space="preserve">Tuition
(Average
Tuition)
(Estimated)
</t>
  </si>
  <si>
    <t>Actual Cost of Tuition</t>
  </si>
  <si>
    <t>Pay Raise Per Pupil</t>
  </si>
  <si>
    <t>Times # of Students</t>
  </si>
  <si>
    <t>Total
State
and 
Local
Per Pupil
Amount</t>
  </si>
  <si>
    <r>
      <t xml:space="preserve">Maximum
State
Per Pupil
Amount
(Levels 1, 
2 and 3)
</t>
    </r>
    <r>
      <rPr>
        <sz val="10"/>
        <color indexed="18"/>
        <rFont val="Arial"/>
        <family val="2"/>
      </rPr>
      <t>(Table 3, 
col. 33)</t>
    </r>
  </si>
  <si>
    <r>
      <t xml:space="preserve">Maximum
Local
Per Pupil
Amount
</t>
    </r>
    <r>
      <rPr>
        <sz val="10"/>
        <color indexed="18"/>
        <rFont val="Arial"/>
        <family val="2"/>
      </rPr>
      <t>(Table 3,
Col 37)</t>
    </r>
  </si>
  <si>
    <t>Actual Cost of Tuition (continued)</t>
  </si>
  <si>
    <t>Transfers</t>
  </si>
  <si>
    <t>1.  RSD</t>
  </si>
  <si>
    <t>2. Non-Legacy Type 2 Charter Transfers (Not 1st Year)</t>
  </si>
  <si>
    <t>3. Legacy Type 2 Charters</t>
  </si>
  <si>
    <t>4. LA School for the Deaf and Visually Impaired (LSDVI)</t>
  </si>
  <si>
    <t>5. Special School District (SSD)</t>
  </si>
  <si>
    <t>6.Scholarships in Orleans Parish</t>
  </si>
  <si>
    <t>Student Scholarships for Educational Excellence Program</t>
  </si>
  <si>
    <r>
      <t>FY2012-13
Levels 1, 2 &amp; 3
STATE SHARE
OF COST
Per Pupil</t>
    </r>
    <r>
      <rPr>
        <b/>
        <sz val="12"/>
        <color indexed="18"/>
        <rFont val="Arial"/>
        <family val="2"/>
      </rPr>
      <t>*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(Table 3, Col 33)</t>
    </r>
  </si>
  <si>
    <r>
      <t xml:space="preserve">FY2012-13
Levels 1 and 2
LOCAL 
SHARE 
OF COST
</t>
    </r>
    <r>
      <rPr>
        <sz val="10"/>
        <color indexed="18"/>
        <rFont val="Arial"/>
        <family val="2"/>
      </rPr>
      <t>(Table 3, Col 36)</t>
    </r>
  </si>
  <si>
    <r>
      <t>FY2011-12
STATE 
SHARE OF 
COST LEVELS
1, 2, &amp; 3
(July 2011)</t>
    </r>
    <r>
      <rPr>
        <b/>
        <sz val="8"/>
        <color indexed="10"/>
        <rFont val="Arial"/>
        <family val="2"/>
      </rPr>
      <t xml:space="preserve">
(includes 
Continuation of
 Prior Year Pay Raises)</t>
    </r>
  </si>
  <si>
    <t xml:space="preserve">FY2012-13Simulation
(column 16)
Actual 
Sales and Property
Tax Revenues
(Including Debt) 
Plus Other Revenue </t>
  </si>
  <si>
    <t>FY2012-13 
Simulation
projected
 2/1/12
SIS Base Count</t>
  </si>
  <si>
    <t>FY2012-13
Simulation
projected
2/1/12
Total Wgted Cnt</t>
  </si>
  <si>
    <t xml:space="preserve">FY2012-13
Simulation
STATE SHARE 
OF LEVEL 1
</t>
  </si>
  <si>
    <t xml:space="preserve">FY2012-13
Simulation
State Share of 
Level II
</t>
  </si>
  <si>
    <t>NOTE:  RSD Orleans is funded using the RSD's Differentiated Funding Formula for Special Education Students</t>
  </si>
  <si>
    <t>col 1 X col 2</t>
  </si>
  <si>
    <t>col 3 X col 4</t>
  </si>
  <si>
    <t>col 3 x
per pupil</t>
  </si>
  <si>
    <t>col 7 X .25%</t>
  </si>
  <si>
    <t>col 7 + col 8</t>
  </si>
  <si>
    <t>col 9 ÷ 12</t>
  </si>
  <si>
    <t>col 1   X 
col 11</t>
  </si>
  <si>
    <t>col 14 +
col 15</t>
  </si>
  <si>
    <t>col 16 ÷ 12</t>
  </si>
  <si>
    <t>col 9 +
 col 16</t>
  </si>
  <si>
    <t>col 10 +
col 17</t>
  </si>
  <si>
    <t>* Will be updated to FY2012-13 Foreign Associate Teachers and paid in August 2012</t>
  </si>
  <si>
    <t xml:space="preserve">Prelim
FY2012-13
Foreign 
Language 
Assoc. 
Teacher 
Stipends
</t>
  </si>
  <si>
    <t>Allocation for Lab Schools</t>
  </si>
  <si>
    <t>School System</t>
  </si>
  <si>
    <t>Acadia Parish School Board</t>
  </si>
  <si>
    <t>Allen Parish School Board</t>
  </si>
  <si>
    <t>Ascension Parish School Board</t>
  </si>
  <si>
    <t>Assumption Parish School Board</t>
  </si>
  <si>
    <t>Avoyelles Parish School Board</t>
  </si>
  <si>
    <t>Beauregard Parish School Board</t>
  </si>
  <si>
    <t>Bienville Parish School Board</t>
  </si>
  <si>
    <t>Bossier Parish School Board</t>
  </si>
  <si>
    <t>Caddo Parish School Board</t>
  </si>
  <si>
    <t>Caldwell Parish School Board</t>
  </si>
  <si>
    <t>Cameron Parish School Board</t>
  </si>
  <si>
    <t>Catahoula Parish School Board</t>
  </si>
  <si>
    <t>Claiborne Parish School Board</t>
  </si>
  <si>
    <t>DeSoto Parish School Board</t>
  </si>
  <si>
    <t>East Carroll Parish School Board</t>
  </si>
  <si>
    <t>East Feliciana Parish School Board</t>
  </si>
  <si>
    <t>Evangeline Parish School Board</t>
  </si>
  <si>
    <t>Franklin Parish School Board</t>
  </si>
  <si>
    <t>Grant Parish School Board</t>
  </si>
  <si>
    <t>Iberia Parish School Board</t>
  </si>
  <si>
    <t>Iberville Parish School Board</t>
  </si>
  <si>
    <t>Jackson Parish School Board</t>
  </si>
  <si>
    <t>Jefferson Davis Parish School Board</t>
  </si>
  <si>
    <t>Lafayette Parish School Board</t>
  </si>
  <si>
    <t>Lafourche Parish School Board</t>
  </si>
  <si>
    <t>LaSalle Parish School Board</t>
  </si>
  <si>
    <t>Livingston Parish School Board</t>
  </si>
  <si>
    <t>Madison Parish School Board</t>
  </si>
  <si>
    <t>Morehouse Parish School Board</t>
  </si>
  <si>
    <t>Natchitoches Parish School Board</t>
  </si>
  <si>
    <t>Plaquemines Parish School Board</t>
  </si>
  <si>
    <t>Pointe Coupee Parish School Board</t>
  </si>
  <si>
    <t>Rapides Parish School Board</t>
  </si>
  <si>
    <t>Red River Parish School Board</t>
  </si>
  <si>
    <t>Richland Parish School Board</t>
  </si>
  <si>
    <t>Sabine Parish School Board</t>
  </si>
  <si>
    <t>St. Bernard Parish School Board</t>
  </si>
  <si>
    <t>St. Charles Parish School Board</t>
  </si>
  <si>
    <t>St. Helena Parish School Board</t>
  </si>
  <si>
    <t>St. James Parish School Board</t>
  </si>
  <si>
    <t>St. John the Baptist Parish School Board</t>
  </si>
  <si>
    <t>St. Martin Parish School Board</t>
  </si>
  <si>
    <t>St. Mary Parish School Board</t>
  </si>
  <si>
    <t>Tangipahoa Parish School Board</t>
  </si>
  <si>
    <t>Tensas Parish School Board</t>
  </si>
  <si>
    <t>Terrebonne Parish School Board</t>
  </si>
  <si>
    <t>Vermilion Parish School Board</t>
  </si>
  <si>
    <t>Vernon Parish School Board</t>
  </si>
  <si>
    <t>Washington Parish School Board</t>
  </si>
  <si>
    <t>Webster Parish School Board</t>
  </si>
  <si>
    <t>West Baton Rouge Parish School Board</t>
  </si>
  <si>
    <t>West Carroll Parish School Board</t>
  </si>
  <si>
    <t>West Feliciana Parish School Board</t>
  </si>
  <si>
    <t>Winn Parish School Board</t>
  </si>
  <si>
    <t>City of Monroe School Board</t>
  </si>
  <si>
    <t>City of Bogalusa School Board</t>
  </si>
  <si>
    <t>Zachary Community School Board</t>
  </si>
  <si>
    <t>City of Baker School Board</t>
  </si>
  <si>
    <t>Central Community School Board</t>
  </si>
  <si>
    <t>LEA TOTALS</t>
  </si>
  <si>
    <t>321</t>
  </si>
  <si>
    <t>329</t>
  </si>
  <si>
    <t>331</t>
  </si>
  <si>
    <t>333</t>
  </si>
  <si>
    <t>336</t>
  </si>
  <si>
    <t>337</t>
  </si>
  <si>
    <t>339</t>
  </si>
  <si>
    <t>340</t>
  </si>
  <si>
    <t>Lake Charles Charter Academy</t>
  </si>
  <si>
    <t xml:space="preserve">  b.</t>
  </si>
  <si>
    <t xml:space="preserve">  c.</t>
  </si>
  <si>
    <t xml:space="preserve">  d.</t>
  </si>
  <si>
    <t xml:space="preserve">  e.</t>
  </si>
  <si>
    <t xml:space="preserve">  f.</t>
  </si>
  <si>
    <t xml:space="preserve">  g.</t>
  </si>
  <si>
    <t xml:space="preserve">  h.</t>
  </si>
  <si>
    <t xml:space="preserve">   a.</t>
  </si>
  <si>
    <t>FY2011-12</t>
  </si>
  <si>
    <t xml:space="preserve">
Difference</t>
  </si>
  <si>
    <t>Col 2 - Col 1</t>
  </si>
  <si>
    <t>Col 4 + Col 5</t>
  </si>
  <si>
    <t>Column 1
FY2011-12
Total MFP
Distribution 
with
Adjustments
and
Stipends
(State Share
Levels 1, 2 &amp; 3)
(July 2011)</t>
  </si>
  <si>
    <t>Col 7 + Col 8</t>
  </si>
  <si>
    <t>Col 10 + Col 11</t>
  </si>
  <si>
    <t>Col 5 - Col 8</t>
  </si>
  <si>
    <t>FY2011-12 
Total MFP 
Distribution 
with 
Adjustments
 and 
Stipends
(State Share
Levels 1, 2 &amp; 3)
(July 2011)</t>
  </si>
  <si>
    <r>
      <t xml:space="preserve">
AT-RISK 
STUDENTS
</t>
    </r>
    <r>
      <rPr>
        <sz val="10"/>
        <color indexed="18"/>
        <rFont val="Arial"/>
        <family val="2"/>
      </rPr>
      <t>(Per SIS
2-1-12)</t>
    </r>
    <r>
      <rPr>
        <b/>
        <sz val="10"/>
        <color indexed="18"/>
        <rFont val="Arial"/>
        <family val="2"/>
      </rPr>
      <t xml:space="preserve">
</t>
    </r>
  </si>
  <si>
    <r>
      <t xml:space="preserve">
CAREER &amp; 
TECHNICAL
 ED UNITS
</t>
    </r>
    <r>
      <rPr>
        <sz val="10"/>
        <color indexed="18"/>
        <rFont val="Arial"/>
        <family val="2"/>
      </rPr>
      <t>(Per LEADS
10-1-11)</t>
    </r>
    <r>
      <rPr>
        <b/>
        <sz val="10"/>
        <color indexed="18"/>
        <rFont val="Arial"/>
        <family val="2"/>
      </rPr>
      <t xml:space="preserve">
</t>
    </r>
  </si>
  <si>
    <r>
      <t xml:space="preserve">
SPECIAL ED 
OTHER 
EXCEPTIONALITIES 
STUDENTS
</t>
    </r>
    <r>
      <rPr>
        <sz val="10"/>
        <color indexed="18"/>
        <rFont val="Arial"/>
        <family val="2"/>
      </rPr>
      <t>(Per SER
2-1-12)</t>
    </r>
    <r>
      <rPr>
        <b/>
        <sz val="10"/>
        <color indexed="18"/>
        <rFont val="Arial"/>
        <family val="2"/>
      </rPr>
      <t xml:space="preserve">
</t>
    </r>
  </si>
  <si>
    <r>
      <t xml:space="preserve">
SPECIAL ED 
GIFTED AND 
TALENTED 
STUDENTS
</t>
    </r>
    <r>
      <rPr>
        <sz val="10"/>
        <color indexed="18"/>
        <rFont val="Arial"/>
        <family val="2"/>
      </rPr>
      <t>(Per SER
2-1-12)</t>
    </r>
  </si>
  <si>
    <t xml:space="preserve">This report contains information that when combined with other reports and/or information a student’s </t>
  </si>
  <si>
    <t xml:space="preserve">identity might be revealed.  Personally identifiable student information must be kept confidential </t>
  </si>
  <si>
    <t>pursuant to the Family Educational Rights and Privacy Act (FERPA) codified at 20 U.S.C. 1232g.  </t>
  </si>
  <si>
    <t xml:space="preserve">Information in this report cannot be disclosed to any other person, except for employees of a </t>
  </si>
  <si>
    <t xml:space="preserve">student’s school or school system who must have access to that information in order to perform their </t>
  </si>
  <si>
    <t>official duties and for those other persons and entities specified in 20 U.S.C. 1232g.</t>
  </si>
  <si>
    <t>3_ Legacy-321001-New Vision Learning Academy</t>
  </si>
  <si>
    <t>3_ Legacy-329001-V_ B_ Glencoe Charter School</t>
  </si>
  <si>
    <t>3_ Legacy-331001-International School of Louisiana</t>
  </si>
  <si>
    <t>3_ Legacy-333001-Avoyelles Public Charter School</t>
  </si>
  <si>
    <t>3_ Legacy-336001-Delhi Charter School</t>
  </si>
  <si>
    <t>3_ Legacy-337001-Belle Chasse Academy</t>
  </si>
  <si>
    <t>3_ Legacy-339001-Milestone SABIS Academy of New Orleans</t>
  </si>
  <si>
    <t>3_ Legacy-340001-The MAX Charter School</t>
  </si>
  <si>
    <t>3_341001-D'Arbonne Woods Charter School</t>
  </si>
  <si>
    <t>3_343001-Madison Preparatory Academy</t>
  </si>
  <si>
    <t>3_343002-Louisiana Virtual Charter Academy</t>
  </si>
  <si>
    <t>3_345001-Louisiana Connections Academy</t>
  </si>
  <si>
    <t>3_346001-Lake Charles Charter Academy</t>
  </si>
  <si>
    <t>3_347001-Lycee Francais de la Nouvelle-Orleans</t>
  </si>
  <si>
    <t>LSDVI</t>
  </si>
  <si>
    <t>City of Monroe School District</t>
  </si>
  <si>
    <t>City of Bogalusa School District</t>
  </si>
  <si>
    <t>City of Baker School District</t>
  </si>
  <si>
    <t>Central Community School District</t>
  </si>
  <si>
    <t>Out-Of-State</t>
  </si>
  <si>
    <t>Zachary Community School District</t>
  </si>
  <si>
    <t>Ouachita -5,774,612</t>
  </si>
  <si>
    <t>Ouachita + 5,774,612</t>
  </si>
  <si>
    <t>St. James - 12,147</t>
  </si>
  <si>
    <t>St. James - 17,033</t>
  </si>
  <si>
    <r>
      <t>FY2012-13
Levels 1, 2 &amp; 3
STATE SHARE
OF COST
Per Pupil</t>
    </r>
    <r>
      <rPr>
        <b/>
        <sz val="12"/>
        <color indexed="18"/>
        <rFont val="Arial"/>
        <family val="2"/>
      </rPr>
      <t xml:space="preserve">*
</t>
    </r>
    <r>
      <rPr>
        <sz val="9"/>
        <color indexed="18"/>
        <rFont val="Arial"/>
        <family val="2"/>
      </rPr>
      <t>Without Pay Raise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(Table 3, Col 29)</t>
    </r>
  </si>
  <si>
    <r>
      <t xml:space="preserve"> Base Membership:  </t>
    </r>
    <r>
      <rPr>
        <b/>
        <sz val="11"/>
        <rFont val="Arial Narrow"/>
        <family val="2"/>
      </rPr>
      <t>Feb. 1, 2011 / Feb. 1, 2012</t>
    </r>
  </si>
  <si>
    <t>FY2012-13
MFP State
Share of Levels
1, 2, and 3
with
 Continuation 
of Prior-Year
 Pay Raises</t>
  </si>
  <si>
    <t>Monthly
Payments
July 2012
through
June 2013</t>
  </si>
  <si>
    <t xml:space="preserve">
Feb. 1, 2012
Student Membership </t>
  </si>
  <si>
    <r>
      <t xml:space="preserve">
MFP
Funded Membership
</t>
    </r>
    <r>
      <rPr>
        <sz val="10"/>
        <color indexed="18"/>
        <rFont val="Arial"/>
        <family val="2"/>
      </rPr>
      <t>(Per SIS)</t>
    </r>
  </si>
  <si>
    <r>
      <t xml:space="preserve">
Feb. 1, 2012
MFP Funded
Enrollment
</t>
    </r>
    <r>
      <rPr>
        <sz val="10"/>
        <color indexed="18"/>
        <rFont val="Arial"/>
        <family val="2"/>
      </rPr>
      <t>(Per SIS)</t>
    </r>
    <r>
      <rPr>
        <b/>
        <sz val="10"/>
        <color indexed="18"/>
        <rFont val="Arial"/>
        <family val="2"/>
      </rPr>
      <t xml:space="preserve">
</t>
    </r>
    <r>
      <rPr>
        <b/>
        <sz val="8"/>
        <color indexed="10"/>
        <rFont val="Arial"/>
        <family val="2"/>
      </rPr>
      <t xml:space="preserve">
</t>
    </r>
    <r>
      <rPr>
        <b/>
        <sz val="10"/>
        <color indexed="56"/>
        <rFont val="Arial"/>
        <family val="2"/>
      </rPr>
      <t/>
    </r>
  </si>
  <si>
    <t>Out of State</t>
  </si>
  <si>
    <t xml:space="preserve">    Parish/City Schools, Type 5 Charters, Type 2 Charters (Not 1st Year) (FY2011-12 does not include Legacy Type 2 Charters), LSDVI, SSD, and Scholarshps (Scholarships in Orleans Parish)</t>
  </si>
  <si>
    <t>Total Weighted Membership of Parish/City Schools, Type 5 Charters,  Type 2 Charters (Not 1st Year)(FY11-12 does not include Legacy Type 2 Charters, LSDVI, SSD, and Scholarships (Scholarships in Orleans Parish)</t>
  </si>
  <si>
    <t>February 1, 2012 MFP &amp; Other Funded Membership for All Site Codes Except City/Parish School Districts</t>
  </si>
  <si>
    <t>Source:  SIS Database (Year 2011; PP=3)</t>
  </si>
  <si>
    <t>AsOfDate</t>
  </si>
  <si>
    <t>LeaGroupCode</t>
  </si>
  <si>
    <t>Location</t>
  </si>
  <si>
    <t>SiteCode</t>
  </si>
  <si>
    <t>SiteName</t>
  </si>
  <si>
    <t>MFP/Funded Membership</t>
  </si>
  <si>
    <t>MFP Funded Excluding City/Parish Schools</t>
  </si>
  <si>
    <t>2-Labs</t>
  </si>
  <si>
    <t>318001</t>
  </si>
  <si>
    <t>LSU Laboratory School</t>
  </si>
  <si>
    <t>319001</t>
  </si>
  <si>
    <t>3-Type 2 Charters</t>
  </si>
  <si>
    <t>321001</t>
  </si>
  <si>
    <t>329001</t>
  </si>
  <si>
    <t>V. B. Glencoe Charter School</t>
  </si>
  <si>
    <t>331001</t>
  </si>
  <si>
    <t>International School of Louisiana</t>
  </si>
  <si>
    <t>333001</t>
  </si>
  <si>
    <t>336001</t>
  </si>
  <si>
    <t>337001</t>
  </si>
  <si>
    <t>Belle Chasse Academy</t>
  </si>
  <si>
    <t>339001</t>
  </si>
  <si>
    <t>340001</t>
  </si>
  <si>
    <t>341</t>
  </si>
  <si>
    <t>341001</t>
  </si>
  <si>
    <t>D'Arbonne Woods Charter School</t>
  </si>
  <si>
    <t>343</t>
  </si>
  <si>
    <t>343001</t>
  </si>
  <si>
    <t>Madison Preparatory Academy</t>
  </si>
  <si>
    <t>343002</t>
  </si>
  <si>
    <t>Louisiana Virtual Charter Academy</t>
  </si>
  <si>
    <t>344</t>
  </si>
  <si>
    <t>344001</t>
  </si>
  <si>
    <t>International High School</t>
  </si>
  <si>
    <t>345</t>
  </si>
  <si>
    <t>345001</t>
  </si>
  <si>
    <t>Louisiana Connections Academy</t>
  </si>
  <si>
    <t>346</t>
  </si>
  <si>
    <t>346001</t>
  </si>
  <si>
    <t>347</t>
  </si>
  <si>
    <t>347001</t>
  </si>
  <si>
    <t>Lycee Francais de la Nouvelle-Orleans</t>
  </si>
  <si>
    <t>348</t>
  </si>
  <si>
    <t>348001</t>
  </si>
  <si>
    <t>New Orleans Military and Maritime Academy</t>
  </si>
  <si>
    <t>4-SSD</t>
  </si>
  <si>
    <t>101</t>
  </si>
  <si>
    <t>Scenic Alternative High School</t>
  </si>
  <si>
    <t>Riverside Alternative High School</t>
  </si>
  <si>
    <t>Southside Alternative High School</t>
  </si>
  <si>
    <t>101033</t>
  </si>
  <si>
    <t>Winn Correctional Center</t>
  </si>
  <si>
    <t>4-BESE</t>
  </si>
  <si>
    <t>302</t>
  </si>
  <si>
    <t>302006</t>
  </si>
  <si>
    <t>Louisiana School for Math Science &amp; the Arts</t>
  </si>
  <si>
    <t>304</t>
  </si>
  <si>
    <t>304001</t>
  </si>
  <si>
    <t>Louisiana School for the Deaf</t>
  </si>
  <si>
    <t>304002</t>
  </si>
  <si>
    <t>Louisiana School for the Visually Impaired</t>
  </si>
  <si>
    <t>306</t>
  </si>
  <si>
    <t>306001</t>
  </si>
  <si>
    <t>Louisiana Special Education Center</t>
  </si>
  <si>
    <t>334</t>
  </si>
  <si>
    <t>334001</t>
  </si>
  <si>
    <t>New Orleans Center for Creative Arts</t>
  </si>
  <si>
    <t>5 - RSD-LA</t>
  </si>
  <si>
    <t xml:space="preserve"> Caddo Parish</t>
  </si>
  <si>
    <t>371</t>
  </si>
  <si>
    <t xml:space="preserve"> East Baton Rouge Parish</t>
  </si>
  <si>
    <t>372</t>
  </si>
  <si>
    <t>377</t>
  </si>
  <si>
    <t>389</t>
  </si>
  <si>
    <t xml:space="preserve"> Pointe Coupee Parish</t>
  </si>
  <si>
    <t>5 - RSD-NO</t>
  </si>
  <si>
    <t>300</t>
  </si>
  <si>
    <t>Lake Area High School</t>
  </si>
  <si>
    <t>Gentilly Terrace School</t>
  </si>
  <si>
    <t>363</t>
  </si>
  <si>
    <t>363001</t>
  </si>
  <si>
    <t>Harriet Tubman Charter School</t>
  </si>
  <si>
    <t>364</t>
  </si>
  <si>
    <t>364001</t>
  </si>
  <si>
    <t>Fannie C. Williams Charter School</t>
  </si>
  <si>
    <t>366</t>
  </si>
  <si>
    <t>Lagniappe Academies of New Orleans</t>
  </si>
  <si>
    <t>367</t>
  </si>
  <si>
    <t>E. P. Harney Spirit of Excellence Academy</t>
  </si>
  <si>
    <t>368</t>
  </si>
  <si>
    <t>Morris Jeff Community School</t>
  </si>
  <si>
    <t>369</t>
  </si>
  <si>
    <t>Batiste Cultural Arts Academy at Live Oak Elem</t>
  </si>
  <si>
    <t>SciTech Academy at Laurel Elementary</t>
  </si>
  <si>
    <t>369003</t>
  </si>
  <si>
    <t>ReNEW at Reed Elementary</t>
  </si>
  <si>
    <t>369004</t>
  </si>
  <si>
    <t>ReNEW Accelerated High School #1</t>
  </si>
  <si>
    <t>369005</t>
  </si>
  <si>
    <t>ReNEW Accelerated High School #2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</si>
  <si>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</si>
  <si>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</si>
  <si>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</si>
  <si>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</si>
  <si>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</si>
  <si>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</si>
  <si>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</si>
  <si>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</si>
  <si>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</si>
  <si>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</si>
  <si>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385</t>
  </si>
  <si>
    <t>387</t>
  </si>
  <si>
    <t>388</t>
  </si>
  <si>
    <t>390</t>
  </si>
  <si>
    <t>391</t>
  </si>
  <si>
    <t>392</t>
  </si>
  <si>
    <t>393</t>
  </si>
  <si>
    <t>394</t>
  </si>
  <si>
    <t>395</t>
  </si>
  <si>
    <t>397</t>
  </si>
  <si>
    <t>Sophie B. Wright Inst. of Academic Excellence</t>
  </si>
  <si>
    <t>398</t>
  </si>
  <si>
    <t>KIPP Renaissance High School</t>
  </si>
  <si>
    <t>KIPP New Orleans Leadership Academy</t>
  </si>
  <si>
    <t>399</t>
  </si>
  <si>
    <t>399003</t>
  </si>
  <si>
    <t>Joseph S. Clark Preparatory High School</t>
  </si>
  <si>
    <t>John Dibert Community School</t>
  </si>
  <si>
    <t>5 - RSD-State Op</t>
  </si>
  <si>
    <t>396201</t>
  </si>
  <si>
    <t>Linear Leadership Academy</t>
  </si>
  <si>
    <t>396202</t>
  </si>
  <si>
    <t>Capitol High School</t>
  </si>
  <si>
    <t xml:space="preserve"> St. Helena Parish</t>
  </si>
  <si>
    <t>396200</t>
  </si>
  <si>
    <t>St. Helena Central Middle School</t>
  </si>
  <si>
    <t>396001</t>
  </si>
  <si>
    <t>Joseph A. Craig School</t>
  </si>
  <si>
    <t>396003</t>
  </si>
  <si>
    <t>Benjamin Banneker Elementary School</t>
  </si>
  <si>
    <t>396004</t>
  </si>
  <si>
    <t>Walter L. Cohen High School</t>
  </si>
  <si>
    <t>396008</t>
  </si>
  <si>
    <t>Dr. Charles Richard Drew Elementary School</t>
  </si>
  <si>
    <t>396009</t>
  </si>
  <si>
    <t>Paul B. Habans Elementary School</t>
  </si>
  <si>
    <t>396010</t>
  </si>
  <si>
    <t>Murray Henderson Elementary School</t>
  </si>
  <si>
    <t>396011</t>
  </si>
  <si>
    <t>John McDonogh Senior High School</t>
  </si>
  <si>
    <t>396012</t>
  </si>
  <si>
    <t>James Weldon Johnson School</t>
  </si>
  <si>
    <t>396017</t>
  </si>
  <si>
    <t>Sarah Towles Reed Senior High School</t>
  </si>
  <si>
    <t>396019</t>
  </si>
  <si>
    <t>A.P. Tureaud Elementary School</t>
  </si>
  <si>
    <t>396022</t>
  </si>
  <si>
    <t>Schwarz Alternative School</t>
  </si>
  <si>
    <t>396026</t>
  </si>
  <si>
    <t>G.W. Carver High School</t>
  </si>
  <si>
    <t>396029</t>
  </si>
  <si>
    <t>F.W. Gregory Elementary School</t>
  </si>
  <si>
    <t>396031</t>
  </si>
  <si>
    <t>L. B. Landry High School</t>
  </si>
  <si>
    <t>396034</t>
  </si>
  <si>
    <t>H.C. Schaumburg Elementary School</t>
  </si>
  <si>
    <t>396037</t>
  </si>
  <si>
    <t>Mary D. Coghill Elementary School</t>
  </si>
  <si>
    <t>396203</t>
  </si>
  <si>
    <t>Abramson Science and Technology School</t>
  </si>
  <si>
    <t>396700</t>
  </si>
  <si>
    <t>Recovery School District-LDE Central Office</t>
  </si>
  <si>
    <t>6-Corrections</t>
  </si>
  <si>
    <t>A02</t>
  </si>
  <si>
    <t>A02001</t>
  </si>
  <si>
    <t>A02002</t>
  </si>
  <si>
    <t>A02003</t>
  </si>
  <si>
    <r>
      <t xml:space="preserve">
Projected
Enrollment
Per SIS
</t>
    </r>
    <r>
      <rPr>
        <b/>
        <sz val="8"/>
        <color indexed="10"/>
        <rFont val="Arial"/>
        <family val="2"/>
      </rPr>
      <t xml:space="preserve">
</t>
    </r>
    <r>
      <rPr>
        <b/>
        <sz val="10"/>
        <color indexed="56"/>
        <rFont val="Arial"/>
        <family val="2"/>
      </rPr>
      <t/>
    </r>
  </si>
  <si>
    <t xml:space="preserve">Feb. 1, 2012
Per SIS
</t>
  </si>
  <si>
    <t>Feb. 1. 2012
MFP Funded
Count
(Per SIS)</t>
  </si>
  <si>
    <r>
      <t xml:space="preserve">
Feb. 1, 2012
</t>
    </r>
    <r>
      <rPr>
        <sz val="10"/>
        <color indexed="18"/>
        <rFont val="Arial"/>
        <family val="2"/>
      </rPr>
      <t>(Per SIS)</t>
    </r>
    <r>
      <rPr>
        <b/>
        <sz val="10"/>
        <color indexed="18"/>
        <rFont val="Arial"/>
        <family val="2"/>
      </rPr>
      <t xml:space="preserve">
</t>
    </r>
    <r>
      <rPr>
        <b/>
        <sz val="10"/>
        <color indexed="56"/>
        <rFont val="Arial"/>
        <family val="2"/>
      </rPr>
      <t/>
    </r>
  </si>
  <si>
    <t>Don't forget the one out of state in Union for the Pay Raise Amounts</t>
  </si>
  <si>
    <t>Does not include Labs, NOCCA, LSMSA and 1st year Type 2's</t>
  </si>
  <si>
    <t>EBR, Orleans and Pt. Coupee have different formula</t>
  </si>
  <si>
    <r>
      <t xml:space="preserve">Audit Adjs.
FY2011-12
MFP 
</t>
    </r>
    <r>
      <rPr>
        <sz val="10"/>
        <color indexed="18"/>
        <rFont val="Arial"/>
        <family val="2"/>
      </rPr>
      <t>(also includes 
2/1 midyear
 from 
FY2010-11</t>
    </r>
  </si>
  <si>
    <r>
      <t xml:space="preserve">Audit Adjs.
FY2011-12
MFP 
</t>
    </r>
    <r>
      <rPr>
        <sz val="10"/>
        <color indexed="18"/>
        <rFont val="Arial"/>
        <family val="2"/>
      </rPr>
      <t>(also includes 
2/1 midyear
 from 
FY2010-11)</t>
    </r>
  </si>
  <si>
    <r>
      <t>Audit
Adjustments
FY2011-12
MFP</t>
    </r>
    <r>
      <rPr>
        <sz val="10"/>
        <color indexed="18"/>
        <rFont val="Arial"/>
        <family val="2"/>
      </rPr>
      <t xml:space="preserve">
(Includes 
2/1 midyear
 from 
FY2010-11</t>
    </r>
  </si>
  <si>
    <r>
      <t xml:space="preserve">Lagniappe Academies, Inc.
(Lagniappe Academies)
</t>
    </r>
    <r>
      <rPr>
        <sz val="12"/>
        <color rgb="FFFF0000"/>
        <rFont val="Futura Lt BT"/>
        <family val="2"/>
      </rPr>
      <t>Not in a District Building</t>
    </r>
  </si>
  <si>
    <r>
      <t xml:space="preserve">Dryades YMCA
</t>
    </r>
    <r>
      <rPr>
        <sz val="11"/>
        <rFont val="Futura Lt BT"/>
        <family val="2"/>
      </rPr>
      <t xml:space="preserve">(James M. Singleton Charter Middle)
</t>
    </r>
    <r>
      <rPr>
        <sz val="11"/>
        <color rgb="FFFF0000"/>
        <rFont val="Futura Lt BT"/>
        <family val="2"/>
      </rPr>
      <t>Not in a District Building</t>
    </r>
  </si>
  <si>
    <t>Total local
allocation</t>
  </si>
  <si>
    <t>Total local
payment amount</t>
  </si>
  <si>
    <t>Estimated Refund Due to State and Local</t>
  </si>
  <si>
    <t>Out of state</t>
  </si>
  <si>
    <t>col 1 x
col 2</t>
  </si>
  <si>
    <t>col 1 x
col 4</t>
  </si>
  <si>
    <t>col 3 +
col 5</t>
  </si>
  <si>
    <t>col 6 ÷ 12</t>
  </si>
  <si>
    <t>col 1   X 
col 8</t>
  </si>
  <si>
    <t>col 7 +
col 10</t>
  </si>
  <si>
    <r>
      <t xml:space="preserve">Benjamin E. Mays Schools
</t>
    </r>
    <r>
      <rPr>
        <sz val="11"/>
        <rFont val="Futura Lt BT"/>
        <family val="2"/>
      </rPr>
      <t>(Benjamin Mays Prep)</t>
    </r>
  </si>
  <si>
    <t>Plus/(Minus) Prior Year Adjustments - OJJ</t>
  </si>
  <si>
    <t>9.</t>
  </si>
  <si>
    <t>International
School of LA
(In a District Bldg)</t>
  </si>
  <si>
    <t>col 12 + col 13</t>
  </si>
  <si>
    <t>col 14 + col 15</t>
  </si>
  <si>
    <t>col 7+ col 8</t>
  </si>
  <si>
    <t>col 12 X .25%</t>
  </si>
  <si>
    <t>col 9 + col 10</t>
  </si>
  <si>
    <t>col 1   X 
col 13</t>
  </si>
  <si>
    <t>col 2 X
col 13</t>
  </si>
  <si>
    <t>col 18 + col 19</t>
  </si>
  <si>
    <t>col 11 +
 col 20</t>
  </si>
  <si>
    <t>col 12 +
col 21</t>
  </si>
  <si>
    <t>col 5 +
 col 13</t>
  </si>
  <si>
    <t>col 8 +
col 16</t>
  </si>
  <si>
    <t>col 15 ÷ 12</t>
  </si>
  <si>
    <t>col 13 + col 14</t>
  </si>
  <si>
    <t>col 1 + col 10</t>
  </si>
  <si>
    <t>col 9 ÷
col 11</t>
  </si>
  <si>
    <t>col 1   X 
col 12</t>
  </si>
  <si>
    <t>Prior Year
Table 2, col 12</t>
  </si>
  <si>
    <t>Prior Year
Transfers</t>
  </si>
  <si>
    <t>Col 3</t>
  </si>
  <si>
    <r>
      <t xml:space="preserve">Feb. 1, 2012
Enrollment
Per SIS
</t>
    </r>
    <r>
      <rPr>
        <sz val="9"/>
        <color indexed="18"/>
        <rFont val="Arial"/>
        <family val="2"/>
      </rPr>
      <t>(Does not include site codes
101018, 101020, and 101021)</t>
    </r>
  </si>
  <si>
    <r>
      <t xml:space="preserve">KIPP New Orleans, Inc.
</t>
    </r>
    <r>
      <rPr>
        <sz val="11"/>
        <rFont val="Futura Lt BT"/>
        <family val="2"/>
      </rPr>
      <t xml:space="preserve">(Kipp Central City Primary)
</t>
    </r>
    <r>
      <rPr>
        <sz val="11"/>
        <color rgb="FFFF0000"/>
        <rFont val="Futura Lt BT"/>
        <family val="2"/>
      </rPr>
      <t>K-1 not in a District Building</t>
    </r>
  </si>
  <si>
    <t>* New Charters in FY2012-13 funded based on projected student count; will be updated to actual 10/1/12 count</t>
  </si>
  <si>
    <t xml:space="preserve">     First Year Non-Legacy Type 2 Charters (2)</t>
  </si>
  <si>
    <t>Scholarships in Orleans Parish (Maximum Allocation)</t>
  </si>
  <si>
    <t>Rewards for Student Progress</t>
  </si>
  <si>
    <t>Scholarships in Orleans Parish (Estimated Refund)</t>
  </si>
  <si>
    <t>* Does not include estimates for state-wide expansion</t>
  </si>
  <si>
    <t>Maximum State and Local Allocation Available*</t>
  </si>
  <si>
    <t>Continuation of Prior Year  Pay Raises
(FY2001-02 through
FY2008-09) 
90% Per Pupil
Amount</t>
  </si>
  <si>
    <t>Continuation of Prior Year  Pay Raises
(FY2001-02 through
FY2008-09)  
90% Per Pupil
Amount</t>
  </si>
  <si>
    <t>Rewards for Student Progress*</t>
  </si>
  <si>
    <t>* Data not available; criteria to be established by BESE</t>
  </si>
  <si>
    <t>State MFP Appropriation/Executive Budget</t>
  </si>
  <si>
    <t>Estimated need in excess of MFP Appropriation/Executive Budget</t>
  </si>
  <si>
    <t xml:space="preserve">MFP State Share of Educational Cost 
</t>
  </si>
  <si>
    <t>Continuation
of
Prior
Year
Pay Raises
Per Pupil Amount</t>
  </si>
  <si>
    <t>Educators for Quality Alternatives 
(The NET Charter School)</t>
  </si>
  <si>
    <t>Collegiate Academies
(Collegiate Academy 3)</t>
  </si>
  <si>
    <r>
      <t xml:space="preserve">Firstline Schools, Inc.
</t>
    </r>
    <r>
      <rPr>
        <sz val="11"/>
        <rFont val="Futura Lt BT"/>
        <family val="2"/>
      </rPr>
      <t>(Langston Hughes Academy)</t>
    </r>
  </si>
  <si>
    <r>
      <t xml:space="preserve">Lake Charles Charter Academy
(Lake Charles Charter School Assoc., Inc)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</si>
  <si>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LA Virtual Charter Academy 
(LAVCA)
(Community School of 
Apprenticeship Learning,)
(CSAL)
</t>
    </r>
    <r>
      <rPr>
        <sz val="11"/>
        <color indexed="18"/>
        <rFont val="Arial"/>
        <family val="2"/>
      </rPr>
      <t>(Site Code 343002)
(Opened 11/12)
(Not in a District Bldg.)</t>
    </r>
  </si>
  <si>
    <r>
      <t xml:space="preserve">Louisiana Connections 
Academy
(Friends of LA Connections Academy)
</t>
    </r>
    <r>
      <rPr>
        <sz val="11"/>
        <color indexed="18"/>
        <rFont val="Arial"/>
        <family val="2"/>
      </rPr>
      <t>(Virtual)
(Site Code 345001)
(Opened 11/12)
(Not in a District Bldg.)</t>
    </r>
  </si>
  <si>
    <r>
      <t xml:space="preserve">J. S. Clark Leadership Academy
(Outreach Community Development Corporation)
</t>
    </r>
    <r>
      <rPr>
        <sz val="10"/>
        <color indexed="18"/>
        <rFont val="Arial"/>
        <family val="2"/>
      </rPr>
      <t>(Site Code 349001)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(Opened 12/13)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(Not in a District Building)</t>
    </r>
  </si>
  <si>
    <r>
      <t xml:space="preserve">Lycee Francais de la Nouvelle Orleans
(LFNO, Inc.)
</t>
    </r>
    <r>
      <rPr>
        <sz val="11"/>
        <color indexed="18"/>
        <rFont val="Arial"/>
        <family val="2"/>
      </rPr>
      <t>(Site Code 347001)
(Opened 11/12)
(Not in a District Building)</t>
    </r>
  </si>
  <si>
    <r>
      <t xml:space="preserve">New Orleans Military/Maritime Academy
</t>
    </r>
    <r>
      <rPr>
        <sz val="11"/>
        <color indexed="18"/>
        <rFont val="Arial"/>
        <family val="2"/>
      </rPr>
      <t>(Site Code 348001)
(Opened 11/12)
(Not in a District Building)</t>
    </r>
  </si>
  <si>
    <r>
      <t xml:space="preserve">International High School of N. O.
(VIBE:  Voices for Int'l Business &amp; Education)
</t>
    </r>
    <r>
      <rPr>
        <sz val="11"/>
        <color indexed="18"/>
        <rFont val="Arial"/>
        <family val="2"/>
      </rPr>
      <t>(Site Code 344001)
(Opened 10/11)
(In a District Building)</t>
    </r>
    <r>
      <rPr>
        <b/>
        <sz val="11"/>
        <color indexed="18"/>
        <rFont val="Arial"/>
        <family val="2"/>
      </rPr>
      <t xml:space="preserve">
</t>
    </r>
  </si>
  <si>
    <r>
      <t xml:space="preserve">D'Arbonne Woods Charter School, Inc.
(D'Arbonne Woods Charter)
</t>
    </r>
    <r>
      <rPr>
        <sz val="11"/>
        <color indexed="18"/>
        <rFont val="Arial"/>
        <family val="2"/>
      </rPr>
      <t>(Site Code 341001)
(Opened 09/10)
(Not in a District Building)</t>
    </r>
  </si>
  <si>
    <r>
      <t xml:space="preserve">Madison Prep  Academy 
(CSAL:  Community Schools for Apprenticeship 
Learning)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</si>
  <si>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RSD Operated
</t>
    </r>
    <r>
      <rPr>
        <sz val="11"/>
        <rFont val="Arial"/>
        <family val="2"/>
      </rPr>
      <t>(Lanier Elementary )</t>
    </r>
  </si>
  <si>
    <t>RSD Operated
(Istrouma High School)</t>
  </si>
  <si>
    <r>
      <t xml:space="preserve">RSD Operated
</t>
    </r>
    <r>
      <rPr>
        <sz val="11"/>
        <rFont val="Arial"/>
        <family val="2"/>
      </rPr>
      <t>(Capitol High School)</t>
    </r>
  </si>
  <si>
    <r>
      <t xml:space="preserve">RSD Operated
</t>
    </r>
    <r>
      <rPr>
        <sz val="11"/>
        <rFont val="Arial"/>
        <family val="2"/>
      </rPr>
      <t>(Dalton Elementary)</t>
    </r>
  </si>
  <si>
    <r>
      <t xml:space="preserve">RSD Operated
</t>
    </r>
    <r>
      <rPr>
        <sz val="11"/>
        <rFont val="Arial"/>
        <family val="2"/>
      </rPr>
      <t>(Prescott Middle)</t>
    </r>
  </si>
  <si>
    <r>
      <t xml:space="preserve">RSD Operated
</t>
    </r>
    <r>
      <rPr>
        <sz val="11"/>
        <rFont val="Arial"/>
        <family val="2"/>
      </rPr>
      <t>(Glen Oaks Middle)</t>
    </r>
  </si>
  <si>
    <r>
      <t xml:space="preserve">RSD Operated
</t>
    </r>
    <r>
      <rPr>
        <sz val="11"/>
        <rFont val="Arial"/>
        <family val="2"/>
      </rPr>
      <t>(Pointe Coupee Central High)</t>
    </r>
  </si>
  <si>
    <r>
      <t xml:space="preserve">RSD Operated
</t>
    </r>
    <r>
      <rPr>
        <sz val="11"/>
        <rFont val="Arial"/>
        <family val="2"/>
      </rPr>
      <t>(Crestworth Middle)</t>
    </r>
  </si>
  <si>
    <r>
      <t xml:space="preserve">Southwest LA Charter Academy
(Southwest LA Charter Academy Foundation, Inc.)
</t>
    </r>
    <r>
      <rPr>
        <sz val="10"/>
        <color indexed="18"/>
        <rFont val="Arial"/>
        <family val="2"/>
      </rPr>
      <t>(Site Code 328001)
(Opened 12/13)
(Not in a District Building)</t>
    </r>
  </si>
  <si>
    <t>Prepared:  06/08/2012</t>
  </si>
  <si>
    <t>DataSource</t>
  </si>
  <si>
    <t>Year</t>
  </si>
  <si>
    <t>PP</t>
  </si>
  <si>
    <t>As-Of-Date</t>
  </si>
  <si>
    <t>SponsorName</t>
  </si>
  <si>
    <t>City/Parish District MFP Counts</t>
  </si>
  <si>
    <t>05_RSD-LA</t>
  </si>
  <si>
    <t>05_RSD-NO</t>
  </si>
  <si>
    <t>05_RSD-State Operated</t>
  </si>
  <si>
    <t>3_344001-International High School of New Orleans</t>
  </si>
  <si>
    <t>3_348001-New Orleans Military/ Maritime Academy</t>
  </si>
  <si>
    <t>Scholar-
ships</t>
  </si>
  <si>
    <t>SIS-Funded</t>
  </si>
  <si>
    <t>2011</t>
  </si>
  <si>
    <t>3</t>
  </si>
  <si>
    <t>Totals</t>
  </si>
  <si>
    <t>40.24/17.33</t>
  </si>
  <si>
    <t>N.</t>
  </si>
  <si>
    <r>
      <t xml:space="preserve">OPSB
</t>
    </r>
    <r>
      <rPr>
        <sz val="12"/>
        <rFont val="Futura Lt BT"/>
        <family val="2"/>
      </rPr>
      <t xml:space="preserve">Orleans Parish </t>
    </r>
  </si>
  <si>
    <r>
      <t xml:space="preserve">Projected
MFP 
Funded
Member-
ship
</t>
    </r>
    <r>
      <rPr>
        <b/>
        <sz val="8"/>
        <color indexed="18"/>
        <rFont val="Futura Lt BT"/>
        <family val="2"/>
      </rPr>
      <t>(Per SIS)*</t>
    </r>
  </si>
  <si>
    <r>
      <t>Audit
Adjust-
ments
FY2011-12
MFP</t>
    </r>
    <r>
      <rPr>
        <sz val="10"/>
        <color indexed="18"/>
        <rFont val="Futura Lt BT"/>
        <family val="2"/>
      </rPr>
      <t xml:space="preserve">
(Includes 
2/1 midyear
 from 
FY2010-11</t>
    </r>
  </si>
  <si>
    <r>
      <t xml:space="preserve">Audit Adjs.
FY2011-12
MFP 
</t>
    </r>
    <r>
      <rPr>
        <sz val="10"/>
        <color indexed="18"/>
        <rFont val="Futura Lt BT"/>
        <family val="2"/>
      </rPr>
      <t>(also includes 
2/1 midyear
 from 
FY2010-11)</t>
    </r>
  </si>
  <si>
    <r>
      <t xml:space="preserve">Crescent Leadership Academy
</t>
    </r>
    <r>
      <rPr>
        <sz val="10"/>
        <rFont val="Futura Lt BT"/>
        <family val="2"/>
      </rPr>
      <t xml:space="preserve">(Crescent Leadership Acad./Schwarz)
</t>
    </r>
    <r>
      <rPr>
        <sz val="10"/>
        <color rgb="FFFF0000"/>
        <rFont val="Futura Lt BT"/>
        <family val="2"/>
      </rPr>
      <t>Not in a District Building</t>
    </r>
  </si>
  <si>
    <t>Return 
of 
10%
Per Pupil 
Amount 
to State</t>
  </si>
  <si>
    <t>Crescent City Schools, Inc.
(Akili Academy)</t>
  </si>
  <si>
    <t xml:space="preserve">FY2012-2013 MFP Budget Letter </t>
  </si>
  <si>
    <t xml:space="preserve">Table 5A1: FY2012-13 MFP Budget Letter </t>
  </si>
  <si>
    <r>
      <t xml:space="preserve">
ADM
for Youth  in Secure Care 
</t>
    </r>
    <r>
      <rPr>
        <sz val="10"/>
        <color indexed="18"/>
        <rFont val="Arial"/>
        <family val="2"/>
      </rPr>
      <t>(Preliminary 
11/12 ADM Data)</t>
    </r>
    <r>
      <rPr>
        <b/>
        <sz val="8"/>
        <color indexed="10"/>
        <rFont val="Arial"/>
        <family val="2"/>
      </rPr>
      <t xml:space="preserve">
</t>
    </r>
    <r>
      <rPr>
        <b/>
        <sz val="10"/>
        <color indexed="56"/>
        <rFont val="Arial"/>
        <family val="2"/>
      </rPr>
      <t/>
    </r>
  </si>
  <si>
    <r>
      <t xml:space="preserve">MFP State Share of Educational Cost for Youth in Secure Care 
</t>
    </r>
    <r>
      <rPr>
        <b/>
        <sz val="10"/>
        <color indexed="18"/>
        <rFont val="Arial"/>
        <family val="2"/>
      </rPr>
      <t xml:space="preserve">Based on Preliminary FY2011-12 Average Daily Membership (ADM) </t>
    </r>
  </si>
  <si>
    <t>FY2012-13
Budget Letter
July 2012
Circular No. 1148</t>
  </si>
  <si>
    <t>Comparison of  
FY2011-12
Budget Letter to
FY2012-13
Budget Letter</t>
  </si>
  <si>
    <r>
      <t xml:space="preserve">Initial
Local
Per Pupil
</t>
    </r>
    <r>
      <rPr>
        <sz val="10"/>
        <color indexed="18"/>
        <rFont val="Arial"/>
        <family val="2"/>
      </rPr>
      <t xml:space="preserve">(per charter law)
</t>
    </r>
  </si>
  <si>
    <r>
      <t xml:space="preserve">Initial
Local
Per Pupil
</t>
    </r>
    <r>
      <rPr>
        <sz val="10"/>
        <color indexed="18"/>
        <rFont val="Arial"/>
        <family val="2"/>
      </rPr>
      <t>(per charter law)
(in a district bldg)</t>
    </r>
  </si>
  <si>
    <r>
      <t xml:space="preserve">Initial
Local
Per Pupil
</t>
    </r>
    <r>
      <rPr>
        <sz val="10"/>
        <color indexed="18"/>
        <rFont val="Arial"/>
        <family val="2"/>
      </rPr>
      <t>(per charter law)</t>
    </r>
  </si>
  <si>
    <t>Initial
Local 
Per Pupil 
(90%)
(per Calcul-ation)</t>
  </si>
  <si>
    <r>
      <t xml:space="preserve">
Initial
Local 
Per Pupil 
</t>
    </r>
    <r>
      <rPr>
        <sz val="10"/>
        <color indexed="18"/>
        <rFont val="Arial"/>
        <family val="2"/>
      </rPr>
      <t>(90%)</t>
    </r>
    <r>
      <rPr>
        <b/>
        <sz val="10"/>
        <color indexed="18"/>
        <rFont val="Arial"/>
        <family val="2"/>
      </rPr>
      <t xml:space="preserve">
(per Calcul-ation)</t>
    </r>
  </si>
  <si>
    <t>FY2012-13 
Initial
Per Pupil
Amount</t>
  </si>
  <si>
    <r>
      <t xml:space="preserve">Initial
Local
Per Pupil
</t>
    </r>
    <r>
      <rPr>
        <sz val="10"/>
        <color indexed="18"/>
        <rFont val="Arial"/>
        <family val="2"/>
      </rPr>
      <t>(Initial 
per pupil 
amount)</t>
    </r>
  </si>
  <si>
    <r>
      <t xml:space="preserve">Collegiate Academies
</t>
    </r>
    <r>
      <rPr>
        <sz val="10"/>
        <rFont val="Futura Lt BT"/>
      </rPr>
      <t>(N.O. Charter Science)(Sci Academy)</t>
    </r>
  </si>
  <si>
    <r>
      <t xml:space="preserve">LEA +
RSD Opr +
Type 5 Charters
</t>
    </r>
    <r>
      <rPr>
        <sz val="10"/>
        <color rgb="FFFF0000"/>
        <rFont val="Arial"/>
        <family val="2"/>
      </rPr>
      <t>(except for Orleans)</t>
    </r>
    <r>
      <rPr>
        <sz val="10"/>
        <rFont val="Arial"/>
        <family val="2"/>
      </rPr>
      <t xml:space="preserve">
</t>
    </r>
  </si>
  <si>
    <t>Add out of state to Union</t>
  </si>
  <si>
    <t>Distribution of Feb 1, 2012 MFP &amp; Funded Membership Using Updated Address Data</t>
  </si>
  <si>
    <t>TOTAL
Feb. 1, 2012
Student
 Count
(Table 3
Column 1)</t>
  </si>
  <si>
    <t>col 14 X
.25%</t>
  </si>
  <si>
    <r>
      <t xml:space="preserve">
Feb. 1, 2012
</t>
    </r>
    <r>
      <rPr>
        <sz val="9"/>
        <color indexed="18"/>
        <rFont val="Arial"/>
        <family val="2"/>
      </rPr>
      <t>(Students
living on
Base)</t>
    </r>
    <r>
      <rPr>
        <b/>
        <sz val="8"/>
        <color indexed="10"/>
        <rFont val="Arial"/>
        <family val="2"/>
      </rPr>
      <t xml:space="preserve">
</t>
    </r>
  </si>
  <si>
    <t>Total
Enrollment</t>
  </si>
  <si>
    <t xml:space="preserve">MFP State Share of Educational Cost </t>
  </si>
  <si>
    <r>
      <t xml:space="preserve">Local
Admin Fee
to the Dept. of Educaton
</t>
    </r>
    <r>
      <rPr>
        <sz val="8"/>
        <color indexed="18"/>
        <rFont val="Arial"/>
        <family val="2"/>
      </rPr>
      <t>(Students Not on Base)</t>
    </r>
  </si>
  <si>
    <t>(Students Not on Base)</t>
  </si>
  <si>
    <t>col 14 +
col 17</t>
  </si>
  <si>
    <t>col 20 ÷ 12</t>
  </si>
  <si>
    <r>
      <t xml:space="preserve">Monthly
Payments
Amount
July 2012
</t>
    </r>
    <r>
      <rPr>
        <sz val="10"/>
        <color indexed="18"/>
        <rFont val="Arial"/>
        <family val="2"/>
      </rPr>
      <t xml:space="preserve">
(Table 2, 
col. 28)</t>
    </r>
  </si>
  <si>
    <r>
      <t xml:space="preserve">July ONLY:
Local
Admin Fee
Payable 
to DOE
(.25%)
RSD Orleans
</t>
    </r>
    <r>
      <rPr>
        <sz val="10"/>
        <color indexed="18"/>
        <rFont val="Arial"/>
        <family val="2"/>
      </rPr>
      <t>(RSD Orleans
Allocation,
column 18)</t>
    </r>
  </si>
  <si>
    <t>FY2012-13
Total MFP
Distribution 
with
Adjustments
and
Stipends
(State Share
Levels 1, 2 &amp; 3 )</t>
  </si>
  <si>
    <t xml:space="preserve"> FY2012-13</t>
  </si>
  <si>
    <t>Column 2
FY2012-13
Total MFP
Distribution 
with
Adjustments
&amp; Stipends
(State Share
Levels 1, 2 &amp; 3)</t>
  </si>
  <si>
    <t>Table 2, col 30</t>
  </si>
  <si>
    <t>Column 3
FY2012-13
Net 
Allocation 
Difference</t>
  </si>
  <si>
    <t>Table 2A-1, 
col 28</t>
  </si>
  <si>
    <t>subtracted Istrouma from EBR</t>
  </si>
  <si>
    <t>Verification at LEA Level for city/parish District</t>
  </si>
  <si>
    <t>Difference is due to pay raise per pupil amounts for Legacy Type 2 charters</t>
  </si>
  <si>
    <t>Minus
State Share
Allocation
 for
Recovery 
School 
District</t>
  </si>
  <si>
    <t>Minus
State Share
Allocation
 for
Madison Prep
(CSAL)</t>
  </si>
  <si>
    <t>Minus
State Share
Allocation
 for
D'Arbonne Woods</t>
  </si>
  <si>
    <t>Minus
State Share
Allocation
 for
Int'l H.S.
(VIBE)</t>
  </si>
  <si>
    <t>Minus
State Share
Allocation
 for
N.O.
Military/
Maritime</t>
  </si>
  <si>
    <t>Minus
State Share
Allocation
 for
Lycee Francais</t>
  </si>
  <si>
    <t>Minus
State Share
Allocation
 for
Lake Charles Charter</t>
  </si>
  <si>
    <t>Minus
State Share
Allocation
 for
LAVCA</t>
  </si>
  <si>
    <t>Minus
State Share
Allocation
 for
LA Connections</t>
  </si>
  <si>
    <t>Minus
State Share
Allocation
for
New Vision Charter
(Legacy 
Type 2)</t>
  </si>
  <si>
    <t>Minus
State Share
Allocation
for
Glencoe Charter
(Legacy
Type 2)</t>
  </si>
  <si>
    <t>Minus
State Share
Allocation
for
International Charter
Legacy 
Type 2)</t>
  </si>
  <si>
    <t xml:space="preserve">Minus
State Share
Allocation
for
Avoyelles Charter
(Legacy
Type 2)
</t>
  </si>
  <si>
    <t xml:space="preserve">Minus
State Share
Allocation
for
Delhi 
Charter
(Legacy
Type 2)
</t>
  </si>
  <si>
    <t>Minus
State Share
Allocation
for
Milestone
Charter
(Legacy
Type 2)</t>
  </si>
  <si>
    <t>Minus
State Share
Allocation
for
The MAX
Charter
(Legacy
Type 2)</t>
  </si>
  <si>
    <t>Minus
State Share
Allocation
for
Belle Chasse
Charter
(Legacy
Type 2)</t>
  </si>
  <si>
    <t>Minus
State
Share
Allocation
for
LSDVI</t>
  </si>
  <si>
    <t>Minus
State
Share
Allocation
for
SSD</t>
  </si>
  <si>
    <t>Minus
State
Share
Allocation
for
Scholarship
Program</t>
  </si>
  <si>
    <t>FY2012-13
Total MFP
Allocation 
+/- Adjustments
minus
 State Share Allocation to 
other LEAs</t>
  </si>
  <si>
    <t>FY2012-13
Total MFP
Distribution 
+/- Adjustments
- State Share Allocation to other LEAs
+ Stipends</t>
  </si>
  <si>
    <t>Local Share Allocation due to
LSMSA
(Table 5A2
column 9)</t>
  </si>
  <si>
    <t>Local Share Allocation due to
NOCCA
(Table 5A3
column 9)</t>
  </si>
  <si>
    <t>Local Share Allocation due to
LSDVI
(Table 5A4
column 9)</t>
  </si>
  <si>
    <t>Local Share Allocation due to
SSD
(Table 5A5
column 9)</t>
  </si>
  <si>
    <t>Local Share Allocation
due to
RSD 
Orleans
(Table 5B1
col 9 + col 14)</t>
  </si>
  <si>
    <t>Local Share Allocation
due to
LAVCA
(Table 5C-2,
col 14 + col 17)</t>
  </si>
  <si>
    <t>Local Share Allocation
due to
LA 
Connections
(Table 5C-3,
col 14 + col 17)</t>
  </si>
  <si>
    <t>Local Sahre Allocation
due to
Office of
Juvenile
Justice
(Table 5E
column 15)</t>
  </si>
  <si>
    <r>
      <t xml:space="preserve">Local Share
Allocation
due  to 
Scholarship
Program
</t>
    </r>
    <r>
      <rPr>
        <sz val="10"/>
        <color indexed="18"/>
        <rFont val="Arial"/>
        <family val="2"/>
      </rPr>
      <t>(Maximum
Local Share
Allocation)</t>
    </r>
    <r>
      <rPr>
        <b/>
        <sz val="10"/>
        <color indexed="18"/>
        <rFont val="Arial"/>
        <family val="2"/>
      </rPr>
      <t xml:space="preserve">
</t>
    </r>
    <r>
      <rPr>
        <sz val="9"/>
        <color indexed="18"/>
        <rFont val="Arial"/>
        <family val="2"/>
      </rPr>
      <t>(Table 5F
column 14)</t>
    </r>
  </si>
  <si>
    <r>
      <rPr>
        <b/>
        <sz val="16"/>
        <color indexed="18"/>
        <rFont val="Arial"/>
        <family val="2"/>
      </rPr>
      <t>Total</t>
    </r>
    <r>
      <rPr>
        <b/>
        <sz val="10"/>
        <color indexed="18"/>
        <rFont val="Arial"/>
        <family val="2"/>
      </rPr>
      <t xml:space="preserve">
Local Share Allocation
 due to 
other
LEAs</t>
    </r>
  </si>
  <si>
    <r>
      <t xml:space="preserve">Total MFP
Payment
</t>
    </r>
    <r>
      <rPr>
        <sz val="10"/>
        <color indexed="18"/>
        <rFont val="Arial"/>
        <family val="2"/>
      </rPr>
      <t>Amount</t>
    </r>
    <r>
      <rPr>
        <b/>
        <sz val="10"/>
        <color indexed="18"/>
        <rFont val="Arial"/>
        <family val="2"/>
      </rPr>
      <t xml:space="preserve">
</t>
    </r>
    <r>
      <rPr>
        <b/>
        <sz val="10"/>
        <color indexed="16"/>
        <rFont val="Arial"/>
        <family val="2"/>
      </rPr>
      <t>minus</t>
    </r>
    <r>
      <rPr>
        <b/>
        <sz val="10"/>
        <color indexed="18"/>
        <rFont val="Arial"/>
        <family val="2"/>
      </rPr>
      <t xml:space="preserve">
Local Share Allocation 
due to 
other
LEAs</t>
    </r>
  </si>
  <si>
    <r>
      <t xml:space="preserve">Local Share Allocation
due to
RSD LA
</t>
    </r>
    <r>
      <rPr>
        <sz val="10"/>
        <color indexed="18"/>
        <rFont val="Arial"/>
        <family val="2"/>
      </rPr>
      <t>(Table 5B-2
column 22)</t>
    </r>
  </si>
  <si>
    <r>
      <t xml:space="preserve">
 Local Share Allocation 
due to
RSD 
Orleans
</t>
    </r>
    <r>
      <rPr>
        <sz val="10"/>
        <color indexed="18"/>
        <rFont val="Arial"/>
        <family val="2"/>
      </rPr>
      <t>(RSD Orleans Allocation,
column 22)</t>
    </r>
  </si>
  <si>
    <r>
      <t xml:space="preserve">Local Share Allocation
due to
LAVCA
</t>
    </r>
    <r>
      <rPr>
        <sz val="10"/>
        <color indexed="18"/>
        <rFont val="Arial"/>
        <family val="2"/>
      </rPr>
      <t>(Table 5C-2,
column 18)</t>
    </r>
  </si>
  <si>
    <r>
      <t xml:space="preserve">Local Share Allocation
due to
LA 
Connections
</t>
    </r>
    <r>
      <rPr>
        <sz val="10"/>
        <color indexed="18"/>
        <rFont val="Arial"/>
        <family val="2"/>
      </rPr>
      <t>(Table 5C-3,
column 18)</t>
    </r>
  </si>
  <si>
    <t xml:space="preserve">Local Share Allocation due monthly
 to 
Scholarship
Program
</t>
  </si>
  <si>
    <r>
      <t xml:space="preserve">Total MFP
Payment
</t>
    </r>
    <r>
      <rPr>
        <sz val="10"/>
        <color indexed="18"/>
        <rFont val="Arial"/>
        <family val="2"/>
      </rPr>
      <t>Amount</t>
    </r>
    <r>
      <rPr>
        <b/>
        <sz val="10"/>
        <color indexed="18"/>
        <rFont val="Arial"/>
        <family val="2"/>
      </rPr>
      <t xml:space="preserve">
</t>
    </r>
    <r>
      <rPr>
        <b/>
        <sz val="10"/>
        <color indexed="16"/>
        <rFont val="Arial"/>
        <family val="2"/>
      </rPr>
      <t>minus</t>
    </r>
    <r>
      <rPr>
        <b/>
        <sz val="10"/>
        <color indexed="18"/>
        <rFont val="Arial"/>
        <family val="2"/>
      </rPr>
      <t xml:space="preserve">
Local Share Allocation 
to RSD
and 
Type 2 
Charters</t>
    </r>
  </si>
  <si>
    <t>July  
2012
Payment
Amount</t>
  </si>
  <si>
    <t xml:space="preserve">
FY2012-13
Local
Share Allocation</t>
  </si>
  <si>
    <t>FY2012-13
Total MFP
Distribution 
with
Adjustments
and
Stipends
and
Local 
Share Allocation</t>
  </si>
  <si>
    <t>FY2011-12
Local 
Share Allocation
(July 2011)</t>
  </si>
  <si>
    <t>FY2011-12
Total MFP
Distribution 
with
Adjustments
and
Stipends
and
Local
Share Allocation</t>
  </si>
  <si>
    <t>Difference
Between
FY2012-13
and 
FY2011-12
Local
Share Allocation</t>
  </si>
  <si>
    <t>Total
Change
in Funding
including
Local
Share Allocation</t>
  </si>
  <si>
    <r>
      <rPr>
        <b/>
        <sz val="10"/>
        <color rgb="FF000066"/>
        <rFont val="Arial"/>
        <family val="2"/>
      </rPr>
      <t>City/Parish</t>
    </r>
    <r>
      <rPr>
        <b/>
        <sz val="10"/>
        <color indexed="18"/>
        <rFont val="Arial"/>
        <family val="2"/>
      </rPr>
      <t xml:space="preserve">
Pay Raise
Continuation
Per Pupil 
Amount
</t>
    </r>
  </si>
  <si>
    <t>Total
 Local  Share 
Allocation</t>
  </si>
  <si>
    <t>Total 
State
 and 
Local
 Share Allocation</t>
  </si>
  <si>
    <t>Total
 State 
and 
Local
Share
Monthly
Payment</t>
  </si>
  <si>
    <t>Total 
Local  Share 
Allocation</t>
  </si>
  <si>
    <t>Total 
State
 and 
Local
Share Allocation</t>
  </si>
  <si>
    <t>Local Share 
Allocation</t>
  </si>
  <si>
    <t xml:space="preserve">State
and 
Local
Share
Monthly
Payment
</t>
  </si>
  <si>
    <t>MFP
State 
Share
Allocation</t>
  </si>
  <si>
    <r>
      <t xml:space="preserve">Total 
FY2012-13
MFP 
State
Share
Allocation 
</t>
    </r>
    <r>
      <rPr>
        <b/>
        <sz val="10"/>
        <color indexed="60"/>
        <rFont val="Futura Lt BT"/>
        <family val="2"/>
      </rPr>
      <t>plus</t>
    </r>
    <r>
      <rPr>
        <b/>
        <sz val="10"/>
        <color indexed="18"/>
        <rFont val="Futura Lt BT"/>
        <family val="2"/>
      </rPr>
      <t xml:space="preserve">
Continuation 
of Prior
Year
Pay 
Raises</t>
    </r>
  </si>
  <si>
    <t xml:space="preserve">Total
Local 
Share
Allocation
</t>
  </si>
  <si>
    <t>Total 
Local
Share
Allocation
minus
Admin
Fee</t>
  </si>
  <si>
    <t>Total
Local 
Share
Allocation
minus 
Admin Fee
+/- Audit 
Adj.</t>
  </si>
  <si>
    <t xml:space="preserve">Local
Monthly
Payment
</t>
  </si>
  <si>
    <r>
      <t xml:space="preserve">Total 
FY2012-13
MFP
State
Share
Allocation 
</t>
    </r>
    <r>
      <rPr>
        <b/>
        <sz val="10"/>
        <color indexed="60"/>
        <rFont val="Futura Lt BT"/>
        <family val="2"/>
      </rPr>
      <t xml:space="preserve">plus </t>
    </r>
    <r>
      <rPr>
        <b/>
        <sz val="10"/>
        <color indexed="18"/>
        <rFont val="Futura Lt BT"/>
        <family val="2"/>
      </rPr>
      <t xml:space="preserve">Continuation
of Pay Raises
</t>
    </r>
    <r>
      <rPr>
        <b/>
        <sz val="10"/>
        <color indexed="60"/>
        <rFont val="Futura Lt BT"/>
        <family val="2"/>
      </rPr>
      <t xml:space="preserve">+/- </t>
    </r>
    <r>
      <rPr>
        <b/>
        <sz val="10"/>
        <color indexed="18"/>
        <rFont val="Futura Lt BT"/>
        <family val="2"/>
      </rPr>
      <t xml:space="preserve"> Audit  Adjustments</t>
    </r>
  </si>
  <si>
    <t>MFP
State
Share
Allocation</t>
  </si>
  <si>
    <r>
      <t xml:space="preserve">Total
MFP
State
Share
Allocation 
</t>
    </r>
    <r>
      <rPr>
        <b/>
        <sz val="10"/>
        <color indexed="60"/>
        <rFont val="Arial"/>
        <family val="2"/>
      </rPr>
      <t>plus</t>
    </r>
    <r>
      <rPr>
        <b/>
        <sz val="10"/>
        <color indexed="18"/>
        <rFont val="Arial"/>
        <family val="2"/>
      </rPr>
      <t xml:space="preserve">
Continuation 
of Pay Raises</t>
    </r>
  </si>
  <si>
    <r>
      <t xml:space="preserve">Total
MFP
State
Share
Allocation 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Contin. 
of Pay Raises
</t>
    </r>
    <r>
      <rPr>
        <b/>
        <sz val="10"/>
        <color indexed="60"/>
        <rFont val="Arial"/>
        <family val="2"/>
      </rPr>
      <t>-</t>
    </r>
    <r>
      <rPr>
        <b/>
        <sz val="10"/>
        <color indexed="18"/>
        <rFont val="Arial"/>
        <family val="2"/>
      </rPr>
      <t xml:space="preserve"> Admin Fee</t>
    </r>
  </si>
  <si>
    <r>
      <t xml:space="preserve">Total 
MFP
State
Share
Allocation 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Continuation
of Pay Raises
</t>
    </r>
    <r>
      <rPr>
        <b/>
        <sz val="10"/>
        <color indexed="60"/>
        <rFont val="Arial"/>
        <family val="2"/>
      </rPr>
      <t xml:space="preserve">- </t>
    </r>
    <r>
      <rPr>
        <b/>
        <sz val="10"/>
        <color indexed="18"/>
        <rFont val="Arial"/>
        <family val="2"/>
      </rPr>
      <t xml:space="preserve">Admin Fees
</t>
    </r>
    <r>
      <rPr>
        <b/>
        <sz val="10"/>
        <color indexed="60"/>
        <rFont val="Arial"/>
        <family val="2"/>
      </rPr>
      <t xml:space="preserve"> +/-</t>
    </r>
    <r>
      <rPr>
        <b/>
        <sz val="10"/>
        <color indexed="18"/>
        <rFont val="Arial"/>
        <family val="2"/>
      </rPr>
      <t xml:space="preserve"> Audit  Adjustments</t>
    </r>
  </si>
  <si>
    <t>Total
Local
Share
Allocation</t>
  </si>
  <si>
    <r>
      <t xml:space="preserve">Total
Local
Share
Allocation 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Contin. 
of Pay Raises
</t>
    </r>
    <r>
      <rPr>
        <b/>
        <sz val="10"/>
        <color indexed="60"/>
        <rFont val="Arial"/>
        <family val="2"/>
      </rPr>
      <t>-</t>
    </r>
    <r>
      <rPr>
        <b/>
        <sz val="10"/>
        <color indexed="18"/>
        <rFont val="Arial"/>
        <family val="2"/>
      </rPr>
      <t xml:space="preserve"> Admin Fee</t>
    </r>
  </si>
  <si>
    <r>
      <t xml:space="preserve">Total 
Local
Share
Allocation 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Continuation
of Pay Raises
</t>
    </r>
    <r>
      <rPr>
        <b/>
        <sz val="10"/>
        <color indexed="60"/>
        <rFont val="Arial"/>
        <family val="2"/>
      </rPr>
      <t xml:space="preserve">- </t>
    </r>
    <r>
      <rPr>
        <b/>
        <sz val="10"/>
        <color indexed="18"/>
        <rFont val="Arial"/>
        <family val="2"/>
      </rPr>
      <t xml:space="preserve">Admin Fees
</t>
    </r>
    <r>
      <rPr>
        <b/>
        <sz val="10"/>
        <color indexed="60"/>
        <rFont val="Arial"/>
        <family val="2"/>
      </rPr>
      <t xml:space="preserve"> +/-</t>
    </r>
    <r>
      <rPr>
        <b/>
        <sz val="10"/>
        <color indexed="18"/>
        <rFont val="Arial"/>
        <family val="2"/>
      </rPr>
      <t xml:space="preserve"> Audit  Adjustments</t>
    </r>
  </si>
  <si>
    <t xml:space="preserve">Total
State and
Local
Payment
</t>
  </si>
  <si>
    <t xml:space="preserve">Total
State and
Local
Monthly 
Payment
</t>
  </si>
  <si>
    <t>State
Share
Allocation</t>
  </si>
  <si>
    <t>Total
State Share Allocation
+ Prior Year
Pay Raises</t>
  </si>
  <si>
    <t>Total
State Share Allocation
+ Prior Year
Pay Raises
- Admin Fee</t>
  </si>
  <si>
    <t>Total 
State 
Share
Allocation 
minus Admin.
Fee 
+/- Audit
Adjustments</t>
  </si>
  <si>
    <t xml:space="preserve">State
Share
Monthly
Payment
</t>
  </si>
  <si>
    <t>Local 
Share 
Allocation</t>
  </si>
  <si>
    <t>Total 
Local
Share
Allocation 
minus Admin.
Fee 
+/- Audit
Adjustments</t>
  </si>
  <si>
    <t xml:space="preserve">Local 
Share
Monthly
Payment
</t>
  </si>
  <si>
    <t xml:space="preserve">Total 
State 
and 
Local
Share Payment
</t>
  </si>
  <si>
    <t>Total
State
Share
Monthly
Payment</t>
  </si>
  <si>
    <t>Total
Local
Share
Monthly
Payment</t>
  </si>
  <si>
    <t>State
Share
Monthly
Payment</t>
  </si>
  <si>
    <t>Local
Share
Monthly
Payment</t>
  </si>
  <si>
    <t>Total 
State 
Share
Allocation 
Plus
Continuation
of 
Prior Year
Pay
Raises</t>
  </si>
  <si>
    <t>Total 
State 
Share
Allocation 
minus Admin.
Fee</t>
  </si>
  <si>
    <t>Total
Local 
Share
Allocation
minus
Local 
Admin Fee</t>
  </si>
  <si>
    <t xml:space="preserve">Total
State and
Local
Share
Payment
</t>
  </si>
  <si>
    <t xml:space="preserve">Total
State and
Local
Share
Monthly 
Payment
</t>
  </si>
  <si>
    <t>State
Share
Monthly 
Payment</t>
  </si>
  <si>
    <t xml:space="preserve">Total 
State 
and
 Local 
Share
Payment
</t>
  </si>
  <si>
    <r>
      <t xml:space="preserve">Local 
Share
Allocation
</t>
    </r>
    <r>
      <rPr>
        <sz val="9"/>
        <color indexed="18"/>
        <rFont val="Arial"/>
        <family val="2"/>
      </rPr>
      <t>(Does not include students living on Base)</t>
    </r>
  </si>
  <si>
    <r>
      <t xml:space="preserve">Local 
Share 
Allocation
</t>
    </r>
    <r>
      <rPr>
        <sz val="9"/>
        <color indexed="18"/>
        <rFont val="Arial"/>
        <family val="2"/>
      </rPr>
      <t>(Students
Living on
Base)</t>
    </r>
  </si>
  <si>
    <t xml:space="preserve">Total 
State 
and 
Local 
Share
Payment
</t>
  </si>
  <si>
    <t>Total 
Local
Share
Allocation 
+/- Audit
Adjustments</t>
  </si>
  <si>
    <t>Maximum
State
Share
Allocation
Available</t>
  </si>
  <si>
    <t xml:space="preserve">
Maximum
Local
Share
Allocation
Available</t>
  </si>
  <si>
    <t>Maximum
State
and 
Local
Share
Allocation
Available</t>
  </si>
  <si>
    <t>Local 
Share
Allocation</t>
  </si>
  <si>
    <t>Estimated
Difference
in
Total
State Share Allocation
minus
Actual
Tuition</t>
  </si>
  <si>
    <t>Estimated
Difference
in
Local Share
Allocation
minus
Actual
Tuition</t>
  </si>
  <si>
    <t>Estimated
Total 
State and
Local
Share
Allocation
Refund</t>
  </si>
  <si>
    <t xml:space="preserve">Local 
Share
Allocation
Monthly
Payment
</t>
  </si>
  <si>
    <t>MFP  
State
Share
Allocation</t>
  </si>
  <si>
    <t xml:space="preserve">Monthly Payment </t>
  </si>
  <si>
    <t>Total MFP State Share
Allocation Plus 
Continuation of 
Prior Year
Pay 
Raises</t>
  </si>
  <si>
    <t>Total
FY2012-13
MFP State Share 
Allocation 
Plus Continuation of Pay Raises 
Minus Audit Adjustments</t>
  </si>
  <si>
    <r>
      <t>FY2012-13
Levels 1, 2 &amp; 3
STATE SHARE
OF COST
Per Pupil</t>
    </r>
    <r>
      <rPr>
        <b/>
        <sz val="12"/>
        <color indexed="18"/>
        <rFont val="Arial"/>
        <family val="2"/>
      </rPr>
      <t xml:space="preserve">*
</t>
    </r>
    <r>
      <rPr>
        <sz val="9"/>
        <color indexed="18"/>
        <rFont val="Arial"/>
        <family val="2"/>
      </rPr>
      <t>Without Pay Raise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(Table 3, Col. 29)</t>
    </r>
  </si>
  <si>
    <r>
      <t xml:space="preserve">Total Audit 
Adjustments
</t>
    </r>
    <r>
      <rPr>
        <sz val="10"/>
        <color indexed="18"/>
        <rFont val="Arial"/>
        <family val="2"/>
      </rPr>
      <t>(For City/Parish LEAs only)</t>
    </r>
  </si>
  <si>
    <r>
      <t xml:space="preserve">
Total MFP
Distribution 
Amount minus 
Audit Adjustments and State Share Allocation
July 2012
</t>
    </r>
    <r>
      <rPr>
        <sz val="10"/>
        <color indexed="18"/>
        <rFont val="Arial"/>
        <family val="2"/>
      </rPr>
      <t xml:space="preserve">
(Table 2, col. 30)</t>
    </r>
  </si>
  <si>
    <t xml:space="preserve">
State 
Share
Allocation 
</t>
  </si>
  <si>
    <t xml:space="preserve">Total
State
Share
Allocation
Plus
Pay Raise
Continuation
</t>
  </si>
  <si>
    <t>State Share
Allocation 
for OJJ
Secure Care
Students</t>
  </si>
  <si>
    <t>Local Share 
Allocation
 for OJJ 
Secure Care
Students</t>
  </si>
  <si>
    <t>Total State and Local Share
Allocation
 for OJJ 
Secure
Care
Students</t>
  </si>
  <si>
    <r>
      <t xml:space="preserve">Feb. 1, 2012
MFP Funded
Membership
(Per SIS)
</t>
    </r>
    <r>
      <rPr>
        <sz val="8"/>
        <color indexed="18"/>
        <rFont val="Arial"/>
        <family val="2"/>
      </rPr>
      <t>(Includes  Recovery 
School District,
Type 5 Charters,
 Type 2 Charters
 (Not 1st Year),  
  SSD &amp; LSDVI)</t>
    </r>
  </si>
  <si>
    <t>This Table provides the State's funding to the RSD.  The RSD distributes funds to the Type 5 Charter Schools in Orleans Parish using the RSD's Differentiated Funding Formula for Special Education Students.  Refer to correspondence from the RSD for individual school allocations.</t>
  </si>
  <si>
    <t>Number of 
First Year
Foreign Associate
Teachers in
FY2011-12*</t>
  </si>
  <si>
    <t>Number of 
Second and 
Third Year
Foreign Associate
Teachers in
FY2011-12*</t>
  </si>
  <si>
    <r>
      <t xml:space="preserve">Continuation 
of
 Prior Year 
Pay Raises *
</t>
    </r>
    <r>
      <rPr>
        <sz val="9"/>
        <color indexed="18"/>
        <rFont val="Arial"/>
        <family val="2"/>
      </rPr>
      <t>(Includes Type 5 Charters,
Type 2 Charters, Not 1st Year,
LSDVI, and SSD)</t>
    </r>
  </si>
  <si>
    <t xml:space="preserve">     * See Recovery School District Allocation, Type 2 Allocations, 
        and LSDVI and SSD Allocations</t>
  </si>
  <si>
    <t>Attachment 2</t>
  </si>
  <si>
    <t>Local Share Allocation
due to
RSD LA
(Table 5B2
col 15 + col 20)</t>
  </si>
  <si>
    <t>Local Share Allocation 
due to
Madison 
Prep
(CSAL)
(Table 5C1A,
col 13 + col 16)</t>
  </si>
  <si>
    <t>Local Share Allocation
due to
D'Arbonne
Woods
(Table 5C1B,
col 13 + col 16)</t>
  </si>
  <si>
    <t>Local Share Allocation
due to
Int'l H. S.
(VIBE)
(Table 5C1C,
col 13 + col 16)</t>
  </si>
  <si>
    <t>Local Share Allocation
due to
N.O.
Military/
Maritime
(Table 5C1D,
col 13 + col 16)</t>
  </si>
  <si>
    <t>Local Share Allocation
due to
Lycee
Francais
(Table 5C1E,
col 13 + col 16)</t>
  </si>
  <si>
    <t>Local Share Allocation
due to
Lake 
Charles Academy
(Table 5C1F,
col 13 + col 16)</t>
  </si>
  <si>
    <t>Local Share Allocation
due to
J. S. Clark
Leader-
ship
Academy
(Table 5C1G,
col 13 + col 16)</t>
  </si>
  <si>
    <t>Local Share Allocation
due to
Southwest
LA
Charter
(Table 5C1H,
col 13 + col 16)</t>
  </si>
  <si>
    <t>Local Share Allocation
due to
New Vision
Charter
(Legacy
Type 2)
(Table 5D1
col 12 + col 15)</t>
  </si>
  <si>
    <t>Local Share Allocation
due to
Glencoe
Charter
(Legacy
Type 2)
(Table 5D2
col 12 + col 15)</t>
  </si>
  <si>
    <t>Local Share Allocation
due to
International 
Charter
(Legacy
Type 2)
(Table 5D3
col 12 + col 15)</t>
  </si>
  <si>
    <t>Local Share Allocation
due to
Avoyelles
Charter
(Legacy
Type 2)
(Table 5D4
col 12 + col 15)</t>
  </si>
  <si>
    <t>Local Share Allocation 
due to
Delhi
Charter
(Legacy
Type 2)
(Table 5D5
col 12 + col 15)</t>
  </si>
  <si>
    <t>Local Share Allocation
due to
Milestone
Charter
(Legacy
Type 2)
(Table 5D6
col 12 + col 15)</t>
  </si>
  <si>
    <t>Local Share Allocation
due to
The MAX
Charter
(Legacy
Type 2)
(Table 5D7
col 12 + col 15)</t>
  </si>
  <si>
    <t>Local Share Allocation
due to
Belle Chasse
Charter
(Legacy
Type 2)
(Table 5D8
col 14 + col 19)</t>
  </si>
  <si>
    <r>
      <t xml:space="preserve">Local Share Allocation 
due to
Madison 
Prep
(CSAL)
</t>
    </r>
    <r>
      <rPr>
        <sz val="10"/>
        <color indexed="18"/>
        <rFont val="Arial"/>
        <family val="2"/>
      </rPr>
      <t>(Table 5C1A,
column 18)</t>
    </r>
  </si>
  <si>
    <r>
      <t xml:space="preserve">Local Share Allocation 
due to
D'Arbonne
Woods
</t>
    </r>
    <r>
      <rPr>
        <sz val="10"/>
        <color indexed="18"/>
        <rFont val="Arial"/>
        <family val="2"/>
      </rPr>
      <t>(Table 5C1B,
column 18)</t>
    </r>
  </si>
  <si>
    <r>
      <t xml:space="preserve">Local Share Allocation
due to
Int'l H. S.
(VIBE)
</t>
    </r>
    <r>
      <rPr>
        <sz val="10"/>
        <color indexed="18"/>
        <rFont val="Arial"/>
        <family val="2"/>
      </rPr>
      <t>(Table 5C1C,
column 18)</t>
    </r>
  </si>
  <si>
    <r>
      <t xml:space="preserve">Local Share Allocation 
due to
N.O.
Military/
Maritime
</t>
    </r>
    <r>
      <rPr>
        <sz val="10"/>
        <color indexed="18"/>
        <rFont val="Arial"/>
        <family val="2"/>
      </rPr>
      <t>(Table 5C1D,
column 18)</t>
    </r>
  </si>
  <si>
    <r>
      <t xml:space="preserve">Local Share Allocation
due to
Lycee
Francais
</t>
    </r>
    <r>
      <rPr>
        <sz val="10"/>
        <color indexed="18"/>
        <rFont val="Arial"/>
        <family val="2"/>
      </rPr>
      <t>(Table 5C1E,
column 18)</t>
    </r>
  </si>
  <si>
    <r>
      <t xml:space="preserve">Local Share Allocation
due to
Lake Charles Academy
</t>
    </r>
    <r>
      <rPr>
        <sz val="10"/>
        <color indexed="18"/>
        <rFont val="Arial"/>
        <family val="2"/>
      </rPr>
      <t>(Table 5C1F,
column 18)</t>
    </r>
  </si>
  <si>
    <r>
      <t xml:space="preserve">Local Share Allocation
due to
J. S. Clark
Leadership
Academy
</t>
    </r>
    <r>
      <rPr>
        <sz val="10"/>
        <color indexed="18"/>
        <rFont val="Arial"/>
        <family val="2"/>
      </rPr>
      <t>(Table 5C1G,
column 18)</t>
    </r>
  </si>
  <si>
    <r>
      <t xml:space="preserve">Local Share Allocation
due to
Southwest
LA
Charter
</t>
    </r>
    <r>
      <rPr>
        <sz val="10"/>
        <color indexed="18"/>
        <rFont val="Arial"/>
        <family val="2"/>
      </rPr>
      <t>(Table 5C1H,
column 18)</t>
    </r>
  </si>
  <si>
    <r>
      <t xml:space="preserve">Local Share Allocation
due to
New Vision
Charter
(Legacy
Type 2)
</t>
    </r>
    <r>
      <rPr>
        <sz val="9"/>
        <color indexed="18"/>
        <rFont val="Arial"/>
        <family val="2"/>
      </rPr>
      <t>(Table 5D1
col 17)</t>
    </r>
  </si>
  <si>
    <r>
      <t xml:space="preserve">Local Share Allocation
due to
Glencoe
Charter
(Legacy
Type 2)
</t>
    </r>
    <r>
      <rPr>
        <sz val="9"/>
        <color indexed="18"/>
        <rFont val="Arial"/>
        <family val="2"/>
      </rPr>
      <t>(Table 5D2
col 17</t>
    </r>
    <r>
      <rPr>
        <sz val="10"/>
        <color indexed="18"/>
        <rFont val="Arial"/>
        <family val="2"/>
      </rPr>
      <t>)</t>
    </r>
  </si>
  <si>
    <r>
      <t xml:space="preserve">Local Share Allocation 
due to
International 
Charter
(Legacy
Type 2)
</t>
    </r>
    <r>
      <rPr>
        <sz val="9"/>
        <color indexed="18"/>
        <rFont val="Arial"/>
        <family val="2"/>
      </rPr>
      <t>(Table 5D3
 col 17)</t>
    </r>
  </si>
  <si>
    <r>
      <t xml:space="preserve">Local Share Allocation
due to
Avoyelles
Charter
(Legacy
Type 2)
</t>
    </r>
    <r>
      <rPr>
        <sz val="9"/>
        <color indexed="18"/>
        <rFont val="Arial"/>
        <family val="2"/>
      </rPr>
      <t>(Table 5D4
 col 17)</t>
    </r>
  </si>
  <si>
    <r>
      <t xml:space="preserve">Local Share Allocation
due to
Delhi
Charter
(Legacy
Type 2)
</t>
    </r>
    <r>
      <rPr>
        <b/>
        <sz val="9"/>
        <color indexed="18"/>
        <rFont val="Arial"/>
        <family val="2"/>
      </rPr>
      <t xml:space="preserve">
</t>
    </r>
    <r>
      <rPr>
        <sz val="9"/>
        <color indexed="18"/>
        <rFont val="Arial"/>
        <family val="2"/>
      </rPr>
      <t>(Table 5D5
 col 17)</t>
    </r>
  </si>
  <si>
    <r>
      <t xml:space="preserve">Local Share Allocation
due to
Milestone
Charter
(Legacy
Type 2)
</t>
    </r>
    <r>
      <rPr>
        <sz val="9"/>
        <color indexed="18"/>
        <rFont val="Arial"/>
        <family val="2"/>
      </rPr>
      <t>(Table 5D6
 col 17))</t>
    </r>
  </si>
  <si>
    <r>
      <t xml:space="preserve">Local Share Allocation
due to
The MAX
Charter
(Legacy
Type 2)
</t>
    </r>
    <r>
      <rPr>
        <sz val="9"/>
        <color indexed="18"/>
        <rFont val="Arial"/>
        <family val="2"/>
      </rPr>
      <t>(Table 5D7
 col 17)</t>
    </r>
  </si>
  <si>
    <r>
      <t xml:space="preserve">Local Share Allocation
due to
Belle Chasse
Charter
(Legacy
Type 2)
</t>
    </r>
    <r>
      <rPr>
        <sz val="9"/>
        <color indexed="18"/>
        <rFont val="Arial"/>
        <family val="2"/>
      </rPr>
      <t>(Table 5D8
 col 21)</t>
    </r>
  </si>
  <si>
    <r>
      <t xml:space="preserve">Local Share Allocation due monthly
 to the
Office of
Juvenile
Justice
</t>
    </r>
    <r>
      <rPr>
        <sz val="10"/>
        <color indexed="18"/>
        <rFont val="Arial"/>
        <family val="2"/>
      </rPr>
      <t>(Table 5E
column 16)</t>
    </r>
  </si>
  <si>
    <r>
      <t xml:space="preserve">Local Share Allocation due monthly
 to 
NOCCA
</t>
    </r>
    <r>
      <rPr>
        <sz val="10"/>
        <color indexed="18"/>
        <rFont val="Arial"/>
        <family val="2"/>
      </rPr>
      <t>(Table 5A3
column 10)</t>
    </r>
  </si>
  <si>
    <r>
      <t xml:space="preserve">Local Share Allocation due monthly
 to 
LSMSA
</t>
    </r>
    <r>
      <rPr>
        <sz val="10"/>
        <color indexed="18"/>
        <rFont val="Arial"/>
        <family val="2"/>
      </rPr>
      <t>(Table 5A2
column 10)</t>
    </r>
  </si>
  <si>
    <r>
      <t xml:space="preserve">Local Share Allocation due monthly
 to 
LSDVI
</t>
    </r>
    <r>
      <rPr>
        <sz val="10"/>
        <color indexed="18"/>
        <rFont val="Arial"/>
        <family val="2"/>
      </rPr>
      <t>(Table 5A4
column 10)</t>
    </r>
  </si>
  <si>
    <r>
      <t xml:space="preserve">Local Share Allocation due monthly
 to 
SSD
</t>
    </r>
    <r>
      <rPr>
        <sz val="10"/>
        <color indexed="18"/>
        <rFont val="Arial"/>
        <family val="2"/>
      </rPr>
      <t>(Table 5A5
column 10)</t>
    </r>
  </si>
  <si>
    <r>
      <t xml:space="preserve">July ONLY:
Local
Admin 
Fee
Payable 
to DOE
(.25%)
Madison 
Prep
</t>
    </r>
    <r>
      <rPr>
        <sz val="10"/>
        <color indexed="18"/>
        <rFont val="Arial"/>
        <family val="2"/>
      </rPr>
      <t>(Table 5C1A
column 14)</t>
    </r>
  </si>
  <si>
    <r>
      <t xml:space="preserve">July ONLY:
Local
Admin Fee
Payable 
to DOE
(.25%)
D'Arbonne
Woods
</t>
    </r>
    <r>
      <rPr>
        <sz val="10"/>
        <color indexed="18"/>
        <rFont val="Arial"/>
        <family val="2"/>
      </rPr>
      <t>(Table 5C1B,
column 14)</t>
    </r>
  </si>
  <si>
    <r>
      <t xml:space="preserve">July ONLY:
Local
Admin 
Fee
Payable 
to DOE
(.25%)
Int'l H. S.
</t>
    </r>
    <r>
      <rPr>
        <sz val="10"/>
        <color indexed="18"/>
        <rFont val="Arial"/>
        <family val="2"/>
      </rPr>
      <t>(Table 5C1C,
column 14</t>
    </r>
  </si>
  <si>
    <r>
      <t xml:space="preserve">July ONLY:
Local
Admin 
Fee
Payable 
to DOE
(.25%)
N.O.
Military
</t>
    </r>
    <r>
      <rPr>
        <sz val="10"/>
        <color indexed="18"/>
        <rFont val="Arial"/>
        <family val="2"/>
      </rPr>
      <t>(Table 5C1D
column 14</t>
    </r>
  </si>
  <si>
    <r>
      <t xml:space="preserve">July ONLY:
Local
Admin 
Fee
Payable 
to DOE
(.25%)
Lycee Francais
</t>
    </r>
    <r>
      <rPr>
        <sz val="10"/>
        <color indexed="18"/>
        <rFont val="Arial"/>
        <family val="2"/>
      </rPr>
      <t>(Table 5C1E
column 14</t>
    </r>
  </si>
  <si>
    <r>
      <t xml:space="preserve">July ONLY:
Local
Admin 
Fee
Payable 
to DOE
(.25%)
Lake Charles
Academy
</t>
    </r>
    <r>
      <rPr>
        <sz val="10"/>
        <color indexed="18"/>
        <rFont val="Arial"/>
        <family val="2"/>
      </rPr>
      <t>(Table 5C1F,
column 14</t>
    </r>
  </si>
  <si>
    <r>
      <t xml:space="preserve">July ONLY:
Local
Admin 
Fee
Payable 
to DOE
(.25%)
Clark
Leadership
</t>
    </r>
    <r>
      <rPr>
        <sz val="10"/>
        <color indexed="18"/>
        <rFont val="Arial"/>
        <family val="2"/>
      </rPr>
      <t>(Table 5C1G,
column 14</t>
    </r>
  </si>
  <si>
    <r>
      <t xml:space="preserve">July ONLY:
Local
Admin 
Fee
Payable 
to DOE
(.25%)
Southwest
LA Charter
</t>
    </r>
    <r>
      <rPr>
        <sz val="10"/>
        <color indexed="18"/>
        <rFont val="Arial"/>
        <family val="2"/>
      </rPr>
      <t>(Table 5C1H,
column 14</t>
    </r>
  </si>
  <si>
    <r>
      <t xml:space="preserve">July ONLY:
Local Admin
 Fee Payable 
to DOE
(.25%)
New Vision
Charter
(Legacy
Type 2)
</t>
    </r>
    <r>
      <rPr>
        <sz val="9"/>
        <color indexed="18"/>
        <rFont val="Arial"/>
        <family val="2"/>
      </rPr>
      <t>(Table 5D1
col 13)</t>
    </r>
  </si>
  <si>
    <r>
      <t xml:space="preserve">July ONLY:
Local Admin
 Fee Payable 
to DOE
(.25%)
Glencoe
Charter
(Legacy
Type 2)
</t>
    </r>
    <r>
      <rPr>
        <sz val="9"/>
        <color indexed="18"/>
        <rFont val="Arial"/>
        <family val="2"/>
      </rPr>
      <t>(Table 5D2
col 13</t>
    </r>
    <r>
      <rPr>
        <sz val="10"/>
        <color indexed="18"/>
        <rFont val="Arial"/>
        <family val="2"/>
      </rPr>
      <t>)</t>
    </r>
  </si>
  <si>
    <r>
      <t xml:space="preserve">July ONLY:
Local Admin
 Fee Payable 
to DOE
(.25%)
International 
Charter
(Legacy
Type 2)
</t>
    </r>
    <r>
      <rPr>
        <sz val="9"/>
        <color indexed="18"/>
        <rFont val="Arial"/>
        <family val="2"/>
      </rPr>
      <t>(Table 5D3
 col 13)</t>
    </r>
  </si>
  <si>
    <r>
      <t xml:space="preserve">July ONLY:
Local Admin
 Fee Payable 
to DOE
(.25%)
Avoyelles
Charter
(Legacy
Type 2)
</t>
    </r>
    <r>
      <rPr>
        <sz val="9"/>
        <color indexed="18"/>
        <rFont val="Arial"/>
        <family val="2"/>
      </rPr>
      <t>(Table 5D4
 col 13)</t>
    </r>
  </si>
  <si>
    <r>
      <t xml:space="preserve">July ONLY:
Local Admin
 Fee Payable 
to DOE
(.25%)
Delhi
Charter
(Legacy
Type 2)
</t>
    </r>
    <r>
      <rPr>
        <b/>
        <sz val="9"/>
        <color indexed="18"/>
        <rFont val="Arial"/>
        <family val="2"/>
      </rPr>
      <t xml:space="preserve">
</t>
    </r>
    <r>
      <rPr>
        <sz val="9"/>
        <color indexed="18"/>
        <rFont val="Arial"/>
        <family val="2"/>
      </rPr>
      <t>(Table 5D5
 col 13)</t>
    </r>
  </si>
  <si>
    <r>
      <t xml:space="preserve">July ONLY:
Local Admin
 Fee Payable 
to DOE
(.25%)
Milestone
Charter
(Legacy
Type 2)
</t>
    </r>
    <r>
      <rPr>
        <sz val="9"/>
        <color indexed="18"/>
        <rFont val="Arial"/>
        <family val="2"/>
      </rPr>
      <t>(Table 5D6
 col 13))</t>
    </r>
  </si>
  <si>
    <r>
      <t xml:space="preserve">July ONLY:
Local Admin
 Fee Payable 
to DOE
(.25%)
The MAX
Charter
(Legacy
Type 2)
</t>
    </r>
    <r>
      <rPr>
        <sz val="9"/>
        <color indexed="18"/>
        <rFont val="Arial"/>
        <family val="2"/>
      </rPr>
      <t>(Table 5D7
 col 13)</t>
    </r>
  </si>
  <si>
    <r>
      <t xml:space="preserve">July ONLY:
Local Admin
 Fee Payable 
to DOE
(.25%)
Belle Chasse
Charter
(Legacy
Type 2)
</t>
    </r>
    <r>
      <rPr>
        <sz val="9"/>
        <color indexed="18"/>
        <rFont val="Arial"/>
        <family val="2"/>
      </rPr>
      <t>(Table 5D8
 col 17)</t>
    </r>
  </si>
</sst>
</file>

<file path=xl/styles.xml><?xml version="1.0" encoding="utf-8"?>
<styleSheet xmlns="http://schemas.openxmlformats.org/spreadsheetml/2006/main">
  <numFmts count="1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&quot;$&quot;#,##0.00"/>
    <numFmt numFmtId="171" formatCode="0_);[Red]\(0\)"/>
    <numFmt numFmtId="172" formatCode="#,##0.0"/>
    <numFmt numFmtId="173" formatCode="dd\-mmm\-yy"/>
  </numFmts>
  <fonts count="14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8"/>
      <name val="Arial Narrow"/>
      <family val="2"/>
    </font>
    <font>
      <sz val="12"/>
      <name val="Arial Narrow"/>
      <family val="2"/>
    </font>
    <font>
      <b/>
      <sz val="18"/>
      <name val="Arial Narrow"/>
      <family val="2"/>
    </font>
    <font>
      <b/>
      <i/>
      <sz val="18"/>
      <name val="Arial Narrow"/>
      <family val="2"/>
    </font>
    <font>
      <sz val="8"/>
      <name val="Arial"/>
      <family val="2"/>
    </font>
    <font>
      <b/>
      <sz val="20"/>
      <color indexed="20"/>
      <name val="Arial Narrow"/>
      <family val="2"/>
    </font>
    <font>
      <b/>
      <sz val="12"/>
      <color indexed="62"/>
      <name val="Arial Narrow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i/>
      <sz val="10"/>
      <color indexed="18"/>
      <name val="Arial Narrow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0"/>
      <name val="Arial"/>
      <family val="2"/>
    </font>
    <font>
      <b/>
      <sz val="16"/>
      <color indexed="20"/>
      <name val="Arial Narrow"/>
      <family val="2"/>
    </font>
    <font>
      <sz val="10"/>
      <color indexed="20"/>
      <name val="Arial Narrow"/>
      <family val="2"/>
    </font>
    <font>
      <b/>
      <i/>
      <sz val="16"/>
      <name val="Arial"/>
      <family val="2"/>
    </font>
    <font>
      <b/>
      <i/>
      <sz val="20"/>
      <name val="Arial"/>
      <family val="2"/>
    </font>
    <font>
      <b/>
      <sz val="12"/>
      <color indexed="12"/>
      <name val="CG Omega (PCL6)"/>
      <family val="2"/>
    </font>
    <font>
      <b/>
      <i/>
      <sz val="10"/>
      <color indexed="12"/>
      <name val="Arial"/>
      <family val="2"/>
    </font>
    <font>
      <b/>
      <i/>
      <sz val="21"/>
      <name val="Arial"/>
      <family val="2"/>
    </font>
    <font>
      <b/>
      <sz val="10"/>
      <color indexed="20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9"/>
      <color indexed="8"/>
      <name val="Arial Narrow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b/>
      <sz val="16"/>
      <color indexed="10"/>
      <name val="Arial"/>
      <family val="2"/>
    </font>
    <font>
      <b/>
      <sz val="10"/>
      <name val="Arial Narrow"/>
      <family val="2"/>
    </font>
    <font>
      <b/>
      <sz val="10"/>
      <color indexed="62"/>
      <name val="Arial"/>
      <family val="2"/>
    </font>
    <font>
      <b/>
      <sz val="24"/>
      <name val="Arial Narrow"/>
      <family val="2"/>
    </font>
    <font>
      <sz val="10"/>
      <name val="CG Times"/>
      <family val="1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color indexed="20"/>
      <name val="Arial Narrow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8"/>
      <name val="Arial"/>
      <family val="2"/>
    </font>
    <font>
      <b/>
      <sz val="14"/>
      <color indexed="10"/>
      <name val="Arial"/>
      <family val="2"/>
    </font>
    <font>
      <b/>
      <sz val="11"/>
      <name val="Arial Narrow"/>
      <family val="2"/>
    </font>
    <font>
      <b/>
      <sz val="10"/>
      <color indexed="18"/>
      <name val="Arial Narrow"/>
      <family val="2"/>
    </font>
    <font>
      <b/>
      <sz val="14"/>
      <color indexed="18"/>
      <name val="Arial Narrow"/>
      <family val="2"/>
    </font>
    <font>
      <b/>
      <sz val="14"/>
      <color indexed="10"/>
      <name val="Arial Narrow"/>
      <family val="2"/>
    </font>
    <font>
      <sz val="10"/>
      <color indexed="12"/>
      <name val="Arial"/>
      <family val="2"/>
    </font>
    <font>
      <sz val="16"/>
      <color indexed="10"/>
      <name val="Arial"/>
      <family val="2"/>
    </font>
    <font>
      <sz val="12"/>
      <name val="Arial"/>
      <family val="2"/>
    </font>
    <font>
      <b/>
      <sz val="22"/>
      <name val="Arial Narrow"/>
      <family val="2"/>
    </font>
    <font>
      <b/>
      <sz val="10"/>
      <color indexed="17"/>
      <name val="Arial"/>
      <family val="2"/>
    </font>
    <font>
      <b/>
      <sz val="10.5"/>
      <name val="Futura Lt BT"/>
      <family val="2"/>
    </font>
    <font>
      <b/>
      <sz val="10"/>
      <name val="Arial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b/>
      <sz val="12"/>
      <color indexed="20"/>
      <name val="Arial"/>
      <family val="2"/>
    </font>
    <font>
      <i/>
      <sz val="10"/>
      <name val="Arial"/>
      <family val="2"/>
    </font>
    <font>
      <b/>
      <sz val="8"/>
      <color indexed="10"/>
      <name val="Arial"/>
      <family val="2"/>
    </font>
    <font>
      <sz val="11"/>
      <name val="Arial"/>
      <family val="2"/>
    </font>
    <font>
      <b/>
      <sz val="14"/>
      <name val="Futura Lt BT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color indexed="22"/>
      <name val="Arial"/>
      <family val="2"/>
    </font>
    <font>
      <sz val="12"/>
      <name val="Futura Lt BT"/>
      <family val="2"/>
    </font>
    <font>
      <b/>
      <sz val="11"/>
      <name val="Arial"/>
      <family val="2"/>
    </font>
    <font>
      <b/>
      <sz val="10"/>
      <color indexed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color indexed="18"/>
      <name val="Arial"/>
      <family val="2"/>
    </font>
    <font>
      <sz val="11"/>
      <name val="Futura Lt BT"/>
      <family val="2"/>
    </font>
    <font>
      <sz val="10"/>
      <name val="Arial"/>
      <family val="2"/>
    </font>
    <font>
      <sz val="10"/>
      <name val="Futura Lt BT"/>
      <family val="2"/>
    </font>
    <font>
      <b/>
      <sz val="11"/>
      <color indexed="18"/>
      <name val="Arial"/>
      <family val="2"/>
    </font>
    <font>
      <b/>
      <sz val="12"/>
      <name val="Futura Lt BT"/>
      <family val="2"/>
    </font>
    <font>
      <b/>
      <sz val="9"/>
      <name val="Futura Lt BT"/>
      <family val="2"/>
    </font>
    <font>
      <b/>
      <sz val="10"/>
      <name val="Futura Lt BT"/>
      <family val="2"/>
    </font>
    <font>
      <sz val="10"/>
      <name val="Albertus Xb (W1)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b/>
      <sz val="10"/>
      <color indexed="60"/>
      <name val="Arial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b/>
      <sz val="14"/>
      <color indexed="18"/>
      <name val="Arial"/>
      <family val="2"/>
    </font>
    <font>
      <b/>
      <sz val="16"/>
      <color indexed="18"/>
      <name val="Arial"/>
      <family val="2"/>
    </font>
    <font>
      <b/>
      <sz val="9"/>
      <name val="Arial"/>
      <family val="2"/>
    </font>
    <font>
      <b/>
      <sz val="10"/>
      <color rgb="FF000082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8"/>
      <color indexed="18"/>
      <name val="Arial"/>
      <family val="2"/>
    </font>
    <font>
      <b/>
      <sz val="9"/>
      <color indexed="20"/>
      <name val="Arial"/>
      <family val="2"/>
    </font>
    <font>
      <b/>
      <sz val="8"/>
      <name val="Arial"/>
      <family val="2"/>
    </font>
    <font>
      <sz val="9"/>
      <color indexed="18"/>
      <name val="Arial"/>
      <family val="2"/>
    </font>
    <font>
      <b/>
      <u/>
      <sz val="10"/>
      <color indexed="18"/>
      <name val="Arial"/>
      <family val="2"/>
    </font>
    <font>
      <sz val="10"/>
      <color indexed="20"/>
      <name val="Arial"/>
      <family val="2"/>
    </font>
    <font>
      <b/>
      <sz val="14"/>
      <color rgb="FF000066"/>
      <name val="Arial"/>
      <family val="2"/>
    </font>
    <font>
      <sz val="14"/>
      <name val="Arial"/>
      <family val="2"/>
    </font>
    <font>
      <b/>
      <sz val="14"/>
      <color indexed="20"/>
      <name val="Arial"/>
      <family val="2"/>
    </font>
    <font>
      <sz val="14"/>
      <color theme="1"/>
      <name val="Arial"/>
      <family val="2"/>
    </font>
    <font>
      <b/>
      <sz val="13"/>
      <color indexed="18"/>
      <name val="Arial"/>
      <family val="2"/>
    </font>
    <font>
      <i/>
      <sz val="9"/>
      <color indexed="8"/>
      <name val="Calibri"/>
      <family val="2"/>
    </font>
    <font>
      <b/>
      <sz val="10"/>
      <color indexed="8"/>
      <name val="Arial"/>
      <family val="2"/>
    </font>
    <font>
      <sz val="11"/>
      <color rgb="FFFF0000"/>
      <name val="Futura Lt BT"/>
      <family val="2"/>
    </font>
    <font>
      <sz val="12"/>
      <color rgb="FFFF0000"/>
      <name val="Futura Lt BT"/>
      <family val="2"/>
    </font>
    <font>
      <sz val="10"/>
      <color indexed="8"/>
      <name val="Arial"/>
      <family val="2"/>
    </font>
    <font>
      <b/>
      <sz val="10"/>
      <color rgb="FF000066"/>
      <name val="Arial"/>
      <family val="2"/>
    </font>
    <font>
      <b/>
      <sz val="12"/>
      <color indexed="22"/>
      <name val="Futura Lt BT"/>
      <family val="2"/>
    </font>
    <font>
      <sz val="9"/>
      <name val="Futura Lt BT"/>
      <family val="2"/>
    </font>
    <font>
      <b/>
      <sz val="10"/>
      <color indexed="20"/>
      <name val="Futura Lt BT"/>
      <family val="2"/>
    </font>
    <font>
      <b/>
      <sz val="12"/>
      <color indexed="18"/>
      <name val="Futura Lt BT"/>
      <family val="2"/>
    </font>
    <font>
      <b/>
      <sz val="10"/>
      <color indexed="18"/>
      <name val="Futura Lt BT"/>
      <family val="2"/>
    </font>
    <font>
      <b/>
      <sz val="8"/>
      <color indexed="18"/>
      <name val="Futura Lt BT"/>
      <family val="2"/>
    </font>
    <font>
      <b/>
      <sz val="10"/>
      <color indexed="60"/>
      <name val="Futura Lt BT"/>
      <family val="2"/>
    </font>
    <font>
      <sz val="10"/>
      <color indexed="18"/>
      <name val="Futura Lt BT"/>
      <family val="2"/>
    </font>
    <font>
      <b/>
      <sz val="10"/>
      <color rgb="FF000082"/>
      <name val="Futura Lt BT"/>
      <family val="2"/>
    </font>
    <font>
      <sz val="10"/>
      <color rgb="FFFF0000"/>
      <name val="Futura Lt BT"/>
      <family val="2"/>
    </font>
    <font>
      <b/>
      <sz val="11"/>
      <name val="Futura Lt BT"/>
      <family val="2"/>
    </font>
    <font>
      <sz val="12"/>
      <color indexed="18"/>
      <name val="Futura Lt BT"/>
      <family val="2"/>
    </font>
    <font>
      <sz val="10"/>
      <name val="Futura Lt BT"/>
    </font>
    <font>
      <b/>
      <sz val="12"/>
      <color rgb="FFC00000"/>
      <name val="Futura Lt BT"/>
      <family val="2"/>
    </font>
  </fonts>
  <fills count="7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indexed="22"/>
        <bgColor indexed="0"/>
      </patternFill>
    </fill>
    <fill>
      <patternFill patternType="solid">
        <fgColor rgb="FFB7DEE8"/>
        <bgColor indexed="64"/>
      </patternFill>
    </fill>
    <fill>
      <patternFill patternType="solid">
        <fgColor indexed="43"/>
        <bgColor indexed="0"/>
      </patternFill>
    </fill>
    <fill>
      <patternFill patternType="solid">
        <fgColor theme="9" tint="-0.249977111117893"/>
        <bgColor indexed="0"/>
      </patternFill>
    </fill>
    <fill>
      <patternFill patternType="solid">
        <fgColor rgb="FFFF99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/>
      <bottom style="medium">
        <color indexed="64"/>
      </bottom>
      <diagonal/>
    </border>
    <border>
      <left style="double">
        <color indexed="8"/>
      </left>
      <right/>
      <top style="medium">
        <color indexed="64"/>
      </top>
      <bottom/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double">
        <color indexed="8"/>
      </right>
      <top/>
      <bottom/>
      <diagonal/>
    </border>
    <border>
      <left/>
      <right style="double">
        <color indexed="8"/>
      </right>
      <top style="medium">
        <color indexed="8"/>
      </top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/>
      <right style="double">
        <color indexed="8"/>
      </right>
      <top/>
      <bottom style="medium">
        <color indexed="64"/>
      </bottom>
      <diagonal/>
    </border>
    <border>
      <left/>
      <right style="double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/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thin">
        <color indexed="64"/>
      </left>
      <right style="double">
        <color indexed="8"/>
      </right>
      <top/>
      <bottom/>
      <diagonal/>
    </border>
    <border>
      <left/>
      <right style="double">
        <color indexed="8"/>
      </right>
      <top/>
      <bottom style="thin">
        <color indexed="22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/>
      <right style="double">
        <color indexed="8"/>
      </right>
      <top style="thin">
        <color indexed="22"/>
      </top>
      <bottom style="thin">
        <color indexed="22"/>
      </bottom>
      <diagonal/>
    </border>
    <border>
      <left/>
      <right style="double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 style="double">
        <color indexed="8"/>
      </right>
      <top style="medium">
        <color indexed="8"/>
      </top>
      <bottom/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/>
      <right/>
      <top style="thin">
        <color indexed="22"/>
      </top>
      <bottom/>
      <diagonal/>
    </border>
    <border>
      <left style="thin">
        <color indexed="8"/>
      </left>
      <right style="thin">
        <color indexed="8"/>
      </right>
      <top style="thin">
        <color indexed="22"/>
      </top>
      <bottom/>
      <diagonal/>
    </border>
    <border>
      <left style="thin">
        <color indexed="8"/>
      </left>
      <right style="double">
        <color indexed="8"/>
      </right>
      <top style="thin">
        <color indexed="22"/>
      </top>
      <bottom/>
      <diagonal/>
    </border>
    <border>
      <left style="double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3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22"/>
      </top>
      <bottom style="thin">
        <color indexed="64"/>
      </bottom>
      <diagonal/>
    </border>
    <border>
      <left/>
      <right style="double">
        <color indexed="8"/>
      </right>
      <top style="thin">
        <color indexed="22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medium">
        <color indexed="8"/>
      </bottom>
      <diagonal/>
    </border>
    <border>
      <left/>
      <right style="thin">
        <color indexed="8"/>
      </right>
      <top style="double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22"/>
      </bottom>
      <diagonal/>
    </border>
    <border>
      <left/>
      <right style="thin">
        <color indexed="8"/>
      </right>
      <top style="thin">
        <color indexed="64"/>
      </top>
      <bottom style="thin">
        <color indexed="22"/>
      </bottom>
      <diagonal/>
    </border>
    <border>
      <left style="thin">
        <color indexed="8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22"/>
      </top>
      <bottom style="medium">
        <color indexed="8"/>
      </bottom>
      <diagonal/>
    </border>
    <border>
      <left/>
      <right style="thin">
        <color indexed="8"/>
      </right>
      <top style="thin">
        <color indexed="22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22"/>
      </bottom>
      <diagonal/>
    </border>
    <border>
      <left style="thin">
        <color indexed="8"/>
      </left>
      <right/>
      <top/>
      <bottom style="thin">
        <color indexed="22"/>
      </bottom>
      <diagonal/>
    </border>
    <border>
      <left/>
      <right style="thin">
        <color indexed="8"/>
      </right>
      <top/>
      <bottom style="thin">
        <color indexed="22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22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3"/>
      </left>
      <right/>
      <top/>
      <bottom style="thin">
        <color indexed="22"/>
      </bottom>
      <diagonal/>
    </border>
    <border>
      <left style="thin">
        <color indexed="63"/>
      </left>
      <right/>
      <top style="thin">
        <color indexed="22"/>
      </top>
      <bottom style="thin">
        <color indexed="22"/>
      </bottom>
      <diagonal/>
    </border>
    <border>
      <left style="thin">
        <color indexed="63"/>
      </left>
      <right/>
      <top style="thin">
        <color indexed="22"/>
      </top>
      <bottom style="thin">
        <color indexed="63"/>
      </bottom>
      <diagonal/>
    </border>
    <border>
      <left style="thin">
        <color indexed="63"/>
      </left>
      <right/>
      <top style="thin">
        <color indexed="22"/>
      </top>
      <bottom/>
      <diagonal/>
    </border>
    <border>
      <left style="thin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63"/>
      </left>
      <right/>
      <top style="thin">
        <color indexed="63"/>
      </top>
      <bottom style="double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theme="0" tint="-0.24994659260841701"/>
      </bottom>
      <diagonal/>
    </border>
    <border>
      <left style="thin">
        <color indexed="8"/>
      </left>
      <right/>
      <top style="thin">
        <color indexed="8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8"/>
      </top>
      <bottom style="thin">
        <color theme="0" tint="-0.24994659260841701"/>
      </bottom>
      <diagonal/>
    </border>
    <border>
      <left/>
      <right style="thin">
        <color indexed="8"/>
      </right>
      <top style="thin">
        <color indexed="8"/>
      </top>
      <bottom style="thin">
        <color theme="0" tint="-0.24994659260841701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8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8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8"/>
      </left>
      <right style="double">
        <color indexed="8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/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3"/>
      </bottom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4"/>
      </left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 style="double">
        <color indexed="63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double">
        <color indexed="63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double">
        <color indexed="8"/>
      </right>
      <top style="double">
        <color indexed="8"/>
      </top>
      <bottom/>
      <diagonal/>
    </border>
    <border>
      <left/>
      <right/>
      <top/>
      <bottom style="thick">
        <color indexed="8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6">
    <xf numFmtId="0" fontId="0" fillId="0" borderId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9" borderId="0" applyNumberFormat="0" applyBorder="0" applyAlignment="0" applyProtection="0"/>
    <xf numFmtId="0" fontId="80" fillId="3" borderId="0" applyNumberFormat="0" applyBorder="0" applyAlignment="0" applyProtection="0"/>
    <xf numFmtId="0" fontId="81" fillId="20" borderId="1" applyNumberFormat="0" applyAlignment="0" applyProtection="0"/>
    <xf numFmtId="0" fontId="82" fillId="21" borderId="2" applyNumberFormat="0" applyAlignment="0" applyProtection="0"/>
    <xf numFmtId="43" fontId="5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105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4" borderId="0" applyNumberFormat="0" applyBorder="0" applyAlignment="0" applyProtection="0"/>
    <xf numFmtId="0" fontId="85" fillId="0" borderId="3" applyNumberFormat="0" applyFill="0" applyAlignment="0" applyProtection="0"/>
    <xf numFmtId="0" fontId="86" fillId="0" borderId="4" applyNumberFormat="0" applyFill="0" applyAlignment="0" applyProtection="0"/>
    <xf numFmtId="0" fontId="87" fillId="0" borderId="5" applyNumberFormat="0" applyFill="0" applyAlignment="0" applyProtection="0"/>
    <xf numFmtId="0" fontId="87" fillId="0" borderId="0" applyNumberFormat="0" applyFill="0" applyBorder="0" applyAlignment="0" applyProtection="0"/>
    <xf numFmtId="0" fontId="88" fillId="7" borderId="1" applyNumberFormat="0" applyAlignment="0" applyProtection="0"/>
    <xf numFmtId="0" fontId="89" fillId="0" borderId="6" applyNumberFormat="0" applyFill="0" applyAlignment="0" applyProtection="0"/>
    <xf numFmtId="0" fontId="90" fillId="22" borderId="0" applyNumberFormat="0" applyBorder="0" applyAlignment="0" applyProtection="0"/>
    <xf numFmtId="0" fontId="7" fillId="0" borderId="0"/>
    <xf numFmtId="0" fontId="44" fillId="0" borderId="0"/>
    <xf numFmtId="0" fontId="7" fillId="23" borderId="7" applyNumberFormat="0" applyFont="0" applyAlignment="0" applyProtection="0"/>
    <xf numFmtId="0" fontId="91" fillId="20" borderId="8" applyNumberFormat="0" applyAlignment="0" applyProtection="0"/>
    <xf numFmtId="9" fontId="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9" applyNumberFormat="0" applyFill="0" applyAlignment="0" applyProtection="0"/>
    <xf numFmtId="0" fontId="94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0" fontId="130" fillId="0" borderId="0"/>
  </cellStyleXfs>
  <cellXfs count="1946">
    <xf numFmtId="0" fontId="0" fillId="0" borderId="0" xfId="0"/>
    <xf numFmtId="0" fontId="7" fillId="0" borderId="0" xfId="0" applyFont="1" applyAlignment="1">
      <alignment horizontal="center"/>
    </xf>
    <xf numFmtId="0" fontId="7" fillId="0" borderId="0" xfId="0" applyFont="1"/>
    <xf numFmtId="165" fontId="7" fillId="0" borderId="0" xfId="28" applyNumberFormat="1" applyFont="1"/>
    <xf numFmtId="167" fontId="7" fillId="0" borderId="0" xfId="0" applyNumberFormat="1" applyFont="1"/>
    <xf numFmtId="3" fontId="7" fillId="0" borderId="0" xfId="0" applyNumberFormat="1" applyFont="1"/>
    <xf numFmtId="6" fontId="7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/>
    <xf numFmtId="0" fontId="7" fillId="0" borderId="10" xfId="0" applyFont="1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3" fontId="7" fillId="0" borderId="11" xfId="0" applyNumberFormat="1" applyFont="1" applyBorder="1" applyAlignment="1">
      <alignment horizontal="center"/>
    </xf>
    <xf numFmtId="3" fontId="7" fillId="0" borderId="11" xfId="0" applyNumberFormat="1" applyFont="1" applyBorder="1"/>
    <xf numFmtId="166" fontId="7" fillId="0" borderId="11" xfId="0" applyNumberFormat="1" applyFont="1" applyBorder="1"/>
    <xf numFmtId="3" fontId="7" fillId="0" borderId="11" xfId="28" applyNumberFormat="1" applyFont="1" applyBorder="1"/>
    <xf numFmtId="10" fontId="7" fillId="0" borderId="11" xfId="48" applyNumberFormat="1" applyFont="1" applyBorder="1"/>
    <xf numFmtId="0" fontId="7" fillId="0" borderId="12" xfId="0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3" fontId="7" fillId="0" borderId="13" xfId="0" applyNumberFormat="1" applyFont="1" applyBorder="1"/>
    <xf numFmtId="166" fontId="7" fillId="0" borderId="13" xfId="0" applyNumberFormat="1" applyFont="1" applyBorder="1"/>
    <xf numFmtId="3" fontId="7" fillId="0" borderId="14" xfId="0" applyNumberFormat="1" applyFont="1" applyBorder="1"/>
    <xf numFmtId="0" fontId="8" fillId="0" borderId="0" xfId="0" applyFont="1"/>
    <xf numFmtId="5" fontId="7" fillId="0" borderId="0" xfId="0" applyNumberFormat="1" applyFont="1"/>
    <xf numFmtId="0" fontId="10" fillId="0" borderId="15" xfId="0" applyFont="1" applyFill="1" applyBorder="1"/>
    <xf numFmtId="0" fontId="10" fillId="0" borderId="16" xfId="0" applyFont="1" applyFill="1" applyBorder="1"/>
    <xf numFmtId="0" fontId="11" fillId="0" borderId="17" xfId="0" applyFont="1" applyFill="1" applyBorder="1"/>
    <xf numFmtId="0" fontId="10" fillId="0" borderId="18" xfId="0" applyFont="1" applyFill="1" applyBorder="1" applyAlignment="1">
      <alignment horizontal="left"/>
    </xf>
    <xf numFmtId="5" fontId="12" fillId="0" borderId="19" xfId="0" applyNumberFormat="1" applyFont="1" applyFill="1" applyBorder="1" applyProtection="1"/>
    <xf numFmtId="0" fontId="10" fillId="0" borderId="20" xfId="0" applyFont="1" applyFill="1" applyBorder="1" applyAlignment="1">
      <alignment horizontal="left"/>
    </xf>
    <xf numFmtId="0" fontId="10" fillId="0" borderId="21" xfId="0" applyFont="1" applyFill="1" applyBorder="1" applyAlignment="1">
      <alignment horizontal="center"/>
    </xf>
    <xf numFmtId="0" fontId="10" fillId="0" borderId="18" xfId="0" applyFont="1" applyFill="1" applyBorder="1"/>
    <xf numFmtId="0" fontId="12" fillId="0" borderId="18" xfId="0" applyFont="1" applyFill="1" applyBorder="1"/>
    <xf numFmtId="0" fontId="10" fillId="0" borderId="18" xfId="0" applyFont="1" applyFill="1" applyBorder="1" applyAlignment="1">
      <alignment horizontal="center"/>
    </xf>
    <xf numFmtId="7" fontId="8" fillId="0" borderId="0" xfId="32" applyNumberFormat="1" applyFont="1"/>
    <xf numFmtId="0" fontId="0" fillId="0" borderId="0" xfId="0" applyBorder="1"/>
    <xf numFmtId="3" fontId="7" fillId="0" borderId="10" xfId="0" applyNumberFormat="1" applyFont="1" applyBorder="1"/>
    <xf numFmtId="0" fontId="9" fillId="24" borderId="0" xfId="0" applyFont="1" applyFill="1" applyBorder="1" applyProtection="1"/>
    <xf numFmtId="0" fontId="9" fillId="24" borderId="0" xfId="0" applyFont="1" applyFill="1" applyBorder="1" applyAlignment="1" applyProtection="1">
      <alignment horizontal="center"/>
    </xf>
    <xf numFmtId="0" fontId="17" fillId="0" borderId="17" xfId="0" applyFont="1" applyFill="1" applyBorder="1" applyAlignment="1">
      <alignment horizontal="left"/>
    </xf>
    <xf numFmtId="5" fontId="17" fillId="0" borderId="23" xfId="0" applyNumberFormat="1" applyFont="1" applyFill="1" applyBorder="1" applyProtection="1"/>
    <xf numFmtId="0" fontId="20" fillId="0" borderId="24" xfId="0" applyFont="1" applyFill="1" applyBorder="1" applyAlignment="1">
      <alignment horizontal="center"/>
    </xf>
    <xf numFmtId="0" fontId="22" fillId="0" borderId="25" xfId="0" applyFont="1" applyFill="1" applyBorder="1" applyAlignment="1">
      <alignment horizontal="center"/>
    </xf>
    <xf numFmtId="0" fontId="24" fillId="0" borderId="12" xfId="0" applyFont="1" applyBorder="1"/>
    <xf numFmtId="6" fontId="24" fillId="0" borderId="12" xfId="0" applyNumberFormat="1" applyFont="1" applyBorder="1"/>
    <xf numFmtId="8" fontId="24" fillId="0" borderId="12" xfId="0" applyNumberFormat="1" applyFont="1" applyBorder="1"/>
    <xf numFmtId="0" fontId="24" fillId="25" borderId="2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8" fillId="0" borderId="0" xfId="0" applyFont="1" applyBorder="1" applyAlignment="1">
      <alignment horizontal="center" vertical="center"/>
    </xf>
    <xf numFmtId="6" fontId="0" fillId="0" borderId="0" xfId="0" applyNumberFormat="1"/>
    <xf numFmtId="0" fontId="10" fillId="0" borderId="0" xfId="0" applyFont="1" applyFill="1" applyBorder="1" applyAlignment="1">
      <alignment horizontal="left" vertical="top"/>
    </xf>
    <xf numFmtId="0" fontId="10" fillId="0" borderId="25" xfId="0" applyFont="1" applyFill="1" applyBorder="1" applyAlignment="1">
      <alignment horizontal="left" vertical="top"/>
    </xf>
    <xf numFmtId="0" fontId="10" fillId="0" borderId="28" xfId="0" applyFont="1" applyFill="1" applyBorder="1" applyAlignment="1">
      <alignment horizontal="center"/>
    </xf>
    <xf numFmtId="0" fontId="10" fillId="0" borderId="28" xfId="0" applyFont="1" applyFill="1" applyBorder="1" applyAlignment="1">
      <alignment horizontal="left"/>
    </xf>
    <xf numFmtId="5" fontId="12" fillId="0" borderId="30" xfId="0" applyNumberFormat="1" applyFont="1" applyFill="1" applyBorder="1" applyProtection="1"/>
    <xf numFmtId="0" fontId="10" fillId="0" borderId="31" xfId="0" applyFont="1" applyFill="1" applyBorder="1" applyAlignment="1">
      <alignment horizontal="center"/>
    </xf>
    <xf numFmtId="0" fontId="10" fillId="0" borderId="31" xfId="0" applyFont="1" applyFill="1" applyBorder="1" applyAlignment="1">
      <alignment horizontal="left"/>
    </xf>
    <xf numFmtId="5" fontId="12" fillId="0" borderId="32" xfId="0" applyNumberFormat="1" applyFont="1" applyFill="1" applyBorder="1" applyProtection="1"/>
    <xf numFmtId="6" fontId="0" fillId="0" borderId="13" xfId="0" applyNumberFormat="1" applyBorder="1"/>
    <xf numFmtId="5" fontId="0" fillId="0" borderId="0" xfId="0" applyNumberFormat="1"/>
    <xf numFmtId="10" fontId="8" fillId="0" borderId="0" xfId="48" applyNumberFormat="1" applyFont="1"/>
    <xf numFmtId="164" fontId="7" fillId="0" borderId="0" xfId="28" applyNumberFormat="1" applyFont="1"/>
    <xf numFmtId="0" fontId="0" fillId="0" borderId="0" xfId="0" applyAlignment="1">
      <alignment horizontal="right"/>
    </xf>
    <xf numFmtId="165" fontId="7" fillId="26" borderId="26" xfId="28" applyNumberFormat="1" applyFont="1" applyFill="1" applyBorder="1" applyAlignment="1">
      <alignment horizontal="center"/>
    </xf>
    <xf numFmtId="0" fontId="7" fillId="0" borderId="0" xfId="0" applyFont="1" applyBorder="1"/>
    <xf numFmtId="169" fontId="7" fillId="0" borderId="11" xfId="48" applyNumberFormat="1" applyFont="1" applyBorder="1"/>
    <xf numFmtId="169" fontId="7" fillId="0" borderId="13" xfId="48" applyNumberFormat="1" applyFont="1" applyBorder="1"/>
    <xf numFmtId="0" fontId="24" fillId="25" borderId="10" xfId="0" applyFont="1" applyFill="1" applyBorder="1" applyAlignment="1">
      <alignment horizontal="center" vertical="center" wrapText="1"/>
    </xf>
    <xf numFmtId="0" fontId="7" fillId="0" borderId="33" xfId="0" applyFont="1" applyBorder="1"/>
    <xf numFmtId="3" fontId="7" fillId="0" borderId="34" xfId="0" applyNumberFormat="1" applyFont="1" applyBorder="1"/>
    <xf numFmtId="3" fontId="7" fillId="0" borderId="35" xfId="0" applyNumberFormat="1" applyFont="1" applyBorder="1"/>
    <xf numFmtId="165" fontId="7" fillId="26" borderId="36" xfId="28" applyNumberFormat="1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34" fillId="0" borderId="0" xfId="0" applyFont="1" applyAlignment="1">
      <alignment horizontal="center" wrapText="1"/>
    </xf>
    <xf numFmtId="0" fontId="34" fillId="0" borderId="0" xfId="0" quotePrefix="1" applyFont="1" applyAlignment="1">
      <alignment horizontal="center" wrapText="1"/>
    </xf>
    <xf numFmtId="0" fontId="0" fillId="0" borderId="0" xfId="0" applyFill="1"/>
    <xf numFmtId="37" fontId="24" fillId="0" borderId="12" xfId="28" applyNumberFormat="1" applyFont="1" applyBorder="1"/>
    <xf numFmtId="166" fontId="7" fillId="0" borderId="11" xfId="0" applyNumberFormat="1" applyFont="1" applyFill="1" applyBorder="1"/>
    <xf numFmtId="166" fontId="7" fillId="0" borderId="13" xfId="0" applyNumberFormat="1" applyFont="1" applyFill="1" applyBorder="1"/>
    <xf numFmtId="5" fontId="12" fillId="0" borderId="22" xfId="0" applyNumberFormat="1" applyFont="1" applyFill="1" applyBorder="1" applyAlignment="1" applyProtection="1">
      <alignment vertical="center"/>
    </xf>
    <xf numFmtId="0" fontId="7" fillId="0" borderId="0" xfId="0" applyFont="1" applyBorder="1" applyAlignment="1" applyProtection="1">
      <alignment horizontal="center"/>
    </xf>
    <xf numFmtId="3" fontId="7" fillId="0" borderId="11" xfId="0" applyNumberFormat="1" applyFont="1" applyFill="1" applyBorder="1"/>
    <xf numFmtId="3" fontId="7" fillId="0" borderId="13" xfId="0" applyNumberFormat="1" applyFont="1" applyFill="1" applyBorder="1"/>
    <xf numFmtId="0" fontId="8" fillId="0" borderId="0" xfId="0" applyFont="1" applyBorder="1" applyAlignment="1">
      <alignment horizontal="center" wrapText="1"/>
    </xf>
    <xf numFmtId="0" fontId="24" fillId="27" borderId="26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/>
    </xf>
    <xf numFmtId="0" fontId="20" fillId="0" borderId="18" xfId="0" applyFont="1" applyFill="1" applyBorder="1" applyAlignment="1">
      <alignment horizontal="left"/>
    </xf>
    <xf numFmtId="5" fontId="20" fillId="0" borderId="19" xfId="0" applyNumberFormat="1" applyFont="1" applyFill="1" applyBorder="1" applyProtection="1"/>
    <xf numFmtId="0" fontId="20" fillId="0" borderId="18" xfId="0" applyFont="1" applyFill="1" applyBorder="1"/>
    <xf numFmtId="0" fontId="20" fillId="0" borderId="37" xfId="0" quotePrefix="1" applyFont="1" applyFill="1" applyBorder="1" applyAlignment="1">
      <alignment horizontal="left" vertical="center"/>
    </xf>
    <xf numFmtId="0" fontId="20" fillId="0" borderId="37" xfId="0" applyFont="1" applyFill="1" applyBorder="1" applyAlignment="1">
      <alignment horizontal="left" vertical="center"/>
    </xf>
    <xf numFmtId="5" fontId="20" fillId="0" borderId="38" xfId="0" applyNumberFormat="1" applyFont="1" applyFill="1" applyBorder="1" applyAlignment="1" applyProtection="1">
      <alignment vertical="center"/>
    </xf>
    <xf numFmtId="0" fontId="20" fillId="27" borderId="28" xfId="0" applyFont="1" applyFill="1" applyBorder="1" applyAlignment="1">
      <alignment horizontal="left"/>
    </xf>
    <xf numFmtId="0" fontId="38" fillId="27" borderId="28" xfId="0" applyFont="1" applyFill="1" applyBorder="1"/>
    <xf numFmtId="5" fontId="20" fillId="27" borderId="38" xfId="0" applyNumberFormat="1" applyFont="1" applyFill="1" applyBorder="1" applyAlignment="1" applyProtection="1">
      <alignment vertical="center"/>
    </xf>
    <xf numFmtId="0" fontId="20" fillId="27" borderId="37" xfId="0" applyFont="1" applyFill="1" applyBorder="1" applyAlignment="1">
      <alignment horizontal="left" vertical="center"/>
    </xf>
    <xf numFmtId="0" fontId="24" fillId="0" borderId="0" xfId="0" applyFont="1" applyBorder="1"/>
    <xf numFmtId="37" fontId="24" fillId="0" borderId="0" xfId="28" applyNumberFormat="1" applyFont="1" applyBorder="1"/>
    <xf numFmtId="8" fontId="24" fillId="0" borderId="0" xfId="0" applyNumberFormat="1" applyFont="1" applyBorder="1"/>
    <xf numFmtId="6" fontId="24" fillId="0" borderId="0" xfId="0" applyNumberFormat="1" applyFont="1" applyBorder="1"/>
    <xf numFmtId="0" fontId="20" fillId="27" borderId="37" xfId="0" quotePrefix="1" applyFont="1" applyFill="1" applyBorder="1" applyAlignment="1">
      <alignment horizontal="left" vertical="center"/>
    </xf>
    <xf numFmtId="0" fontId="7" fillId="0" borderId="39" xfId="0" applyFont="1" applyFill="1" applyBorder="1" applyProtection="1"/>
    <xf numFmtId="0" fontId="7" fillId="0" borderId="40" xfId="0" applyFont="1" applyFill="1" applyBorder="1" applyProtection="1"/>
    <xf numFmtId="3" fontId="7" fillId="0" borderId="11" xfId="0" applyNumberFormat="1" applyFont="1" applyFill="1" applyBorder="1" applyAlignment="1">
      <alignment horizontal="center"/>
    </xf>
    <xf numFmtId="3" fontId="7" fillId="0" borderId="13" xfId="0" applyNumberFormat="1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24" fillId="0" borderId="12" xfId="0" applyFont="1" applyFill="1" applyBorder="1"/>
    <xf numFmtId="3" fontId="24" fillId="0" borderId="12" xfId="0" applyNumberFormat="1" applyFont="1" applyFill="1" applyBorder="1"/>
    <xf numFmtId="0" fontId="7" fillId="0" borderId="0" xfId="0" applyFont="1" applyFill="1" applyAlignment="1">
      <alignment horizontal="center"/>
    </xf>
    <xf numFmtId="0" fontId="7" fillId="0" borderId="0" xfId="0" applyFont="1" applyFill="1"/>
    <xf numFmtId="165" fontId="7" fillId="0" borderId="0" xfId="28" applyNumberFormat="1" applyFont="1" applyFill="1"/>
    <xf numFmtId="7" fontId="8" fillId="0" borderId="0" xfId="32" applyNumberFormat="1" applyFont="1" applyFill="1" applyAlignment="1">
      <alignment horizontal="center"/>
    </xf>
    <xf numFmtId="7" fontId="8" fillId="0" borderId="0" xfId="32" applyNumberFormat="1" applyFont="1" applyFill="1"/>
    <xf numFmtId="0" fontId="20" fillId="0" borderId="41" xfId="0" applyFont="1" applyFill="1" applyBorder="1" applyAlignment="1">
      <alignment horizontal="center"/>
    </xf>
    <xf numFmtId="0" fontId="34" fillId="0" borderId="42" xfId="0" applyFont="1" applyBorder="1" applyAlignment="1">
      <alignment horizontal="center" vertical="center" wrapText="1"/>
    </xf>
    <xf numFmtId="0" fontId="34" fillId="0" borderId="26" xfId="0" quotePrefix="1" applyFont="1" applyBorder="1" applyAlignment="1">
      <alignment horizontal="center" vertical="center" wrapText="1"/>
    </xf>
    <xf numFmtId="0" fontId="0" fillId="26" borderId="26" xfId="0" applyFill="1" applyBorder="1"/>
    <xf numFmtId="0" fontId="0" fillId="0" borderId="11" xfId="0" applyBorder="1"/>
    <xf numFmtId="0" fontId="9" fillId="0" borderId="0" xfId="0" applyFont="1" applyBorder="1"/>
    <xf numFmtId="0" fontId="7" fillId="0" borderId="43" xfId="0" applyFont="1" applyBorder="1"/>
    <xf numFmtId="0" fontId="34" fillId="0" borderId="10" xfId="0" quotePrefix="1" applyFont="1" applyBorder="1" applyAlignment="1">
      <alignment horizontal="center" vertical="center" wrapText="1"/>
    </xf>
    <xf numFmtId="0" fontId="34" fillId="0" borderId="44" xfId="0" quotePrefix="1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/>
    </xf>
    <xf numFmtId="0" fontId="34" fillId="0" borderId="0" xfId="0" applyFont="1" applyBorder="1" applyAlignment="1">
      <alignment horizontal="center" wrapText="1"/>
    </xf>
    <xf numFmtId="38" fontId="7" fillId="0" borderId="11" xfId="0" applyNumberFormat="1" applyFont="1" applyBorder="1"/>
    <xf numFmtId="0" fontId="34" fillId="0" borderId="26" xfId="0" quotePrefix="1" applyFont="1" applyFill="1" applyBorder="1" applyAlignment="1">
      <alignment horizontal="center" vertical="center"/>
    </xf>
    <xf numFmtId="0" fontId="36" fillId="0" borderId="10" xfId="0" quotePrefix="1" applyFont="1" applyBorder="1" applyAlignment="1">
      <alignment horizontal="center" vertical="center" wrapText="1"/>
    </xf>
    <xf numFmtId="0" fontId="9" fillId="0" borderId="45" xfId="0" applyFont="1" applyBorder="1" applyAlignment="1" applyProtection="1">
      <alignment horizontal="center"/>
    </xf>
    <xf numFmtId="0" fontId="34" fillId="0" borderId="0" xfId="0" applyFont="1" applyBorder="1" applyAlignment="1">
      <alignment horizontal="center" vertical="center" wrapText="1"/>
    </xf>
    <xf numFmtId="40" fontId="7" fillId="0" borderId="11" xfId="0" applyNumberFormat="1" applyFont="1" applyFill="1" applyBorder="1"/>
    <xf numFmtId="40" fontId="7" fillId="0" borderId="13" xfId="0" applyNumberFormat="1" applyFont="1" applyFill="1" applyBorder="1"/>
    <xf numFmtId="10" fontId="7" fillId="0" borderId="11" xfId="48" applyNumberFormat="1" applyFont="1" applyFill="1" applyBorder="1"/>
    <xf numFmtId="10" fontId="7" fillId="0" borderId="13" xfId="48" applyNumberFormat="1" applyFont="1" applyFill="1" applyBorder="1"/>
    <xf numFmtId="0" fontId="11" fillId="0" borderId="26" xfId="0" applyFont="1" applyBorder="1" applyAlignment="1">
      <alignment horizontal="center" wrapText="1"/>
    </xf>
    <xf numFmtId="0" fontId="7" fillId="0" borderId="10" xfId="0" applyFont="1" applyFill="1" applyBorder="1"/>
    <xf numFmtId="0" fontId="7" fillId="0" borderId="46" xfId="0" applyFont="1" applyBorder="1"/>
    <xf numFmtId="0" fontId="7" fillId="0" borderId="47" xfId="0" applyFont="1" applyFill="1" applyBorder="1" applyProtection="1"/>
    <xf numFmtId="5" fontId="7" fillId="0" borderId="0" xfId="0" applyNumberFormat="1" applyFont="1" applyBorder="1"/>
    <xf numFmtId="10" fontId="12" fillId="0" borderId="19" xfId="48" applyNumberFormat="1" applyFont="1" applyFill="1" applyBorder="1" applyProtection="1"/>
    <xf numFmtId="43" fontId="12" fillId="0" borderId="19" xfId="28" applyFont="1" applyFill="1" applyBorder="1" applyProtection="1"/>
    <xf numFmtId="0" fontId="7" fillId="0" borderId="0" xfId="0" applyFont="1" applyFill="1" applyBorder="1"/>
    <xf numFmtId="165" fontId="12" fillId="0" borderId="19" xfId="28" applyNumberFormat="1" applyFont="1" applyFill="1" applyBorder="1" applyProtection="1"/>
    <xf numFmtId="3" fontId="7" fillId="0" borderId="11" xfId="0" applyNumberFormat="1" applyFont="1" applyFill="1" applyBorder="1" applyAlignment="1">
      <alignment horizontal="left"/>
    </xf>
    <xf numFmtId="8" fontId="7" fillId="0" borderId="0" xfId="0" applyNumberFormat="1" applyFont="1"/>
    <xf numFmtId="0" fontId="9" fillId="0" borderId="0" xfId="0" applyFont="1" applyFill="1" applyBorder="1" applyAlignment="1">
      <alignment horizontal="center"/>
    </xf>
    <xf numFmtId="0" fontId="7" fillId="0" borderId="0" xfId="0" quotePrefix="1" applyFont="1" applyBorder="1"/>
    <xf numFmtId="0" fontId="43" fillId="0" borderId="0" xfId="0" quotePrefix="1" applyFont="1" applyBorder="1" applyAlignment="1">
      <alignment horizontal="left"/>
    </xf>
    <xf numFmtId="2" fontId="7" fillId="0" borderId="11" xfId="0" applyNumberFormat="1" applyFont="1" applyBorder="1"/>
    <xf numFmtId="4" fontId="7" fillId="0" borderId="11" xfId="28" applyNumberFormat="1" applyFont="1" applyBorder="1"/>
    <xf numFmtId="4" fontId="7" fillId="0" borderId="34" xfId="28" applyNumberFormat="1" applyFont="1" applyBorder="1"/>
    <xf numFmtId="2" fontId="7" fillId="0" borderId="13" xfId="0" applyNumberFormat="1" applyFont="1" applyBorder="1"/>
    <xf numFmtId="4" fontId="7" fillId="0" borderId="13" xfId="28" applyNumberFormat="1" applyFont="1" applyBorder="1"/>
    <xf numFmtId="4" fontId="7" fillId="0" borderId="35" xfId="28" applyNumberFormat="1" applyFont="1" applyBorder="1"/>
    <xf numFmtId="0" fontId="34" fillId="0" borderId="0" xfId="0" quotePrefix="1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8" fillId="0" borderId="26" xfId="0" applyFont="1" applyFill="1" applyBorder="1" applyAlignment="1">
      <alignment horizontal="center" vertical="center"/>
    </xf>
    <xf numFmtId="10" fontId="7" fillId="0" borderId="11" xfId="0" applyNumberFormat="1" applyFont="1" applyFill="1" applyBorder="1"/>
    <xf numFmtId="10" fontId="7" fillId="0" borderId="13" xfId="0" applyNumberFormat="1" applyFont="1" applyFill="1" applyBorder="1"/>
    <xf numFmtId="5" fontId="24" fillId="0" borderId="12" xfId="32" applyNumberFormat="1" applyFont="1" applyBorder="1" applyAlignment="1">
      <alignment horizontal="right"/>
    </xf>
    <xf numFmtId="3" fontId="7" fillId="0" borderId="34" xfId="0" applyNumberFormat="1" applyFont="1" applyFill="1" applyBorder="1"/>
    <xf numFmtId="2" fontId="7" fillId="0" borderId="11" xfId="0" applyNumberFormat="1" applyFont="1" applyFill="1" applyBorder="1"/>
    <xf numFmtId="4" fontId="7" fillId="0" borderId="11" xfId="28" applyNumberFormat="1" applyFont="1" applyFill="1" applyBorder="1"/>
    <xf numFmtId="4" fontId="7" fillId="0" borderId="34" xfId="28" applyNumberFormat="1" applyFont="1" applyFill="1" applyBorder="1"/>
    <xf numFmtId="3" fontId="0" fillId="0" borderId="0" xfId="0" applyNumberFormat="1"/>
    <xf numFmtId="166" fontId="7" fillId="0" borderId="34" xfId="0" applyNumberFormat="1" applyFont="1" applyFill="1" applyBorder="1"/>
    <xf numFmtId="166" fontId="7" fillId="0" borderId="35" xfId="0" applyNumberFormat="1" applyFont="1" applyFill="1" applyBorder="1"/>
    <xf numFmtId="0" fontId="11" fillId="0" borderId="26" xfId="0" applyFont="1" applyBorder="1"/>
    <xf numFmtId="0" fontId="10" fillId="0" borderId="48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7" fontId="19" fillId="0" borderId="0" xfId="32" quotePrefix="1" applyNumberFormat="1" applyFont="1" applyFill="1" applyAlignment="1">
      <alignment horizontal="center"/>
    </xf>
    <xf numFmtId="3" fontId="7" fillId="0" borderId="0" xfId="0" applyNumberFormat="1" applyFont="1" applyFill="1" applyBorder="1"/>
    <xf numFmtId="3" fontId="7" fillId="0" borderId="0" xfId="0" applyNumberFormat="1" applyFont="1" applyFill="1"/>
    <xf numFmtId="0" fontId="10" fillId="0" borderId="0" xfId="0" applyFont="1" applyFill="1" applyBorder="1" applyAlignment="1">
      <alignment horizontal="left"/>
    </xf>
    <xf numFmtId="0" fontId="20" fillId="0" borderId="14" xfId="0" applyFont="1" applyFill="1" applyBorder="1" applyAlignment="1">
      <alignment horizontal="left"/>
    </xf>
    <xf numFmtId="5" fontId="20" fillId="0" borderId="0" xfId="0" applyNumberFormat="1" applyFont="1" applyFill="1" applyBorder="1" applyProtection="1"/>
    <xf numFmtId="0" fontId="10" fillId="0" borderId="51" xfId="0" applyFont="1" applyFill="1" applyBorder="1" applyAlignment="1">
      <alignment horizontal="left"/>
    </xf>
    <xf numFmtId="0" fontId="10" fillId="0" borderId="0" xfId="0" applyFont="1" applyFill="1" applyBorder="1"/>
    <xf numFmtId="0" fontId="39" fillId="0" borderId="0" xfId="0" applyFont="1" applyBorder="1"/>
    <xf numFmtId="0" fontId="0" fillId="0" borderId="0" xfId="0" applyFill="1" applyBorder="1"/>
    <xf numFmtId="0" fontId="10" fillId="0" borderId="0" xfId="0" quotePrefix="1" applyFont="1" applyFill="1" applyBorder="1" applyAlignment="1">
      <alignment horizontal="center"/>
    </xf>
    <xf numFmtId="0" fontId="20" fillId="0" borderId="51" xfId="0" applyFont="1" applyFill="1" applyBorder="1" applyAlignment="1">
      <alignment horizontal="left"/>
    </xf>
    <xf numFmtId="0" fontId="11" fillId="0" borderId="0" xfId="0" applyFont="1" applyBorder="1" applyAlignment="1">
      <alignment horizontal="center"/>
    </xf>
    <xf numFmtId="0" fontId="10" fillId="0" borderId="52" xfId="0" applyFont="1" applyFill="1" applyBorder="1"/>
    <xf numFmtId="0" fontId="11" fillId="0" borderId="53" xfId="0" applyFont="1" applyFill="1" applyBorder="1"/>
    <xf numFmtId="0" fontId="10" fillId="0" borderId="52" xfId="0" applyFont="1" applyFill="1" applyBorder="1" applyAlignment="1">
      <alignment horizontal="center" vertical="top"/>
    </xf>
    <xf numFmtId="0" fontId="10" fillId="0" borderId="52" xfId="0" applyFont="1" applyFill="1" applyBorder="1" applyAlignment="1">
      <alignment horizontal="center"/>
    </xf>
    <xf numFmtId="0" fontId="10" fillId="0" borderId="54" xfId="0" applyFont="1" applyFill="1" applyBorder="1" applyAlignment="1">
      <alignment horizontal="center"/>
    </xf>
    <xf numFmtId="0" fontId="10" fillId="0" borderId="55" xfId="0" applyFont="1" applyFill="1" applyBorder="1" applyAlignment="1">
      <alignment horizontal="center"/>
    </xf>
    <xf numFmtId="0" fontId="10" fillId="0" borderId="56" xfId="0" applyFont="1" applyFill="1" applyBorder="1" applyAlignment="1">
      <alignment horizontal="center"/>
    </xf>
    <xf numFmtId="0" fontId="20" fillId="0" borderId="57" xfId="0" applyFont="1" applyFill="1" applyBorder="1" applyAlignment="1">
      <alignment horizontal="center" vertical="center"/>
    </xf>
    <xf numFmtId="0" fontId="20" fillId="0" borderId="55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38" fillId="27" borderId="54" xfId="0" applyFont="1" applyFill="1" applyBorder="1"/>
    <xf numFmtId="0" fontId="0" fillId="0" borderId="52" xfId="0" applyBorder="1"/>
    <xf numFmtId="0" fontId="12" fillId="0" borderId="52" xfId="0" applyFont="1" applyFill="1" applyBorder="1"/>
    <xf numFmtId="0" fontId="20" fillId="27" borderId="57" xfId="0" applyFont="1" applyFill="1" applyBorder="1" applyAlignment="1">
      <alignment horizontal="center" vertical="center"/>
    </xf>
    <xf numFmtId="0" fontId="20" fillId="0" borderId="52" xfId="0" applyFont="1" applyFill="1" applyBorder="1" applyAlignment="1">
      <alignment horizontal="center"/>
    </xf>
    <xf numFmtId="3" fontId="7" fillId="0" borderId="0" xfId="0" applyNumberFormat="1" applyFont="1" applyBorder="1"/>
    <xf numFmtId="7" fontId="8" fillId="0" borderId="0" xfId="32" applyNumberFormat="1" applyFont="1" applyFill="1" applyBorder="1"/>
    <xf numFmtId="6" fontId="7" fillId="0" borderId="0" xfId="0" applyNumberFormat="1" applyFont="1" applyFill="1" applyBorder="1"/>
    <xf numFmtId="0" fontId="7" fillId="0" borderId="0" xfId="0" applyFont="1" applyFill="1" applyAlignment="1">
      <alignment wrapText="1"/>
    </xf>
    <xf numFmtId="0" fontId="10" fillId="0" borderId="18" xfId="0" quotePrefix="1" applyFont="1" applyFill="1" applyBorder="1" applyAlignment="1">
      <alignment horizontal="center"/>
    </xf>
    <xf numFmtId="10" fontId="7" fillId="0" borderId="0" xfId="48" applyNumberFormat="1" applyFont="1" applyFill="1"/>
    <xf numFmtId="43" fontId="7" fillId="0" borderId="0" xfId="28" applyNumberFormat="1" applyFont="1" applyFill="1"/>
    <xf numFmtId="10" fontId="7" fillId="0" borderId="0" xfId="48" applyNumberFormat="1" applyFont="1" applyFill="1" applyBorder="1"/>
    <xf numFmtId="0" fontId="10" fillId="0" borderId="14" xfId="0" applyFont="1" applyFill="1" applyBorder="1" applyAlignment="1">
      <alignment horizontal="left" vertical="center" wrapText="1"/>
    </xf>
    <xf numFmtId="5" fontId="12" fillId="0" borderId="59" xfId="0" applyNumberFormat="1" applyFont="1" applyFill="1" applyBorder="1" applyAlignment="1" applyProtection="1">
      <alignment vertical="center"/>
    </xf>
    <xf numFmtId="5" fontId="12" fillId="0" borderId="58" xfId="0" applyNumberFormat="1" applyFont="1" applyFill="1" applyBorder="1" applyAlignment="1" applyProtection="1">
      <alignment vertical="center"/>
    </xf>
    <xf numFmtId="165" fontId="10" fillId="0" borderId="19" xfId="28" applyNumberFormat="1" applyFont="1" applyFill="1" applyBorder="1" applyProtection="1"/>
    <xf numFmtId="0" fontId="18" fillId="0" borderId="0" xfId="0" applyFont="1" applyAlignment="1">
      <alignment horizontal="right"/>
    </xf>
    <xf numFmtId="10" fontId="9" fillId="0" borderId="12" xfId="48" applyNumberFormat="1" applyFont="1" applyBorder="1"/>
    <xf numFmtId="165" fontId="0" fillId="0" borderId="0" xfId="0" applyNumberFormat="1"/>
    <xf numFmtId="0" fontId="10" fillId="0" borderId="21" xfId="0" quotePrefix="1" applyFont="1" applyFill="1" applyBorder="1" applyAlignment="1">
      <alignment horizontal="center"/>
    </xf>
    <xf numFmtId="0" fontId="33" fillId="0" borderId="0" xfId="0" applyFont="1" applyAlignment="1">
      <alignment horizontal="right"/>
    </xf>
    <xf numFmtId="1" fontId="7" fillId="0" borderId="0" xfId="0" applyNumberFormat="1" applyFont="1"/>
    <xf numFmtId="1" fontId="7" fillId="26" borderId="26" xfId="28" applyNumberFormat="1" applyFont="1" applyFill="1" applyBorder="1" applyAlignment="1">
      <alignment horizontal="center"/>
    </xf>
    <xf numFmtId="1" fontId="18" fillId="26" borderId="26" xfId="28" quotePrefix="1" applyNumberFormat="1" applyFont="1" applyFill="1" applyBorder="1" applyAlignment="1">
      <alignment horizontal="center"/>
    </xf>
    <xf numFmtId="1" fontId="18" fillId="26" borderId="26" xfId="28" applyNumberFormat="1" applyFont="1" applyFill="1" applyBorder="1" applyAlignment="1">
      <alignment horizontal="center"/>
    </xf>
    <xf numFmtId="1" fontId="7" fillId="0" borderId="0" xfId="28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8" fillId="0" borderId="0" xfId="0" applyFont="1" applyFill="1" applyAlignment="1">
      <alignment horizontal="center"/>
    </xf>
    <xf numFmtId="5" fontId="12" fillId="0" borderId="50" xfId="0" applyNumberFormat="1" applyFont="1" applyFill="1" applyBorder="1" applyAlignment="1" applyProtection="1">
      <alignment vertical="top"/>
    </xf>
    <xf numFmtId="0" fontId="34" fillId="0" borderId="10" xfId="0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6" fontId="8" fillId="0" borderId="10" xfId="0" applyNumberFormat="1" applyFont="1" applyFill="1" applyBorder="1" applyAlignment="1">
      <alignment horizontal="center" vertical="center" wrapText="1"/>
    </xf>
    <xf numFmtId="1" fontId="7" fillId="26" borderId="60" xfId="0" applyNumberFormat="1" applyFont="1" applyFill="1" applyBorder="1" applyProtection="1"/>
    <xf numFmtId="1" fontId="18" fillId="26" borderId="26" xfId="0" quotePrefix="1" applyNumberFormat="1" applyFont="1" applyFill="1" applyBorder="1" applyAlignment="1">
      <alignment horizontal="center"/>
    </xf>
    <xf numFmtId="3" fontId="0" fillId="0" borderId="13" xfId="0" applyNumberFormat="1" applyFill="1" applyBorder="1"/>
    <xf numFmtId="0" fontId="9" fillId="0" borderId="13" xfId="0" applyFont="1" applyBorder="1" applyAlignment="1">
      <alignment wrapText="1"/>
    </xf>
    <xf numFmtId="0" fontId="9" fillId="0" borderId="11" xfId="0" applyFont="1" applyBorder="1" applyAlignment="1">
      <alignment horizontal="left" wrapText="1"/>
    </xf>
    <xf numFmtId="1" fontId="18" fillId="26" borderId="36" xfId="28" quotePrefix="1" applyNumberFormat="1" applyFont="1" applyFill="1" applyBorder="1" applyAlignment="1">
      <alignment horizontal="center"/>
    </xf>
    <xf numFmtId="0" fontId="18" fillId="26" borderId="26" xfId="28" quotePrefix="1" applyNumberFormat="1" applyFont="1" applyFill="1" applyBorder="1" applyAlignment="1">
      <alignment horizontal="center"/>
    </xf>
    <xf numFmtId="0" fontId="51" fillId="0" borderId="0" xfId="0" applyFont="1" applyBorder="1" applyAlignment="1">
      <alignment horizontal="left"/>
    </xf>
    <xf numFmtId="0" fontId="23" fillId="0" borderId="0" xfId="0" quotePrefix="1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166" fontId="7" fillId="0" borderId="0" xfId="0" applyNumberFormat="1" applyFont="1" applyFill="1" applyBorder="1"/>
    <xf numFmtId="0" fontId="52" fillId="0" borderId="0" xfId="0" applyFont="1"/>
    <xf numFmtId="0" fontId="48" fillId="0" borderId="0" xfId="0" applyFont="1"/>
    <xf numFmtId="0" fontId="8" fillId="0" borderId="36" xfId="0" quotePrefix="1" applyFont="1" applyFill="1" applyBorder="1" applyAlignment="1">
      <alignment horizontal="center" vertical="center"/>
    </xf>
    <xf numFmtId="166" fontId="7" fillId="0" borderId="34" xfId="0" applyNumberFormat="1" applyFont="1" applyBorder="1"/>
    <xf numFmtId="166" fontId="7" fillId="0" borderId="35" xfId="0" applyNumberFormat="1" applyFont="1" applyBorder="1"/>
    <xf numFmtId="0" fontId="23" fillId="0" borderId="0" xfId="0" quotePrefix="1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6" fillId="0" borderId="0" xfId="0" applyFont="1" applyFill="1" applyBorder="1"/>
    <xf numFmtId="0" fontId="14" fillId="0" borderId="0" xfId="0" applyFont="1" applyFill="1" applyBorder="1"/>
    <xf numFmtId="0" fontId="14" fillId="0" borderId="0" xfId="0" applyFont="1" applyFill="1" applyBorder="1" applyAlignment="1"/>
    <xf numFmtId="0" fontId="7" fillId="0" borderId="0" xfId="0" applyFont="1" applyFill="1" applyBorder="1" applyAlignment="1"/>
    <xf numFmtId="0" fontId="34" fillId="0" borderId="0" xfId="0" applyFont="1" applyFill="1" applyBorder="1" applyAlignment="1">
      <alignment horizontal="center" vertical="center" wrapText="1"/>
    </xf>
    <xf numFmtId="0" fontId="34" fillId="0" borderId="0" xfId="0" quotePrefix="1" applyFont="1" applyFill="1" applyBorder="1" applyAlignment="1">
      <alignment horizontal="center" vertical="center" wrapText="1"/>
    </xf>
    <xf numFmtId="0" fontId="35" fillId="0" borderId="0" xfId="0" applyFont="1" applyFill="1" applyBorder="1"/>
    <xf numFmtId="167" fontId="7" fillId="0" borderId="0" xfId="0" applyNumberFormat="1" applyFont="1" applyFill="1" applyBorder="1"/>
    <xf numFmtId="10" fontId="7" fillId="0" borderId="0" xfId="0" applyNumberFormat="1" applyFont="1" applyFill="1" applyBorder="1"/>
    <xf numFmtId="0" fontId="10" fillId="0" borderId="0" xfId="0" applyFont="1" applyFill="1" applyBorder="1" applyAlignment="1">
      <alignment horizontal="center" vertical="center" wrapText="1"/>
    </xf>
    <xf numFmtId="9" fontId="53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/>
    <xf numFmtId="38" fontId="8" fillId="0" borderId="0" xfId="0" applyNumberFormat="1" applyFont="1"/>
    <xf numFmtId="166" fontId="8" fillId="0" borderId="0" xfId="0" applyNumberFormat="1" applyFont="1"/>
    <xf numFmtId="0" fontId="8" fillId="0" borderId="0" xfId="0" applyFont="1" applyBorder="1"/>
    <xf numFmtId="7" fontId="8" fillId="0" borderId="61" xfId="32" applyNumberFormat="1" applyFont="1" applyBorder="1"/>
    <xf numFmtId="0" fontId="8" fillId="0" borderId="62" xfId="0" applyFont="1" applyBorder="1"/>
    <xf numFmtId="0" fontId="8" fillId="0" borderId="63" xfId="0" applyFont="1" applyBorder="1"/>
    <xf numFmtId="10" fontId="8" fillId="0" borderId="64" xfId="0" applyNumberFormat="1" applyFont="1" applyBorder="1"/>
    <xf numFmtId="6" fontId="7" fillId="0" borderId="43" xfId="0" applyNumberFormat="1" applyFont="1" applyBorder="1"/>
    <xf numFmtId="0" fontId="8" fillId="0" borderId="64" xfId="0" applyFont="1" applyBorder="1"/>
    <xf numFmtId="0" fontId="7" fillId="0" borderId="65" xfId="0" applyFont="1" applyBorder="1"/>
    <xf numFmtId="167" fontId="7" fillId="0" borderId="28" xfId="0" applyNumberFormat="1" applyFont="1" applyFill="1" applyBorder="1"/>
    <xf numFmtId="167" fontId="7" fillId="0" borderId="66" xfId="0" applyNumberFormat="1" applyFont="1" applyFill="1" applyBorder="1"/>
    <xf numFmtId="5" fontId="24" fillId="0" borderId="0" xfId="0" applyNumberFormat="1" applyFont="1" applyFill="1" applyBorder="1" applyProtection="1"/>
    <xf numFmtId="0" fontId="54" fillId="25" borderId="10" xfId="0" applyFont="1" applyFill="1" applyBorder="1" applyAlignment="1">
      <alignment horizontal="center" vertical="center" wrapText="1"/>
    </xf>
    <xf numFmtId="0" fontId="40" fillId="25" borderId="44" xfId="0" applyFont="1" applyFill="1" applyBorder="1" applyAlignment="1">
      <alignment horizontal="center" vertical="center" wrapText="1"/>
    </xf>
    <xf numFmtId="0" fontId="40" fillId="27" borderId="10" xfId="0" applyFont="1" applyFill="1" applyBorder="1" applyAlignment="1">
      <alignment horizontal="center" vertical="center" wrapText="1"/>
    </xf>
    <xf numFmtId="1" fontId="18" fillId="26" borderId="36" xfId="28" applyNumberFormat="1" applyFont="1" applyFill="1" applyBorder="1" applyAlignment="1">
      <alignment horizontal="center"/>
    </xf>
    <xf numFmtId="6" fontId="24" fillId="0" borderId="67" xfId="0" applyNumberFormat="1" applyFont="1" applyBorder="1"/>
    <xf numFmtId="0" fontId="47" fillId="0" borderId="0" xfId="0" applyFont="1"/>
    <xf numFmtId="0" fontId="27" fillId="0" borderId="68" xfId="0" applyFont="1" applyFill="1" applyBorder="1" applyAlignment="1">
      <alignment horizontal="center"/>
    </xf>
    <xf numFmtId="0" fontId="7" fillId="0" borderId="33" xfId="0" applyFont="1" applyFill="1" applyBorder="1"/>
    <xf numFmtId="0" fontId="24" fillId="28" borderId="26" xfId="0" applyFont="1" applyFill="1" applyBorder="1" applyAlignment="1">
      <alignment horizontal="center" vertical="center" wrapText="1"/>
    </xf>
    <xf numFmtId="166" fontId="50" fillId="0" borderId="11" xfId="0" applyNumberFormat="1" applyFont="1" applyFill="1" applyBorder="1"/>
    <xf numFmtId="0" fontId="0" fillId="0" borderId="14" xfId="0" applyBorder="1"/>
    <xf numFmtId="4" fontId="7" fillId="0" borderId="0" xfId="0" applyNumberFormat="1" applyFont="1" applyBorder="1"/>
    <xf numFmtId="10" fontId="7" fillId="0" borderId="13" xfId="48" applyNumberFormat="1" applyFont="1" applyBorder="1"/>
    <xf numFmtId="0" fontId="7" fillId="0" borderId="11" xfId="0" applyFont="1" applyFill="1" applyBorder="1"/>
    <xf numFmtId="0" fontId="7" fillId="0" borderId="34" xfId="0" applyFont="1" applyFill="1" applyBorder="1"/>
    <xf numFmtId="9" fontId="15" fillId="0" borderId="11" xfId="0" applyNumberFormat="1" applyFont="1" applyFill="1" applyBorder="1"/>
    <xf numFmtId="9" fontId="7" fillId="0" borderId="34" xfId="0" applyNumberFormat="1" applyFont="1" applyFill="1" applyBorder="1"/>
    <xf numFmtId="9" fontId="7" fillId="0" borderId="11" xfId="0" applyNumberFormat="1" applyFont="1" applyFill="1" applyBorder="1"/>
    <xf numFmtId="6" fontId="7" fillId="0" borderId="11" xfId="0" applyNumberFormat="1" applyFont="1" applyBorder="1"/>
    <xf numFmtId="6" fontId="7" fillId="0" borderId="13" xfId="0" applyNumberFormat="1" applyFont="1" applyBorder="1"/>
    <xf numFmtId="6" fontId="7" fillId="0" borderId="11" xfId="0" applyNumberFormat="1" applyFont="1" applyFill="1" applyBorder="1"/>
    <xf numFmtId="6" fontId="7" fillId="0" borderId="13" xfId="0" applyNumberFormat="1" applyFont="1" applyFill="1" applyBorder="1"/>
    <xf numFmtId="10" fontId="0" fillId="0" borderId="0" xfId="48" applyNumberFormat="1" applyFont="1"/>
    <xf numFmtId="9" fontId="8" fillId="0" borderId="11" xfId="0" applyNumberFormat="1" applyFont="1" applyFill="1" applyBorder="1" applyAlignment="1">
      <alignment horizontal="center"/>
    </xf>
    <xf numFmtId="0" fontId="58" fillId="0" borderId="0" xfId="0" applyFont="1" applyFill="1" applyBorder="1"/>
    <xf numFmtId="0" fontId="10" fillId="0" borderId="21" xfId="0" quotePrefix="1" applyFont="1" applyFill="1" applyBorder="1" applyAlignment="1">
      <alignment horizontal="center" vertical="center" wrapText="1"/>
    </xf>
    <xf numFmtId="0" fontId="11" fillId="0" borderId="44" xfId="0" applyFont="1" applyBorder="1" applyAlignment="1">
      <alignment horizontal="center"/>
    </xf>
    <xf numFmtId="0" fontId="48" fillId="0" borderId="34" xfId="0" applyFont="1" applyFill="1" applyBorder="1"/>
    <xf numFmtId="0" fontId="7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center"/>
    </xf>
    <xf numFmtId="0" fontId="8" fillId="0" borderId="69" xfId="0" applyFont="1" applyFill="1" applyBorder="1" applyAlignment="1">
      <alignment horizontal="center"/>
    </xf>
    <xf numFmtId="0" fontId="27" fillId="0" borderId="70" xfId="0" applyFont="1" applyFill="1" applyBorder="1" applyAlignment="1">
      <alignment horizontal="center"/>
    </xf>
    <xf numFmtId="9" fontId="0" fillId="0" borderId="0" xfId="0" applyNumberFormat="1"/>
    <xf numFmtId="0" fontId="7" fillId="0" borderId="26" xfId="0" applyFont="1" applyBorder="1" applyAlignment="1">
      <alignment horizontal="center"/>
    </xf>
    <xf numFmtId="0" fontId="7" fillId="0" borderId="26" xfId="0" applyFont="1" applyBorder="1"/>
    <xf numFmtId="15" fontId="7" fillId="29" borderId="26" xfId="0" applyNumberFormat="1" applyFont="1" applyFill="1" applyBorder="1" applyAlignment="1">
      <alignment horizontal="center"/>
    </xf>
    <xf numFmtId="0" fontId="9" fillId="30" borderId="26" xfId="0" applyFont="1" applyFill="1" applyBorder="1" applyAlignment="1">
      <alignment horizontal="center"/>
    </xf>
    <xf numFmtId="165" fontId="9" fillId="30" borderId="26" xfId="28" applyNumberFormat="1" applyFont="1" applyFill="1" applyBorder="1" applyAlignment="1">
      <alignment horizontal="center"/>
    </xf>
    <xf numFmtId="165" fontId="7" fillId="30" borderId="26" xfId="28" applyNumberFormat="1" applyFont="1" applyFill="1" applyBorder="1" applyAlignment="1">
      <alignment horizontal="center"/>
    </xf>
    <xf numFmtId="0" fontId="7" fillId="0" borderId="26" xfId="0" applyFont="1" applyFill="1" applyBorder="1"/>
    <xf numFmtId="1" fontId="9" fillId="26" borderId="71" xfId="0" applyNumberFormat="1" applyFont="1" applyFill="1" applyBorder="1" applyProtection="1"/>
    <xf numFmtId="0" fontId="7" fillId="0" borderId="72" xfId="0" applyFont="1" applyFill="1" applyBorder="1" applyProtection="1"/>
    <xf numFmtId="0" fontId="7" fillId="0" borderId="73" xfId="0" applyFont="1" applyFill="1" applyBorder="1" applyProtection="1"/>
    <xf numFmtId="0" fontId="7" fillId="0" borderId="74" xfId="0" applyFont="1" applyFill="1" applyBorder="1" applyProtection="1"/>
    <xf numFmtId="3" fontId="7" fillId="0" borderId="34" xfId="0" applyNumberFormat="1" applyFont="1" applyFill="1" applyBorder="1" applyAlignment="1">
      <alignment horizontal="left"/>
    </xf>
    <xf numFmtId="166" fontId="18" fillId="25" borderId="26" xfId="0" applyNumberFormat="1" applyFont="1" applyFill="1" applyBorder="1" applyAlignment="1">
      <alignment horizontal="center" wrapText="1"/>
    </xf>
    <xf numFmtId="6" fontId="18" fillId="25" borderId="26" xfId="0" applyNumberFormat="1" applyFont="1" applyFill="1" applyBorder="1" applyAlignment="1">
      <alignment horizontal="center" wrapText="1"/>
    </xf>
    <xf numFmtId="8" fontId="18" fillId="25" borderId="26" xfId="0" applyNumberFormat="1" applyFont="1" applyFill="1" applyBorder="1" applyAlignment="1">
      <alignment horizontal="center" wrapText="1"/>
    </xf>
    <xf numFmtId="1" fontId="18" fillId="26" borderId="75" xfId="0" applyNumberFormat="1" applyFont="1" applyFill="1" applyBorder="1" applyAlignment="1" applyProtection="1">
      <alignment horizontal="center"/>
    </xf>
    <xf numFmtId="1" fontId="18" fillId="26" borderId="76" xfId="0" quotePrefix="1" applyNumberFormat="1" applyFont="1" applyFill="1" applyBorder="1" applyAlignment="1" applyProtection="1">
      <alignment horizontal="center"/>
    </xf>
    <xf numFmtId="5" fontId="7" fillId="0" borderId="11" xfId="0" applyNumberFormat="1" applyFont="1" applyFill="1" applyBorder="1" applyProtection="1"/>
    <xf numFmtId="5" fontId="9" fillId="0" borderId="77" xfId="0" applyNumberFormat="1" applyFont="1" applyFill="1" applyBorder="1" applyProtection="1"/>
    <xf numFmtId="5" fontId="7" fillId="0" borderId="77" xfId="0" applyNumberFormat="1" applyFont="1" applyFill="1" applyBorder="1" applyProtection="1"/>
    <xf numFmtId="5" fontId="9" fillId="0" borderId="11" xfId="0" applyNumberFormat="1" applyFont="1" applyFill="1" applyBorder="1" applyProtection="1"/>
    <xf numFmtId="37" fontId="7" fillId="0" borderId="11" xfId="28" applyNumberFormat="1" applyFont="1" applyFill="1" applyBorder="1" applyProtection="1"/>
    <xf numFmtId="38" fontId="7" fillId="0" borderId="11" xfId="0" applyNumberFormat="1" applyFont="1" applyFill="1" applyBorder="1" applyProtection="1"/>
    <xf numFmtId="165" fontId="9" fillId="0" borderId="11" xfId="28" applyNumberFormat="1" applyFont="1" applyFill="1" applyBorder="1" applyProtection="1"/>
    <xf numFmtId="166" fontId="7" fillId="0" borderId="11" xfId="28" applyNumberFormat="1" applyFont="1" applyFill="1" applyBorder="1" applyProtection="1"/>
    <xf numFmtId="6" fontId="9" fillId="0" borderId="11" xfId="0" applyNumberFormat="1" applyFont="1" applyFill="1" applyBorder="1" applyProtection="1"/>
    <xf numFmtId="5" fontId="7" fillId="0" borderId="75" xfId="0" applyNumberFormat="1" applyFont="1" applyFill="1" applyBorder="1" applyProtection="1"/>
    <xf numFmtId="5" fontId="9" fillId="0" borderId="75" xfId="0" applyNumberFormat="1" applyFont="1" applyFill="1" applyBorder="1" applyProtection="1"/>
    <xf numFmtId="37" fontId="7" fillId="0" borderId="13" xfId="28" applyNumberFormat="1" applyFont="1" applyFill="1" applyBorder="1" applyProtection="1"/>
    <xf numFmtId="38" fontId="7" fillId="0" borderId="75" xfId="0" applyNumberFormat="1" applyFont="1" applyFill="1" applyBorder="1" applyProtection="1"/>
    <xf numFmtId="165" fontId="9" fillId="0" borderId="75" xfId="28" applyNumberFormat="1" applyFont="1" applyFill="1" applyBorder="1" applyProtection="1"/>
    <xf numFmtId="166" fontId="7" fillId="0" borderId="75" xfId="28" applyNumberFormat="1" applyFont="1" applyFill="1" applyBorder="1" applyProtection="1"/>
    <xf numFmtId="6" fontId="9" fillId="0" borderId="75" xfId="0" applyNumberFormat="1" applyFont="1" applyFill="1" applyBorder="1" applyProtection="1"/>
    <xf numFmtId="166" fontId="7" fillId="0" borderId="13" xfId="28" applyNumberFormat="1" applyFont="1" applyFill="1" applyBorder="1" applyProtection="1"/>
    <xf numFmtId="37" fontId="7" fillId="0" borderId="75" xfId="28" applyNumberFormat="1" applyFont="1" applyFill="1" applyBorder="1" applyProtection="1"/>
    <xf numFmtId="37" fontId="7" fillId="0" borderId="77" xfId="28" applyNumberFormat="1" applyFont="1" applyFill="1" applyBorder="1" applyProtection="1"/>
    <xf numFmtId="165" fontId="9" fillId="0" borderId="77" xfId="28" applyNumberFormat="1" applyFont="1" applyFill="1" applyBorder="1" applyProtection="1"/>
    <xf numFmtId="166" fontId="7" fillId="0" borderId="77" xfId="28" applyNumberFormat="1" applyFont="1" applyFill="1" applyBorder="1" applyProtection="1"/>
    <xf numFmtId="6" fontId="9" fillId="0" borderId="77" xfId="0" applyNumberFormat="1" applyFont="1" applyFill="1" applyBorder="1" applyProtection="1"/>
    <xf numFmtId="0" fontId="40" fillId="25" borderId="10" xfId="0" applyFont="1" applyFill="1" applyBorder="1" applyAlignment="1">
      <alignment horizontal="center" vertical="center" wrapText="1"/>
    </xf>
    <xf numFmtId="0" fontId="54" fillId="29" borderId="10" xfId="0" applyFont="1" applyFill="1" applyBorder="1" applyAlignment="1">
      <alignment horizontal="center" vertical="center" wrapText="1"/>
    </xf>
    <xf numFmtId="0" fontId="40" fillId="29" borderId="44" xfId="0" applyFont="1" applyFill="1" applyBorder="1" applyAlignment="1">
      <alignment horizontal="center" vertical="center" wrapText="1"/>
    </xf>
    <xf numFmtId="0" fontId="40" fillId="29" borderId="10" xfId="0" applyFont="1" applyFill="1" applyBorder="1" applyAlignment="1">
      <alignment horizontal="center" vertical="center" wrapText="1"/>
    </xf>
    <xf numFmtId="0" fontId="24" fillId="27" borderId="10" xfId="0" applyFont="1" applyFill="1" applyBorder="1" applyAlignment="1">
      <alignment horizontal="center" vertical="center" wrapText="1"/>
    </xf>
    <xf numFmtId="2" fontId="0" fillId="0" borderId="0" xfId="0" applyNumberFormat="1"/>
    <xf numFmtId="5" fontId="20" fillId="27" borderId="30" xfId="0" applyNumberFormat="1" applyFont="1" applyFill="1" applyBorder="1" applyProtection="1"/>
    <xf numFmtId="0" fontId="7" fillId="0" borderId="14" xfId="0" applyFont="1" applyBorder="1"/>
    <xf numFmtId="166" fontId="61" fillId="0" borderId="11" xfId="0" applyNumberFormat="1" applyFont="1" applyFill="1" applyBorder="1"/>
    <xf numFmtId="6" fontId="7" fillId="0" borderId="0" xfId="0" applyNumberFormat="1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0" fontId="16" fillId="0" borderId="0" xfId="0" applyFont="1" applyFill="1" applyAlignment="1">
      <alignment vertical="center"/>
    </xf>
    <xf numFmtId="10" fontId="7" fillId="0" borderId="10" xfId="0" applyNumberFormat="1" applyFont="1" applyFill="1" applyBorder="1"/>
    <xf numFmtId="1" fontId="7" fillId="26" borderId="60" xfId="0" applyNumberFormat="1" applyFont="1" applyFill="1" applyBorder="1" applyAlignment="1" applyProtection="1">
      <alignment horizontal="center"/>
    </xf>
    <xf numFmtId="1" fontId="9" fillId="26" borderId="71" xfId="0" applyNumberFormat="1" applyFont="1" applyFill="1" applyBorder="1" applyAlignment="1" applyProtection="1">
      <alignment horizontal="center"/>
    </xf>
    <xf numFmtId="6" fontId="7" fillId="0" borderId="0" xfId="0" applyNumberFormat="1" applyFont="1" applyBorder="1"/>
    <xf numFmtId="0" fontId="20" fillId="27" borderId="78" xfId="0" applyFont="1" applyFill="1" applyBorder="1" applyAlignment="1">
      <alignment horizontal="left"/>
    </xf>
    <xf numFmtId="0" fontId="38" fillId="27" borderId="78" xfId="0" applyFont="1" applyFill="1" applyBorder="1"/>
    <xf numFmtId="3" fontId="7" fillId="0" borderId="11" xfId="0" applyNumberFormat="1" applyFont="1" applyFill="1" applyBorder="1" applyAlignment="1">
      <alignment horizontal="right"/>
    </xf>
    <xf numFmtId="0" fontId="0" fillId="0" borderId="10" xfId="0" applyBorder="1"/>
    <xf numFmtId="38" fontId="7" fillId="0" borderId="10" xfId="0" applyNumberFormat="1" applyFont="1" applyBorder="1"/>
    <xf numFmtId="0" fontId="7" fillId="0" borderId="44" xfId="0" applyFont="1" applyFill="1" applyBorder="1"/>
    <xf numFmtId="5" fontId="7" fillId="0" borderId="79" xfId="0" applyNumberFormat="1" applyFont="1" applyFill="1" applyBorder="1"/>
    <xf numFmtId="0" fontId="7" fillId="0" borderId="79" xfId="0" applyFont="1" applyFill="1" applyBorder="1"/>
    <xf numFmtId="0" fontId="7" fillId="0" borderId="79" xfId="0" applyFont="1" applyBorder="1"/>
    <xf numFmtId="0" fontId="24" fillId="25" borderId="13" xfId="0" applyFont="1" applyFill="1" applyBorder="1" applyAlignment="1">
      <alignment horizontal="center" vertical="center" wrapText="1"/>
    </xf>
    <xf numFmtId="6" fontId="7" fillId="0" borderId="11" xfId="0" applyNumberFormat="1" applyFont="1" applyFill="1" applyBorder="1" applyProtection="1"/>
    <xf numFmtId="6" fontId="7" fillId="0" borderId="75" xfId="0" applyNumberFormat="1" applyFont="1" applyFill="1" applyBorder="1" applyProtection="1"/>
    <xf numFmtId="6" fontId="7" fillId="0" borderId="77" xfId="0" applyNumberFormat="1" applyFont="1" applyFill="1" applyBorder="1" applyProtection="1"/>
    <xf numFmtId="0" fontId="10" fillId="0" borderId="0" xfId="0" applyFont="1" applyFill="1" applyBorder="1" applyAlignment="1">
      <alignment horizontal="left" wrapText="1"/>
    </xf>
    <xf numFmtId="0" fontId="24" fillId="25" borderId="13" xfId="0" quotePrefix="1" applyFont="1" applyFill="1" applyBorder="1" applyAlignment="1">
      <alignment horizontal="center" vertical="center" wrapText="1"/>
    </xf>
    <xf numFmtId="9" fontId="19" fillId="27" borderId="80" xfId="48" applyFont="1" applyFill="1" applyBorder="1" applyAlignment="1">
      <alignment horizontal="right"/>
    </xf>
    <xf numFmtId="9" fontId="19" fillId="27" borderId="81" xfId="0" applyNumberFormat="1" applyFont="1" applyFill="1" applyBorder="1" applyAlignment="1">
      <alignment horizontal="right"/>
    </xf>
    <xf numFmtId="9" fontId="19" fillId="27" borderId="81" xfId="48" applyFont="1" applyFill="1" applyBorder="1" applyAlignment="1">
      <alignment horizontal="right"/>
    </xf>
    <xf numFmtId="165" fontId="19" fillId="27" borderId="81" xfId="28" applyNumberFormat="1" applyFont="1" applyFill="1" applyBorder="1" applyAlignment="1">
      <alignment horizontal="right"/>
    </xf>
    <xf numFmtId="165" fontId="19" fillId="27" borderId="80" xfId="28" applyNumberFormat="1" applyFont="1" applyFill="1" applyBorder="1" applyAlignment="1">
      <alignment horizontal="right"/>
    </xf>
    <xf numFmtId="166" fontId="19" fillId="27" borderId="81" xfId="28" applyNumberFormat="1" applyFont="1" applyFill="1" applyBorder="1" applyAlignment="1">
      <alignment horizontal="right"/>
    </xf>
    <xf numFmtId="9" fontId="19" fillId="27" borderId="81" xfId="28" applyNumberFormat="1" applyFont="1" applyFill="1" applyBorder="1" applyAlignment="1">
      <alignment horizontal="right"/>
    </xf>
    <xf numFmtId="9" fontId="19" fillId="27" borderId="81" xfId="0" applyNumberFormat="1" applyFont="1" applyFill="1" applyBorder="1" applyAlignment="1">
      <alignment horizontal="center"/>
    </xf>
    <xf numFmtId="39" fontId="19" fillId="27" borderId="81" xfId="28" applyNumberFormat="1" applyFont="1" applyFill="1" applyBorder="1" applyAlignment="1">
      <alignment horizontal="center"/>
    </xf>
    <xf numFmtId="0" fontId="64" fillId="25" borderId="13" xfId="0" applyFont="1" applyFill="1" applyBorder="1" applyAlignment="1">
      <alignment horizontal="center" vertical="center" wrapText="1"/>
    </xf>
    <xf numFmtId="167" fontId="24" fillId="25" borderId="13" xfId="0" applyNumberFormat="1" applyFont="1" applyFill="1" applyBorder="1" applyAlignment="1">
      <alignment horizontal="center" vertical="center" wrapText="1"/>
    </xf>
    <xf numFmtId="0" fontId="54" fillId="25" borderId="11" xfId="0" applyFont="1" applyFill="1" applyBorder="1" applyAlignment="1">
      <alignment horizontal="center" vertical="center" wrapText="1"/>
    </xf>
    <xf numFmtId="0" fontId="54" fillId="27" borderId="11" xfId="0" applyFont="1" applyFill="1" applyBorder="1" applyAlignment="1">
      <alignment horizontal="center" vertical="center" wrapText="1"/>
    </xf>
    <xf numFmtId="0" fontId="54" fillId="25" borderId="26" xfId="0" applyFont="1" applyFill="1" applyBorder="1" applyAlignment="1">
      <alignment horizontal="center" vertical="center" wrapText="1"/>
    </xf>
    <xf numFmtId="2" fontId="18" fillId="27" borderId="26" xfId="0" applyNumberFormat="1" applyFont="1" applyFill="1" applyBorder="1" applyAlignment="1">
      <alignment horizontal="center" wrapText="1"/>
    </xf>
    <xf numFmtId="10" fontId="18" fillId="27" borderId="26" xfId="0" applyNumberFormat="1" applyFont="1" applyFill="1" applyBorder="1" applyAlignment="1">
      <alignment horizontal="center" wrapText="1"/>
    </xf>
    <xf numFmtId="0" fontId="41" fillId="25" borderId="10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right"/>
    </xf>
    <xf numFmtId="0" fontId="24" fillId="0" borderId="67" xfId="0" applyFont="1" applyBorder="1" applyAlignment="1">
      <alignment horizontal="right"/>
    </xf>
    <xf numFmtId="5" fontId="24" fillId="0" borderId="82" xfId="32" applyNumberFormat="1" applyFont="1" applyBorder="1" applyAlignment="1">
      <alignment horizontal="right"/>
    </xf>
    <xf numFmtId="2" fontId="24" fillId="0" borderId="82" xfId="0" applyNumberFormat="1" applyFont="1" applyBorder="1" applyAlignment="1">
      <alignment horizontal="right"/>
    </xf>
    <xf numFmtId="0" fontId="24" fillId="0" borderId="12" xfId="0" applyFont="1" applyBorder="1" applyAlignment="1">
      <alignment horizontal="right"/>
    </xf>
    <xf numFmtId="43" fontId="24" fillId="0" borderId="12" xfId="28" applyNumberFormat="1" applyFont="1" applyBorder="1" applyAlignment="1">
      <alignment horizontal="right"/>
    </xf>
    <xf numFmtId="43" fontId="24" fillId="0" borderId="12" xfId="28" applyFont="1" applyBorder="1" applyAlignment="1">
      <alignment horizontal="right"/>
    </xf>
    <xf numFmtId="10" fontId="24" fillId="0" borderId="12" xfId="0" applyNumberFormat="1" applyFont="1" applyBorder="1" applyAlignment="1">
      <alignment horizontal="right"/>
    </xf>
    <xf numFmtId="166" fontId="7" fillId="0" borderId="45" xfId="0" applyNumberFormat="1" applyFont="1" applyBorder="1"/>
    <xf numFmtId="166" fontId="7" fillId="27" borderId="45" xfId="0" applyNumberFormat="1" applyFont="1" applyFill="1" applyBorder="1"/>
    <xf numFmtId="10" fontId="7" fillId="0" borderId="45" xfId="0" applyNumberFormat="1" applyFont="1" applyBorder="1"/>
    <xf numFmtId="6" fontId="7" fillId="0" borderId="45" xfId="32" applyNumberFormat="1" applyFont="1" applyBorder="1"/>
    <xf numFmtId="166" fontId="7" fillId="27" borderId="11" xfId="0" applyNumberFormat="1" applyFont="1" applyFill="1" applyBorder="1"/>
    <xf numFmtId="165" fontId="7" fillId="0" borderId="11" xfId="28" applyNumberFormat="1" applyFont="1" applyBorder="1"/>
    <xf numFmtId="6" fontId="7" fillId="0" borderId="11" xfId="28" applyNumberFormat="1" applyFont="1" applyBorder="1"/>
    <xf numFmtId="166" fontId="7" fillId="0" borderId="83" xfId="0" applyNumberFormat="1" applyFont="1" applyBorder="1"/>
    <xf numFmtId="166" fontId="7" fillId="27" borderId="83" xfId="0" applyNumberFormat="1" applyFont="1" applyFill="1" applyBorder="1"/>
    <xf numFmtId="10" fontId="7" fillId="0" borderId="13" xfId="0" applyNumberFormat="1" applyFont="1" applyBorder="1"/>
    <xf numFmtId="10" fontId="7" fillId="0" borderId="83" xfId="0" applyNumberFormat="1" applyFont="1" applyBorder="1"/>
    <xf numFmtId="6" fontId="7" fillId="0" borderId="83" xfId="32" applyNumberFormat="1" applyFont="1" applyBorder="1"/>
    <xf numFmtId="166" fontId="7" fillId="27" borderId="13" xfId="0" applyNumberFormat="1" applyFont="1" applyFill="1" applyBorder="1"/>
    <xf numFmtId="165" fontId="7" fillId="0" borderId="13" xfId="28" applyNumberFormat="1" applyFont="1" applyBorder="1"/>
    <xf numFmtId="6" fontId="7" fillId="0" borderId="13" xfId="28" applyNumberFormat="1" applyFont="1" applyBorder="1"/>
    <xf numFmtId="166" fontId="7" fillId="27" borderId="11" xfId="0" applyNumberFormat="1" applyFont="1" applyFill="1" applyBorder="1" applyAlignment="1"/>
    <xf numFmtId="6" fontId="9" fillId="0" borderId="84" xfId="0" applyNumberFormat="1" applyFont="1" applyBorder="1"/>
    <xf numFmtId="6" fontId="9" fillId="0" borderId="12" xfId="0" applyNumberFormat="1" applyFont="1" applyBorder="1"/>
    <xf numFmtId="6" fontId="9" fillId="27" borderId="12" xfId="0" applyNumberFormat="1" applyFont="1" applyFill="1" applyBorder="1"/>
    <xf numFmtId="10" fontId="9" fillId="27" borderId="12" xfId="0" applyNumberFormat="1" applyFont="1" applyFill="1" applyBorder="1"/>
    <xf numFmtId="10" fontId="9" fillId="27" borderId="82" xfId="0" applyNumberFormat="1" applyFont="1" applyFill="1" applyBorder="1"/>
    <xf numFmtId="6" fontId="9" fillId="0" borderId="12" xfId="32" applyNumberFormat="1" applyFont="1" applyBorder="1"/>
    <xf numFmtId="38" fontId="9" fillId="0" borderId="12" xfId="0" applyNumberFormat="1" applyFont="1" applyBorder="1"/>
    <xf numFmtId="38" fontId="9" fillId="27" borderId="12" xfId="0" applyNumberFormat="1" applyFont="1" applyFill="1" applyBorder="1"/>
    <xf numFmtId="166" fontId="9" fillId="0" borderId="12" xfId="0" applyNumberFormat="1" applyFont="1" applyBorder="1"/>
    <xf numFmtId="166" fontId="9" fillId="0" borderId="82" xfId="0" applyNumberFormat="1" applyFont="1" applyBorder="1"/>
    <xf numFmtId="166" fontId="9" fillId="27" borderId="12" xfId="0" applyNumberFormat="1" applyFont="1" applyFill="1" applyBorder="1"/>
    <xf numFmtId="10" fontId="9" fillId="0" borderId="82" xfId="48" applyNumberFormat="1" applyFont="1" applyBorder="1"/>
    <xf numFmtId="166" fontId="7" fillId="0" borderId="0" xfId="0" applyNumberFormat="1" applyFont="1"/>
    <xf numFmtId="5" fontId="24" fillId="0" borderId="12" xfId="32" applyNumberFormat="1" applyFont="1" applyFill="1" applyBorder="1" applyAlignment="1">
      <alignment horizontal="right"/>
    </xf>
    <xf numFmtId="0" fontId="9" fillId="0" borderId="85" xfId="0" applyFont="1" applyFill="1" applyBorder="1" applyProtection="1"/>
    <xf numFmtId="0" fontId="24" fillId="0" borderId="86" xfId="0" applyFont="1" applyFill="1" applyBorder="1" applyAlignment="1" applyProtection="1">
      <alignment horizontal="center"/>
    </xf>
    <xf numFmtId="6" fontId="24" fillId="0" borderId="87" xfId="28" applyNumberFormat="1" applyFont="1" applyFill="1" applyBorder="1" applyProtection="1"/>
    <xf numFmtId="6" fontId="24" fillId="0" borderId="87" xfId="0" applyNumberFormat="1" applyFont="1" applyBorder="1"/>
    <xf numFmtId="165" fontId="24" fillId="0" borderId="87" xfId="28" applyNumberFormat="1" applyFont="1" applyFill="1" applyBorder="1" applyProtection="1"/>
    <xf numFmtId="5" fontId="24" fillId="0" borderId="87" xfId="0" applyNumberFormat="1" applyFont="1" applyFill="1" applyBorder="1" applyProtection="1"/>
    <xf numFmtId="6" fontId="24" fillId="27" borderId="88" xfId="28" applyNumberFormat="1" applyFont="1" applyFill="1" applyBorder="1" applyProtection="1"/>
    <xf numFmtId="0" fontId="9" fillId="0" borderId="0" xfId="0" applyFont="1" applyFill="1" applyBorder="1" applyProtection="1"/>
    <xf numFmtId="6" fontId="24" fillId="0" borderId="88" xfId="28" applyNumberFormat="1" applyFont="1" applyFill="1" applyBorder="1" applyProtection="1"/>
    <xf numFmtId="6" fontId="45" fillId="0" borderId="75" xfId="0" applyNumberFormat="1" applyFont="1" applyFill="1" applyBorder="1" applyProtection="1"/>
    <xf numFmtId="0" fontId="24" fillId="0" borderId="0" xfId="0" applyFont="1" applyFill="1" applyBorder="1" applyAlignment="1" applyProtection="1">
      <alignment horizontal="center"/>
    </xf>
    <xf numFmtId="6" fontId="7" fillId="0" borderId="79" xfId="0" applyNumberFormat="1" applyFont="1" applyFill="1" applyBorder="1"/>
    <xf numFmtId="6" fontId="7" fillId="0" borderId="0" xfId="28" applyNumberFormat="1" applyFont="1" applyBorder="1"/>
    <xf numFmtId="0" fontId="0" fillId="0" borderId="0" xfId="0" applyAlignment="1">
      <alignment vertical="center"/>
    </xf>
    <xf numFmtId="0" fontId="9" fillId="0" borderId="0" xfId="0" applyFont="1" applyAlignment="1">
      <alignment horizontal="right" vertical="center"/>
    </xf>
    <xf numFmtId="0" fontId="24" fillId="27" borderId="13" xfId="0" applyFont="1" applyFill="1" applyBorder="1" applyAlignment="1">
      <alignment horizontal="center" vertical="center" wrapText="1"/>
    </xf>
    <xf numFmtId="168" fontId="50" fillId="0" borderId="0" xfId="48" applyNumberFormat="1" applyFont="1" applyFill="1" applyBorder="1"/>
    <xf numFmtId="168" fontId="0" fillId="0" borderId="0" xfId="0" applyNumberFormat="1" applyBorder="1"/>
    <xf numFmtId="170" fontId="0" fillId="0" borderId="0" xfId="0" applyNumberFormat="1" applyBorder="1"/>
    <xf numFmtId="166" fontId="0" fillId="0" borderId="0" xfId="0" applyNumberFormat="1" applyBorder="1"/>
    <xf numFmtId="0" fontId="0" fillId="0" borderId="0" xfId="0" applyBorder="1" applyAlignment="1">
      <alignment vertical="center"/>
    </xf>
    <xf numFmtId="10" fontId="0" fillId="0" borderId="0" xfId="0" applyNumberFormat="1"/>
    <xf numFmtId="6" fontId="18" fillId="0" borderId="0" xfId="0" applyNumberFormat="1" applyFont="1" applyAlignment="1">
      <alignment horizontal="right"/>
    </xf>
    <xf numFmtId="0" fontId="17" fillId="27" borderId="91" xfId="0" applyFont="1" applyFill="1" applyBorder="1" applyAlignment="1">
      <alignment horizontal="center" vertical="center" wrapText="1"/>
    </xf>
    <xf numFmtId="5" fontId="17" fillId="27" borderId="92" xfId="0" applyNumberFormat="1" applyFont="1" applyFill="1" applyBorder="1" applyAlignment="1" applyProtection="1">
      <alignment vertical="center"/>
    </xf>
    <xf numFmtId="0" fontId="47" fillId="0" borderId="35" xfId="0" applyFont="1" applyBorder="1" applyAlignment="1">
      <alignment horizontal="right" wrapText="1"/>
    </xf>
    <xf numFmtId="166" fontId="19" fillId="0" borderId="14" xfId="28" applyNumberFormat="1" applyFont="1" applyFill="1" applyBorder="1" applyAlignment="1">
      <alignment horizontal="center"/>
    </xf>
    <xf numFmtId="6" fontId="9" fillId="0" borderId="34" xfId="0" applyNumberFormat="1" applyFont="1" applyFill="1" applyBorder="1" applyProtection="1"/>
    <xf numFmtId="3" fontId="59" fillId="0" borderId="13" xfId="0" applyNumberFormat="1" applyFont="1" applyFill="1" applyBorder="1" applyAlignment="1">
      <alignment horizontal="right"/>
    </xf>
    <xf numFmtId="6" fontId="59" fillId="0" borderId="13" xfId="0" applyNumberFormat="1" applyFont="1" applyBorder="1" applyAlignment="1">
      <alignment horizontal="right"/>
    </xf>
    <xf numFmtId="6" fontId="0" fillId="0" borderId="0" xfId="0" applyNumberFormat="1" applyBorder="1" applyAlignment="1">
      <alignment horizontal="right"/>
    </xf>
    <xf numFmtId="3" fontId="7" fillId="0" borderId="0" xfId="0" applyNumberFormat="1" applyFont="1" applyFill="1" applyBorder="1" applyAlignment="1">
      <alignment horizontal="center"/>
    </xf>
    <xf numFmtId="0" fontId="10" fillId="0" borderId="93" xfId="0" quotePrefix="1" applyFont="1" applyFill="1" applyBorder="1" applyAlignment="1">
      <alignment horizontal="center"/>
    </xf>
    <xf numFmtId="0" fontId="10" fillId="0" borderId="93" xfId="0" applyFont="1" applyFill="1" applyBorder="1" applyAlignment="1">
      <alignment horizontal="left"/>
    </xf>
    <xf numFmtId="5" fontId="12" fillId="0" borderId="94" xfId="0" applyNumberFormat="1" applyFont="1" applyFill="1" applyBorder="1" applyProtection="1"/>
    <xf numFmtId="5" fontId="12" fillId="0" borderId="59" xfId="0" applyNumberFormat="1" applyFont="1" applyFill="1" applyBorder="1" applyProtection="1"/>
    <xf numFmtId="0" fontId="10" fillId="0" borderId="89" xfId="0" quotePrefix="1" applyFont="1" applyFill="1" applyBorder="1" applyAlignment="1">
      <alignment horizontal="center"/>
    </xf>
    <xf numFmtId="0" fontId="10" fillId="0" borderId="89" xfId="0" applyFont="1" applyFill="1" applyBorder="1" applyAlignment="1">
      <alignment horizontal="left"/>
    </xf>
    <xf numFmtId="5" fontId="12" fillId="0" borderId="95" xfId="0" applyNumberFormat="1" applyFont="1" applyFill="1" applyBorder="1" applyProtection="1"/>
    <xf numFmtId="0" fontId="57" fillId="0" borderId="0" xfId="0" applyFont="1" applyAlignment="1">
      <alignment horizontal="center"/>
    </xf>
    <xf numFmtId="0" fontId="24" fillId="25" borderId="10" xfId="0" applyFont="1" applyFill="1" applyBorder="1" applyAlignment="1" applyProtection="1">
      <alignment horizontal="center" vertical="center" wrapText="1"/>
    </xf>
    <xf numFmtId="0" fontId="24" fillId="25" borderId="10" xfId="0" applyFont="1" applyFill="1" applyBorder="1" applyAlignment="1" applyProtection="1">
      <alignment vertical="center" wrapText="1"/>
    </xf>
    <xf numFmtId="0" fontId="24" fillId="25" borderId="13" xfId="0" applyFont="1" applyFill="1" applyBorder="1" applyAlignment="1" applyProtection="1">
      <alignment vertical="center"/>
    </xf>
    <xf numFmtId="166" fontId="18" fillId="27" borderId="26" xfId="0" applyNumberFormat="1" applyFont="1" applyFill="1" applyBorder="1" applyAlignment="1">
      <alignment horizontal="center" wrapText="1"/>
    </xf>
    <xf numFmtId="0" fontId="24" fillId="29" borderId="10" xfId="0" applyFont="1" applyFill="1" applyBorder="1" applyAlignment="1">
      <alignment horizontal="center" vertical="center" wrapText="1"/>
    </xf>
    <xf numFmtId="166" fontId="18" fillId="29" borderId="26" xfId="0" applyNumberFormat="1" applyFont="1" applyFill="1" applyBorder="1" applyAlignment="1">
      <alignment horizontal="center" wrapText="1"/>
    </xf>
    <xf numFmtId="3" fontId="7" fillId="0" borderId="0" xfId="0" applyNumberFormat="1" applyFont="1" applyFill="1" applyBorder="1" applyAlignment="1">
      <alignment horizontal="left"/>
    </xf>
    <xf numFmtId="3" fontId="37" fillId="0" borderId="0" xfId="0" applyNumberFormat="1" applyFont="1" applyFill="1" applyBorder="1" applyAlignment="1">
      <alignment horizontal="left"/>
    </xf>
    <xf numFmtId="5" fontId="9" fillId="25" borderId="11" xfId="0" applyNumberFormat="1" applyFont="1" applyFill="1" applyBorder="1" applyProtection="1"/>
    <xf numFmtId="5" fontId="9" fillId="25" borderId="75" xfId="0" applyNumberFormat="1" applyFont="1" applyFill="1" applyBorder="1" applyProtection="1"/>
    <xf numFmtId="5" fontId="9" fillId="25" borderId="77" xfId="0" applyNumberFormat="1" applyFont="1" applyFill="1" applyBorder="1" applyProtection="1"/>
    <xf numFmtId="9" fontId="19" fillId="0" borderId="96" xfId="0" applyNumberFormat="1" applyFont="1" applyFill="1" applyBorder="1" applyAlignment="1">
      <alignment horizontal="center"/>
    </xf>
    <xf numFmtId="0" fontId="10" fillId="0" borderId="18" xfId="0" quotePrefix="1" applyFont="1" applyFill="1" applyBorder="1" applyAlignment="1">
      <alignment horizontal="center" vertical="center" wrapText="1"/>
    </xf>
    <xf numFmtId="0" fontId="10" fillId="0" borderId="0" xfId="0" quotePrefix="1" applyFont="1" applyFill="1" applyBorder="1" applyAlignment="1">
      <alignment horizontal="center" vertical="center" wrapText="1"/>
    </xf>
    <xf numFmtId="3" fontId="73" fillId="0" borderId="35" xfId="0" applyNumberFormat="1" applyFont="1" applyFill="1" applyBorder="1" applyAlignment="1">
      <alignment horizontal="right"/>
    </xf>
    <xf numFmtId="6" fontId="59" fillId="0" borderId="35" xfId="0" applyNumberFormat="1" applyFont="1" applyBorder="1" applyAlignment="1">
      <alignment horizontal="right"/>
    </xf>
    <xf numFmtId="0" fontId="20" fillId="0" borderId="52" xfId="0" quotePrefix="1" applyFont="1" applyFill="1" applyBorder="1" applyAlignment="1">
      <alignment horizontal="center"/>
    </xf>
    <xf numFmtId="5" fontId="20" fillId="0" borderId="97" xfId="0" applyNumberFormat="1" applyFont="1" applyFill="1" applyBorder="1" applyAlignment="1" applyProtection="1">
      <alignment vertical="center"/>
    </xf>
    <xf numFmtId="5" fontId="24" fillId="25" borderId="87" xfId="0" applyNumberFormat="1" applyFont="1" applyFill="1" applyBorder="1" applyProtection="1"/>
    <xf numFmtId="167" fontId="7" fillId="0" borderId="0" xfId="0" applyNumberFormat="1" applyFont="1" applyBorder="1"/>
    <xf numFmtId="16" fontId="7" fillId="0" borderId="0" xfId="0" applyNumberFormat="1" applyFont="1" applyFill="1" applyBorder="1"/>
    <xf numFmtId="0" fontId="7" fillId="0" borderId="0" xfId="0" applyFont="1" applyBorder="1" applyAlignment="1">
      <alignment horizontal="center"/>
    </xf>
    <xf numFmtId="167" fontId="7" fillId="0" borderId="0" xfId="0" applyNumberFormat="1" applyFont="1" applyBorder="1" applyAlignment="1">
      <alignment horizontal="center"/>
    </xf>
    <xf numFmtId="167" fontId="7" fillId="0" borderId="0" xfId="0" applyNumberFormat="1" applyFont="1" applyFill="1" applyBorder="1" applyAlignment="1">
      <alignment horizontal="center"/>
    </xf>
    <xf numFmtId="5" fontId="95" fillId="0" borderId="87" xfId="0" applyNumberFormat="1" applyFont="1" applyFill="1" applyBorder="1" applyProtection="1"/>
    <xf numFmtId="6" fontId="95" fillId="0" borderId="87" xfId="0" applyNumberFormat="1" applyFont="1" applyFill="1" applyBorder="1" applyProtection="1"/>
    <xf numFmtId="165" fontId="95" fillId="0" borderId="87" xfId="28" applyNumberFormat="1" applyFont="1" applyFill="1" applyBorder="1" applyProtection="1"/>
    <xf numFmtId="0" fontId="36" fillId="0" borderId="0" xfId="0" quotePrefix="1" applyFont="1" applyBorder="1" applyAlignment="1">
      <alignment horizontal="center" vertical="center" wrapText="1"/>
    </xf>
    <xf numFmtId="10" fontId="24" fillId="0" borderId="82" xfId="32" applyNumberFormat="1" applyFont="1" applyFill="1" applyBorder="1" applyAlignment="1">
      <alignment horizontal="right"/>
    </xf>
    <xf numFmtId="0" fontId="44" fillId="0" borderId="11" xfId="45" applyFont="1" applyFill="1" applyBorder="1" applyAlignment="1">
      <alignment horizontal="right" wrapText="1"/>
    </xf>
    <xf numFmtId="166" fontId="44" fillId="0" borderId="11" xfId="45" applyNumberFormat="1" applyFont="1" applyFill="1" applyBorder="1" applyAlignment="1">
      <alignment horizontal="right" wrapText="1"/>
    </xf>
    <xf numFmtId="0" fontId="44" fillId="0" borderId="13" xfId="45" applyFont="1" applyFill="1" applyBorder="1" applyAlignment="1">
      <alignment horizontal="right" wrapText="1"/>
    </xf>
    <xf numFmtId="166" fontId="44" fillId="0" borderId="13" xfId="45" applyNumberFormat="1" applyFont="1" applyFill="1" applyBorder="1" applyAlignment="1">
      <alignment horizontal="right" wrapText="1"/>
    </xf>
    <xf numFmtId="0" fontId="0" fillId="0" borderId="11" xfId="0" applyFill="1" applyBorder="1"/>
    <xf numFmtId="166" fontId="0" fillId="0" borderId="11" xfId="0" applyNumberFormat="1" applyFill="1" applyBorder="1"/>
    <xf numFmtId="1" fontId="7" fillId="0" borderId="11" xfId="0" applyNumberFormat="1" applyFont="1" applyFill="1" applyBorder="1"/>
    <xf numFmtId="166" fontId="7" fillId="32" borderId="11" xfId="0" applyNumberFormat="1" applyFont="1" applyFill="1" applyBorder="1"/>
    <xf numFmtId="4" fontId="7" fillId="32" borderId="11" xfId="28" applyNumberFormat="1" applyFont="1" applyFill="1" applyBorder="1"/>
    <xf numFmtId="4" fontId="7" fillId="32" borderId="34" xfId="28" applyNumberFormat="1" applyFont="1" applyFill="1" applyBorder="1"/>
    <xf numFmtId="40" fontId="7" fillId="32" borderId="11" xfId="0" applyNumberFormat="1" applyFont="1" applyFill="1" applyBorder="1"/>
    <xf numFmtId="168" fontId="7" fillId="0" borderId="11" xfId="48" applyNumberFormat="1" applyFont="1" applyFill="1" applyBorder="1"/>
    <xf numFmtId="168" fontId="7" fillId="0" borderId="13" xfId="48" applyNumberFormat="1" applyFont="1" applyFill="1" applyBorder="1"/>
    <xf numFmtId="0" fontId="24" fillId="0" borderId="12" xfId="0" applyFont="1" applyFill="1" applyBorder="1" applyAlignment="1">
      <alignment horizontal="right"/>
    </xf>
    <xf numFmtId="3" fontId="7" fillId="31" borderId="11" xfId="0" applyNumberFormat="1" applyFont="1" applyFill="1" applyBorder="1"/>
    <xf numFmtId="168" fontId="7" fillId="25" borderId="11" xfId="48" applyNumberFormat="1" applyFont="1" applyFill="1" applyBorder="1"/>
    <xf numFmtId="2" fontId="44" fillId="0" borderId="11" xfId="45" applyNumberFormat="1" applyFont="1" applyFill="1" applyBorder="1" applyAlignment="1">
      <alignment horizontal="right" wrapText="1"/>
    </xf>
    <xf numFmtId="2" fontId="44" fillId="0" borderId="13" xfId="45" applyNumberFormat="1" applyFont="1" applyFill="1" applyBorder="1" applyAlignment="1">
      <alignment horizontal="right" wrapText="1"/>
    </xf>
    <xf numFmtId="2" fontId="0" fillId="0" borderId="11" xfId="0" applyNumberFormat="1" applyFill="1" applyBorder="1"/>
    <xf numFmtId="0" fontId="47" fillId="28" borderId="35" xfId="0" applyFont="1" applyFill="1" applyBorder="1" applyAlignment="1">
      <alignment horizontal="center" wrapText="1"/>
    </xf>
    <xf numFmtId="0" fontId="74" fillId="28" borderId="35" xfId="0" applyFont="1" applyFill="1" applyBorder="1" applyAlignment="1">
      <alignment horizontal="right" wrapText="1"/>
    </xf>
    <xf numFmtId="0" fontId="74" fillId="28" borderId="35" xfId="0" applyFont="1" applyFill="1" applyBorder="1" applyAlignment="1">
      <alignment horizontal="left" wrapText="1"/>
    </xf>
    <xf numFmtId="0" fontId="74" fillId="28" borderId="13" xfId="0" applyFont="1" applyFill="1" applyBorder="1" applyAlignment="1">
      <alignment horizontal="right" wrapText="1"/>
    </xf>
    <xf numFmtId="3" fontId="47" fillId="0" borderId="35" xfId="0" applyNumberFormat="1" applyFont="1" applyFill="1" applyBorder="1" applyAlignment="1">
      <alignment horizontal="right"/>
    </xf>
    <xf numFmtId="6" fontId="47" fillId="0" borderId="35" xfId="0" applyNumberFormat="1" applyFont="1" applyBorder="1" applyAlignment="1">
      <alignment horizontal="right"/>
    </xf>
    <xf numFmtId="6" fontId="47" fillId="0" borderId="13" xfId="0" applyNumberFormat="1" applyFont="1" applyBorder="1" applyAlignment="1">
      <alignment horizontal="right"/>
    </xf>
    <xf numFmtId="0" fontId="47" fillId="33" borderId="35" xfId="0" applyFont="1" applyFill="1" applyBorder="1" applyAlignment="1">
      <alignment horizontal="right" wrapText="1"/>
    </xf>
    <xf numFmtId="3" fontId="73" fillId="33" borderId="14" xfId="0" applyNumberFormat="1" applyFont="1" applyFill="1" applyBorder="1" applyAlignment="1">
      <alignment horizontal="right"/>
    </xf>
    <xf numFmtId="6" fontId="59" fillId="33" borderId="14" xfId="0" applyNumberFormat="1" applyFont="1" applyFill="1" applyBorder="1" applyAlignment="1">
      <alignment horizontal="right"/>
    </xf>
    <xf numFmtId="0" fontId="97" fillId="0" borderId="0" xfId="0" applyFont="1" applyFill="1"/>
    <xf numFmtId="0" fontId="73" fillId="0" borderId="13" xfId="0" applyFont="1" applyFill="1" applyBorder="1" applyAlignment="1">
      <alignment horizontal="center" wrapText="1"/>
    </xf>
    <xf numFmtId="6" fontId="73" fillId="0" borderId="13" xfId="0" applyNumberFormat="1" applyFont="1" applyBorder="1" applyAlignment="1">
      <alignment horizontal="right"/>
    </xf>
    <xf numFmtId="3" fontId="73" fillId="0" borderId="35" xfId="0" applyNumberFormat="1" applyFont="1" applyFill="1" applyBorder="1" applyAlignment="1">
      <alignment horizontal="right" wrapText="1"/>
    </xf>
    <xf numFmtId="6" fontId="73" fillId="0" borderId="35" xfId="0" applyNumberFormat="1" applyFont="1" applyBorder="1" applyAlignment="1">
      <alignment horizontal="right"/>
    </xf>
    <xf numFmtId="3" fontId="47" fillId="0" borderId="26" xfId="0" applyNumberFormat="1" applyFont="1" applyFill="1" applyBorder="1" applyAlignment="1">
      <alignment horizontal="right"/>
    </xf>
    <xf numFmtId="166" fontId="7" fillId="27" borderId="11" xfId="28" applyNumberFormat="1" applyFont="1" applyFill="1" applyBorder="1"/>
    <xf numFmtId="166" fontId="7" fillId="0" borderId="11" xfId="28" applyNumberFormat="1" applyFont="1" applyBorder="1"/>
    <xf numFmtId="166" fontId="7" fillId="27" borderId="13" xfId="28" applyNumberFormat="1" applyFont="1" applyFill="1" applyBorder="1"/>
    <xf numFmtId="166" fontId="7" fillId="0" borderId="13" xfId="28" applyNumberFormat="1" applyFont="1" applyBorder="1"/>
    <xf numFmtId="10" fontId="12" fillId="0" borderId="98" xfId="0" applyNumberFormat="1" applyFont="1" applyFill="1" applyBorder="1" applyAlignment="1" applyProtection="1">
      <alignment vertical="top"/>
    </xf>
    <xf numFmtId="10" fontId="12" fillId="0" borderId="99" xfId="0" applyNumberFormat="1" applyFont="1" applyFill="1" applyBorder="1" applyProtection="1"/>
    <xf numFmtId="10" fontId="12" fillId="0" borderId="100" xfId="0" applyNumberFormat="1" applyFont="1" applyFill="1" applyBorder="1" applyProtection="1"/>
    <xf numFmtId="10" fontId="10" fillId="0" borderId="100" xfId="0" applyNumberFormat="1" applyFont="1" applyFill="1" applyBorder="1" applyProtection="1"/>
    <xf numFmtId="10" fontId="12" fillId="0" borderId="101" xfId="0" applyNumberFormat="1" applyFont="1" applyFill="1" applyBorder="1" applyProtection="1"/>
    <xf numFmtId="10" fontId="20" fillId="0" borderId="100" xfId="0" applyNumberFormat="1" applyFont="1" applyFill="1" applyBorder="1" applyProtection="1"/>
    <xf numFmtId="10" fontId="12" fillId="0" borderId="102" xfId="0" applyNumberFormat="1" applyFont="1" applyFill="1" applyBorder="1" applyProtection="1"/>
    <xf numFmtId="10" fontId="20" fillId="0" borderId="103" xfId="0" applyNumberFormat="1" applyFont="1" applyFill="1" applyBorder="1" applyProtection="1"/>
    <xf numFmtId="10" fontId="20" fillId="0" borderId="104" xfId="0" applyNumberFormat="1" applyFont="1" applyFill="1" applyBorder="1" applyProtection="1"/>
    <xf numFmtId="10" fontId="12" fillId="0" borderId="105" xfId="0" applyNumberFormat="1" applyFont="1" applyFill="1" applyBorder="1" applyProtection="1"/>
    <xf numFmtId="10" fontId="38" fillId="27" borderId="103" xfId="0" applyNumberFormat="1" applyFont="1" applyFill="1" applyBorder="1" applyProtection="1"/>
    <xf numFmtId="10" fontId="38" fillId="0" borderId="106" xfId="0" applyNumberFormat="1" applyFont="1" applyFill="1" applyBorder="1" applyProtection="1"/>
    <xf numFmtId="10" fontId="12" fillId="0" borderId="107" xfId="0" applyNumberFormat="1" applyFont="1" applyFill="1" applyBorder="1" applyProtection="1"/>
    <xf numFmtId="10" fontId="12" fillId="0" borderId="108" xfId="0" applyNumberFormat="1" applyFont="1" applyFill="1" applyBorder="1" applyProtection="1"/>
    <xf numFmtId="10" fontId="12" fillId="0" borderId="109" xfId="0" applyNumberFormat="1" applyFont="1" applyFill="1" applyBorder="1" applyProtection="1"/>
    <xf numFmtId="10" fontId="20" fillId="27" borderId="110" xfId="0" applyNumberFormat="1" applyFont="1" applyFill="1" applyBorder="1" applyAlignment="1" applyProtection="1">
      <alignment vertical="center"/>
    </xf>
    <xf numFmtId="10" fontId="38" fillId="0" borderId="100" xfId="0" applyNumberFormat="1" applyFont="1" applyFill="1" applyBorder="1" applyProtection="1"/>
    <xf numFmtId="10" fontId="12" fillId="27" borderId="112" xfId="0" applyNumberFormat="1" applyFont="1" applyFill="1" applyBorder="1" applyAlignment="1" applyProtection="1">
      <alignment vertical="center"/>
    </xf>
    <xf numFmtId="10" fontId="12" fillId="0" borderId="113" xfId="0" applyNumberFormat="1" applyFont="1" applyFill="1" applyBorder="1" applyProtection="1"/>
    <xf numFmtId="0" fontId="10" fillId="0" borderId="114" xfId="0" applyFont="1" applyFill="1" applyBorder="1" applyAlignment="1">
      <alignment horizontal="left" vertical="center" wrapText="1"/>
    </xf>
    <xf numFmtId="5" fontId="12" fillId="0" borderId="115" xfId="0" applyNumberFormat="1" applyFont="1" applyFill="1" applyBorder="1" applyAlignment="1" applyProtection="1">
      <alignment vertical="center"/>
    </xf>
    <xf numFmtId="10" fontId="12" fillId="0" borderId="116" xfId="0" applyNumberFormat="1" applyFont="1" applyFill="1" applyBorder="1" applyProtection="1"/>
    <xf numFmtId="0" fontId="20" fillId="27" borderId="117" xfId="0" applyFont="1" applyFill="1" applyBorder="1" applyAlignment="1">
      <alignment horizontal="center" vertical="center"/>
    </xf>
    <xf numFmtId="5" fontId="20" fillId="27" borderId="118" xfId="0" applyNumberFormat="1" applyFont="1" applyFill="1" applyBorder="1" applyAlignment="1" applyProtection="1">
      <alignment vertical="center"/>
    </xf>
    <xf numFmtId="0" fontId="10" fillId="0" borderId="89" xfId="0" applyFont="1" applyFill="1" applyBorder="1" applyAlignment="1">
      <alignment horizontal="left" vertical="center" wrapText="1"/>
    </xf>
    <xf numFmtId="5" fontId="12" fillId="0" borderId="95" xfId="0" applyNumberFormat="1" applyFont="1" applyFill="1" applyBorder="1" applyAlignment="1" applyProtection="1">
      <alignment vertical="center"/>
    </xf>
    <xf numFmtId="10" fontId="12" fillId="0" borderId="119" xfId="0" applyNumberFormat="1" applyFont="1" applyFill="1" applyBorder="1" applyProtection="1"/>
    <xf numFmtId="0" fontId="98" fillId="0" borderId="0" xfId="0" applyFont="1" applyBorder="1"/>
    <xf numFmtId="0" fontId="98" fillId="26" borderId="13" xfId="0" applyFont="1" applyFill="1" applyBorder="1" applyAlignment="1">
      <alignment horizontal="center" vertical="center"/>
    </xf>
    <xf numFmtId="0" fontId="98" fillId="26" borderId="26" xfId="0" applyFont="1" applyFill="1" applyBorder="1" applyAlignment="1">
      <alignment horizontal="center" vertical="center"/>
    </xf>
    <xf numFmtId="0" fontId="98" fillId="26" borderId="26" xfId="0" applyFont="1" applyFill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/>
    </xf>
    <xf numFmtId="38" fontId="75" fillId="0" borderId="26" xfId="0" applyNumberFormat="1" applyFont="1" applyFill="1" applyBorder="1" applyAlignment="1">
      <alignment horizontal="center"/>
    </xf>
    <xf numFmtId="6" fontId="75" fillId="0" borderId="26" xfId="0" applyNumberFormat="1" applyFont="1" applyBorder="1" applyAlignment="1">
      <alignment horizontal="center"/>
    </xf>
    <xf numFmtId="6" fontId="75" fillId="0" borderId="26" xfId="0" applyNumberFormat="1" applyFont="1" applyBorder="1" applyAlignment="1">
      <alignment horizontal="center" wrapText="1"/>
    </xf>
    <xf numFmtId="6" fontId="75" fillId="0" borderId="26" xfId="0" applyNumberFormat="1" applyFont="1" applyFill="1" applyBorder="1" applyAlignment="1">
      <alignment horizontal="center"/>
    </xf>
    <xf numFmtId="0" fontId="75" fillId="0" borderId="0" xfId="0" applyFont="1" applyBorder="1"/>
    <xf numFmtId="0" fontId="101" fillId="0" borderId="0" xfId="0" quotePrefix="1" applyFont="1" applyFill="1" applyBorder="1" applyAlignment="1">
      <alignment horizontal="left" wrapText="1"/>
    </xf>
    <xf numFmtId="6" fontId="102" fillId="0" borderId="0" xfId="0" applyNumberFormat="1" applyFont="1" applyBorder="1" applyAlignment="1">
      <alignment horizontal="right"/>
    </xf>
    <xf numFmtId="38" fontId="102" fillId="0" borderId="0" xfId="0" applyNumberFormat="1" applyFont="1" applyBorder="1" applyAlignment="1">
      <alignment horizontal="right"/>
    </xf>
    <xf numFmtId="6" fontId="98" fillId="0" borderId="0" xfId="0" applyNumberFormat="1" applyFont="1" applyBorder="1"/>
    <xf numFmtId="0" fontId="102" fillId="0" borderId="0" xfId="0" applyFont="1" applyFill="1" applyBorder="1" applyAlignment="1">
      <alignment horizontal="left"/>
    </xf>
    <xf numFmtId="0" fontId="102" fillId="0" borderId="0" xfId="0" applyFont="1" applyBorder="1"/>
    <xf numFmtId="5" fontId="7" fillId="27" borderId="11" xfId="0" applyNumberFormat="1" applyFont="1" applyFill="1" applyBorder="1" applyProtection="1"/>
    <xf numFmtId="5" fontId="7" fillId="27" borderId="75" xfId="0" applyNumberFormat="1" applyFont="1" applyFill="1" applyBorder="1" applyProtection="1"/>
    <xf numFmtId="5" fontId="7" fillId="27" borderId="77" xfId="0" applyNumberFormat="1" applyFont="1" applyFill="1" applyBorder="1" applyProtection="1"/>
    <xf numFmtId="6" fontId="7" fillId="27" borderId="11" xfId="0" applyNumberFormat="1" applyFont="1" applyFill="1" applyBorder="1" applyProtection="1"/>
    <xf numFmtId="6" fontId="7" fillId="27" borderId="75" xfId="0" applyNumberFormat="1" applyFont="1" applyFill="1" applyBorder="1" applyProtection="1"/>
    <xf numFmtId="0" fontId="0" fillId="0" borderId="34" xfId="0" applyBorder="1" applyAlignment="1">
      <alignment wrapText="1"/>
    </xf>
    <xf numFmtId="0" fontId="0" fillId="0" borderId="0" xfId="0" applyBorder="1" applyAlignment="1">
      <alignment wrapText="1"/>
    </xf>
    <xf numFmtId="0" fontId="62" fillId="28" borderId="36" xfId="0" applyFont="1" applyFill="1" applyBorder="1" applyAlignment="1">
      <alignment horizontal="left" wrapText="1"/>
    </xf>
    <xf numFmtId="6" fontId="73" fillId="27" borderId="13" xfId="0" applyNumberFormat="1" applyFont="1" applyFill="1" applyBorder="1" applyAlignment="1">
      <alignment horizontal="right"/>
    </xf>
    <xf numFmtId="6" fontId="59" fillId="27" borderId="13" xfId="0" applyNumberFormat="1" applyFont="1" applyFill="1" applyBorder="1" applyAlignment="1">
      <alignment horizontal="right"/>
    </xf>
    <xf numFmtId="6" fontId="47" fillId="27" borderId="13" xfId="0" applyNumberFormat="1" applyFont="1" applyFill="1" applyBorder="1" applyAlignment="1">
      <alignment horizontal="right"/>
    </xf>
    <xf numFmtId="0" fontId="74" fillId="27" borderId="13" xfId="0" applyFont="1" applyFill="1" applyBorder="1" applyAlignment="1">
      <alignment horizontal="right" wrapText="1"/>
    </xf>
    <xf numFmtId="38" fontId="59" fillId="33" borderId="14" xfId="0" applyNumberFormat="1" applyFont="1" applyFill="1" applyBorder="1" applyAlignment="1">
      <alignment horizontal="right"/>
    </xf>
    <xf numFmtId="38" fontId="47" fillId="0" borderId="26" xfId="0" applyNumberFormat="1" applyFont="1" applyBorder="1" applyAlignment="1">
      <alignment horizontal="left"/>
    </xf>
    <xf numFmtId="6" fontId="47" fillId="0" borderId="26" xfId="0" applyNumberFormat="1" applyFont="1" applyFill="1" applyBorder="1" applyAlignment="1">
      <alignment horizontal="right"/>
    </xf>
    <xf numFmtId="6" fontId="47" fillId="27" borderId="26" xfId="0" applyNumberFormat="1" applyFont="1" applyFill="1" applyBorder="1" applyAlignment="1">
      <alignment horizontal="right"/>
    </xf>
    <xf numFmtId="0" fontId="71" fillId="0" borderId="0" xfId="0" applyFont="1" applyFill="1" applyBorder="1" applyAlignment="1">
      <alignment horizontal="left" vertical="center" wrapText="1"/>
    </xf>
    <xf numFmtId="6" fontId="0" fillId="27" borderId="13" xfId="0" applyNumberFormat="1" applyFill="1" applyBorder="1"/>
    <xf numFmtId="6" fontId="24" fillId="27" borderId="12" xfId="0" applyNumberFormat="1" applyFont="1" applyFill="1" applyBorder="1"/>
    <xf numFmtId="0" fontId="21" fillId="25" borderId="13" xfId="0" applyFont="1" applyFill="1" applyBorder="1" applyAlignment="1">
      <alignment horizontal="center" wrapText="1"/>
    </xf>
    <xf numFmtId="10" fontId="7" fillId="0" borderId="0" xfId="0" applyNumberFormat="1" applyFont="1" applyBorder="1"/>
    <xf numFmtId="6" fontId="75" fillId="0" borderId="26" xfId="0" applyNumberFormat="1" applyFont="1" applyFill="1" applyBorder="1" applyAlignment="1">
      <alignment horizontal="center" wrapText="1"/>
    </xf>
    <xf numFmtId="6" fontId="75" fillId="28" borderId="26" xfId="0" applyNumberFormat="1" applyFont="1" applyFill="1" applyBorder="1" applyAlignment="1">
      <alignment horizontal="center" wrapText="1"/>
    </xf>
    <xf numFmtId="0" fontId="7" fillId="0" borderId="0" xfId="0" applyFont="1" applyAlignment="1"/>
    <xf numFmtId="3" fontId="7" fillId="40" borderId="11" xfId="0" applyNumberFormat="1" applyFont="1" applyFill="1" applyBorder="1"/>
    <xf numFmtId="10" fontId="7" fillId="41" borderId="11" xfId="48" applyNumberFormat="1" applyFont="1" applyFill="1" applyBorder="1"/>
    <xf numFmtId="6" fontId="7" fillId="41" borderId="11" xfId="32" applyNumberFormat="1" applyFont="1" applyFill="1" applyBorder="1"/>
    <xf numFmtId="10" fontId="7" fillId="39" borderId="11" xfId="48" applyNumberFormat="1" applyFont="1" applyFill="1" applyBorder="1"/>
    <xf numFmtId="6" fontId="7" fillId="39" borderId="11" xfId="32" applyNumberFormat="1" applyFont="1" applyFill="1" applyBorder="1"/>
    <xf numFmtId="10" fontId="7" fillId="39" borderId="13" xfId="48" applyNumberFormat="1" applyFont="1" applyFill="1" applyBorder="1"/>
    <xf numFmtId="6" fontId="7" fillId="39" borderId="13" xfId="32" applyNumberFormat="1" applyFont="1" applyFill="1" applyBorder="1"/>
    <xf numFmtId="1" fontId="44" fillId="0" borderId="11" xfId="45" applyNumberFormat="1" applyFont="1" applyFill="1" applyBorder="1" applyAlignment="1">
      <alignment horizontal="right" wrapText="1"/>
    </xf>
    <xf numFmtId="10" fontId="7" fillId="41" borderId="11" xfId="0" applyNumberFormat="1" applyFont="1" applyFill="1" applyBorder="1"/>
    <xf numFmtId="10" fontId="7" fillId="41" borderId="13" xfId="0" applyNumberFormat="1" applyFont="1" applyFill="1" applyBorder="1"/>
    <xf numFmtId="10" fontId="7" fillId="39" borderId="11" xfId="0" applyNumberFormat="1" applyFont="1" applyFill="1" applyBorder="1"/>
    <xf numFmtId="166" fontId="7" fillId="41" borderId="11" xfId="0" applyNumberFormat="1" applyFont="1" applyFill="1" applyBorder="1"/>
    <xf numFmtId="166" fontId="7" fillId="41" borderId="13" xfId="0" applyNumberFormat="1" applyFont="1" applyFill="1" applyBorder="1"/>
    <xf numFmtId="166" fontId="7" fillId="39" borderId="11" xfId="0" applyNumberFormat="1" applyFont="1" applyFill="1" applyBorder="1"/>
    <xf numFmtId="9" fontId="18" fillId="27" borderId="26" xfId="0" applyNumberFormat="1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/>
    </xf>
    <xf numFmtId="168" fontId="50" fillId="0" borderId="0" xfId="0" applyNumberFormat="1" applyFont="1" applyAlignment="1">
      <alignment horizontal="center"/>
    </xf>
    <xf numFmtId="0" fontId="50" fillId="0" borderId="0" xfId="0" applyFont="1" applyFill="1" applyBorder="1" applyAlignment="1">
      <alignment horizontal="center" vertical="center"/>
    </xf>
    <xf numFmtId="3" fontId="7" fillId="41" borderId="11" xfId="0" applyNumberFormat="1" applyFont="1" applyFill="1" applyBorder="1"/>
    <xf numFmtId="0" fontId="59" fillId="0" borderId="35" xfId="0" applyFont="1" applyBorder="1" applyAlignment="1">
      <alignment horizontal="left" wrapText="1"/>
    </xf>
    <xf numFmtId="0" fontId="59" fillId="0" borderId="26" xfId="0" applyFont="1" applyBorder="1" applyAlignment="1">
      <alignment horizontal="left" wrapText="1"/>
    </xf>
    <xf numFmtId="0" fontId="59" fillId="0" borderId="35" xfId="0" applyFont="1" applyFill="1" applyBorder="1" applyAlignment="1">
      <alignment horizontal="left" wrapText="1"/>
    </xf>
    <xf numFmtId="38" fontId="7" fillId="0" borderId="77" xfId="0" applyNumberFormat="1" applyFont="1" applyFill="1" applyBorder="1" applyProtection="1"/>
    <xf numFmtId="49" fontId="65" fillId="41" borderId="34" xfId="0" applyNumberFormat="1" applyFont="1" applyFill="1" applyBorder="1" applyAlignment="1">
      <alignment horizontal="center" vertical="center" wrapText="1"/>
    </xf>
    <xf numFmtId="49" fontId="65" fillId="41" borderId="0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49" fontId="24" fillId="42" borderId="26" xfId="0" applyNumberFormat="1" applyFont="1" applyFill="1" applyBorder="1" applyAlignment="1">
      <alignment horizontal="center" vertical="center" wrapText="1"/>
    </xf>
    <xf numFmtId="49" fontId="24" fillId="41" borderId="34" xfId="0" applyNumberFormat="1" applyFont="1" applyFill="1" applyBorder="1" applyAlignment="1">
      <alignment horizontal="center" vertical="center" wrapText="1"/>
    </xf>
    <xf numFmtId="49" fontId="24" fillId="41" borderId="0" xfId="0" applyNumberFormat="1" applyFont="1" applyFill="1" applyBorder="1" applyAlignment="1">
      <alignment horizontal="center" vertical="center" wrapText="1"/>
    </xf>
    <xf numFmtId="10" fontId="24" fillId="42" borderId="26" xfId="49" applyNumberFormat="1" applyFont="1" applyFill="1" applyBorder="1" applyAlignment="1">
      <alignment horizontal="center" vertical="center" wrapText="1"/>
    </xf>
    <xf numFmtId="6" fontId="24" fillId="42" borderId="26" xfId="49" applyNumberFormat="1" applyFont="1" applyFill="1" applyBorder="1" applyAlignment="1">
      <alignment horizontal="center" vertical="center" wrapText="1"/>
    </xf>
    <xf numFmtId="1" fontId="7" fillId="26" borderId="11" xfId="0" applyNumberFormat="1" applyFont="1" applyFill="1" applyBorder="1" applyAlignment="1" applyProtection="1">
      <alignment horizontal="center"/>
    </xf>
    <xf numFmtId="1" fontId="9" fillId="26" borderId="11" xfId="0" applyNumberFormat="1" applyFont="1" applyFill="1" applyBorder="1" applyAlignment="1" applyProtection="1">
      <alignment horizontal="center"/>
    </xf>
    <xf numFmtId="1" fontId="18" fillId="26" borderId="10" xfId="0" quotePrefix="1" applyNumberFormat="1" applyFont="1" applyFill="1" applyBorder="1" applyAlignment="1" applyProtection="1">
      <alignment horizontal="center"/>
    </xf>
    <xf numFmtId="1" fontId="7" fillId="0" borderId="0" xfId="0" applyNumberFormat="1" applyFont="1" applyAlignment="1">
      <alignment horizontal="center"/>
    </xf>
    <xf numFmtId="1" fontId="7" fillId="26" borderId="26" xfId="0" applyNumberFormat="1" applyFont="1" applyFill="1" applyBorder="1" applyAlignment="1" applyProtection="1">
      <alignment horizontal="center"/>
    </xf>
    <xf numFmtId="1" fontId="9" fillId="26" borderId="26" xfId="0" applyNumberFormat="1" applyFont="1" applyFill="1" applyBorder="1" applyAlignment="1" applyProtection="1">
      <alignment horizontal="center"/>
    </xf>
    <xf numFmtId="1" fontId="18" fillId="26" borderId="26" xfId="0" applyNumberFormat="1" applyFont="1" applyFill="1" applyBorder="1" applyAlignment="1" applyProtection="1">
      <alignment horizontal="center"/>
    </xf>
    <xf numFmtId="1" fontId="18" fillId="26" borderId="26" xfId="0" applyNumberFormat="1" applyFont="1" applyFill="1" applyBorder="1" applyAlignment="1" applyProtection="1">
      <alignment horizontal="center" wrapText="1"/>
    </xf>
    <xf numFmtId="1" fontId="18" fillId="41" borderId="34" xfId="0" applyNumberFormat="1" applyFont="1" applyFill="1" applyBorder="1" applyAlignment="1" applyProtection="1">
      <alignment horizontal="center"/>
    </xf>
    <xf numFmtId="1" fontId="18" fillId="41" borderId="0" xfId="0" applyNumberFormat="1" applyFont="1" applyFill="1" applyBorder="1" applyAlignment="1" applyProtection="1">
      <alignment horizontal="center"/>
    </xf>
    <xf numFmtId="1" fontId="18" fillId="26" borderId="42" xfId="0" applyNumberFormat="1" applyFont="1" applyFill="1" applyBorder="1" applyAlignment="1" applyProtection="1">
      <alignment horizontal="center" wrapText="1"/>
    </xf>
    <xf numFmtId="1" fontId="7" fillId="0" borderId="26" xfId="0" applyNumberFormat="1" applyFont="1" applyBorder="1" applyAlignment="1">
      <alignment horizontal="center"/>
    </xf>
    <xf numFmtId="0" fontId="7" fillId="0" borderId="121" xfId="0" applyFont="1" applyFill="1" applyBorder="1" applyProtection="1"/>
    <xf numFmtId="0" fontId="7" fillId="0" borderId="122" xfId="0" applyFont="1" applyFill="1" applyBorder="1" applyProtection="1"/>
    <xf numFmtId="172" fontId="7" fillId="41" borderId="122" xfId="30" applyNumberFormat="1" applyFont="1" applyFill="1" applyBorder="1" applyAlignment="1" applyProtection="1">
      <alignment horizontal="right"/>
    </xf>
    <xf numFmtId="166" fontId="7" fillId="0" borderId="123" xfId="30" applyNumberFormat="1" applyFont="1" applyFill="1" applyBorder="1" applyAlignment="1" applyProtection="1">
      <alignment horizontal="right"/>
    </xf>
    <xf numFmtId="166" fontId="7" fillId="42" borderId="123" xfId="30" applyNumberFormat="1" applyFont="1" applyFill="1" applyBorder="1" applyAlignment="1" applyProtection="1">
      <alignment horizontal="right"/>
    </xf>
    <xf numFmtId="166" fontId="7" fillId="41" borderId="72" xfId="30" applyNumberFormat="1" applyFont="1" applyFill="1" applyBorder="1" applyAlignment="1" applyProtection="1">
      <alignment horizontal="right"/>
    </xf>
    <xf numFmtId="166" fontId="7" fillId="41" borderId="0" xfId="30" applyNumberFormat="1" applyFont="1" applyFill="1" applyBorder="1" applyAlignment="1" applyProtection="1">
      <alignment horizontal="right"/>
    </xf>
    <xf numFmtId="166" fontId="7" fillId="0" borderId="124" xfId="0" applyNumberFormat="1" applyFont="1" applyFill="1" applyBorder="1" applyAlignment="1" applyProtection="1">
      <alignment horizontal="right"/>
    </xf>
    <xf numFmtId="3" fontId="7" fillId="41" borderId="122" xfId="30" applyNumberFormat="1" applyFont="1" applyFill="1" applyBorder="1" applyAlignment="1" applyProtection="1">
      <alignment horizontal="right"/>
    </xf>
    <xf numFmtId="166" fontId="7" fillId="0" borderId="122" xfId="0" applyNumberFormat="1" applyFont="1" applyFill="1" applyBorder="1" applyAlignment="1" applyProtection="1">
      <alignment horizontal="right"/>
    </xf>
    <xf numFmtId="166" fontId="7" fillId="43" borderId="122" xfId="0" applyNumberFormat="1" applyFont="1" applyFill="1" applyBorder="1" applyAlignment="1" applyProtection="1">
      <alignment horizontal="right"/>
    </xf>
    <xf numFmtId="166" fontId="7" fillId="44" borderId="122" xfId="0" applyNumberFormat="1" applyFont="1" applyFill="1" applyBorder="1" applyAlignment="1" applyProtection="1">
      <alignment horizontal="right"/>
    </xf>
    <xf numFmtId="0" fontId="7" fillId="0" borderId="125" xfId="0" applyFont="1" applyFill="1" applyBorder="1" applyProtection="1"/>
    <xf numFmtId="0" fontId="7" fillId="0" borderId="126" xfId="0" applyFont="1" applyFill="1" applyBorder="1" applyProtection="1"/>
    <xf numFmtId="172" fontId="7" fillId="41" borderId="126" xfId="30" applyNumberFormat="1" applyFont="1" applyFill="1" applyBorder="1" applyAlignment="1" applyProtection="1">
      <alignment horizontal="right"/>
    </xf>
    <xf numFmtId="166" fontId="7" fillId="0" borderId="127" xfId="30" applyNumberFormat="1" applyFont="1" applyFill="1" applyBorder="1" applyAlignment="1" applyProtection="1">
      <alignment horizontal="right"/>
    </xf>
    <xf numFmtId="166" fontId="7" fillId="42" borderId="127" xfId="30" applyNumberFormat="1" applyFont="1" applyFill="1" applyBorder="1" applyAlignment="1" applyProtection="1">
      <alignment horizontal="right"/>
    </xf>
    <xf numFmtId="3" fontId="7" fillId="41" borderId="126" xfId="30" applyNumberFormat="1" applyFont="1" applyFill="1" applyBorder="1" applyAlignment="1" applyProtection="1">
      <alignment horizontal="right"/>
    </xf>
    <xf numFmtId="166" fontId="7" fillId="0" borderId="126" xfId="0" applyNumberFormat="1" applyFont="1" applyFill="1" applyBorder="1" applyAlignment="1" applyProtection="1">
      <alignment horizontal="right"/>
    </xf>
    <xf numFmtId="166" fontId="7" fillId="43" borderId="126" xfId="0" applyNumberFormat="1" applyFont="1" applyFill="1" applyBorder="1" applyAlignment="1" applyProtection="1">
      <alignment horizontal="right"/>
    </xf>
    <xf numFmtId="166" fontId="7" fillId="44" borderId="126" xfId="0" applyNumberFormat="1" applyFont="1" applyFill="1" applyBorder="1" applyAlignment="1" applyProtection="1">
      <alignment horizontal="right"/>
    </xf>
    <xf numFmtId="166" fontId="7" fillId="41" borderId="72" xfId="30" applyNumberFormat="1" applyFont="1" applyFill="1" applyBorder="1" applyAlignment="1" applyProtection="1">
      <alignment horizontal="right" wrapText="1"/>
    </xf>
    <xf numFmtId="0" fontId="7" fillId="41" borderId="0" xfId="0" applyFont="1" applyFill="1" applyBorder="1" applyAlignment="1">
      <alignment horizontal="center"/>
    </xf>
    <xf numFmtId="0" fontId="7" fillId="0" borderId="128" xfId="0" applyFont="1" applyFill="1" applyBorder="1" applyProtection="1"/>
    <xf numFmtId="0" fontId="7" fillId="0" borderId="129" xfId="0" applyFont="1" applyFill="1" applyBorder="1" applyProtection="1"/>
    <xf numFmtId="172" fontId="7" fillId="41" borderId="129" xfId="30" applyNumberFormat="1" applyFont="1" applyFill="1" applyBorder="1" applyAlignment="1" applyProtection="1">
      <alignment horizontal="right"/>
    </xf>
    <xf numFmtId="166" fontId="7" fillId="0" borderId="130" xfId="30" applyNumberFormat="1" applyFont="1" applyFill="1" applyBorder="1" applyAlignment="1" applyProtection="1">
      <alignment horizontal="right"/>
    </xf>
    <xf numFmtId="166" fontId="7" fillId="42" borderId="130" xfId="30" applyNumberFormat="1" applyFont="1" applyFill="1" applyBorder="1" applyAlignment="1" applyProtection="1">
      <alignment horizontal="right"/>
    </xf>
    <xf numFmtId="166" fontId="7" fillId="41" borderId="0" xfId="30" applyNumberFormat="1" applyFont="1" applyFill="1" applyBorder="1" applyAlignment="1" applyProtection="1"/>
    <xf numFmtId="166" fontId="7" fillId="0" borderId="131" xfId="0" applyNumberFormat="1" applyFont="1" applyFill="1" applyBorder="1" applyAlignment="1" applyProtection="1">
      <alignment horizontal="right"/>
    </xf>
    <xf numFmtId="3" fontId="7" fillId="41" borderId="129" xfId="30" applyNumberFormat="1" applyFont="1" applyFill="1" applyBorder="1" applyAlignment="1" applyProtection="1">
      <alignment horizontal="right"/>
    </xf>
    <xf numFmtId="166" fontId="7" fillId="0" borderId="129" xfId="0" applyNumberFormat="1" applyFont="1" applyFill="1" applyBorder="1" applyAlignment="1" applyProtection="1">
      <alignment horizontal="right"/>
    </xf>
    <xf numFmtId="166" fontId="7" fillId="43" borderId="129" xfId="0" applyNumberFormat="1" applyFont="1" applyFill="1" applyBorder="1" applyAlignment="1" applyProtection="1">
      <alignment horizontal="right"/>
    </xf>
    <xf numFmtId="166" fontId="7" fillId="44" borderId="129" xfId="0" applyNumberFormat="1" applyFont="1" applyFill="1" applyBorder="1" applyAlignment="1" applyProtection="1">
      <alignment horizontal="right"/>
    </xf>
    <xf numFmtId="166" fontId="7" fillId="41" borderId="0" xfId="30" applyNumberFormat="1" applyFont="1" applyFill="1" applyBorder="1" applyAlignment="1" applyProtection="1">
      <alignment horizontal="left"/>
    </xf>
    <xf numFmtId="172" fontId="7" fillId="41" borderId="126" xfId="0" applyNumberFormat="1" applyFont="1" applyFill="1" applyBorder="1" applyAlignment="1" applyProtection="1">
      <alignment horizontal="right"/>
    </xf>
    <xf numFmtId="166" fontId="7" fillId="0" borderId="127" xfId="0" applyNumberFormat="1" applyFont="1" applyFill="1" applyBorder="1" applyAlignment="1" applyProtection="1">
      <alignment horizontal="right"/>
    </xf>
    <xf numFmtId="166" fontId="7" fillId="42" borderId="127" xfId="0" applyNumberFormat="1" applyFont="1" applyFill="1" applyBorder="1" applyAlignment="1" applyProtection="1">
      <alignment horizontal="right"/>
    </xf>
    <xf numFmtId="166" fontId="7" fillId="41" borderId="72" xfId="0" applyNumberFormat="1" applyFont="1" applyFill="1" applyBorder="1" applyAlignment="1" applyProtection="1">
      <alignment horizontal="right"/>
    </xf>
    <xf numFmtId="166" fontId="7" fillId="41" borderId="0" xfId="0" applyNumberFormat="1" applyFont="1" applyFill="1" applyBorder="1" applyAlignment="1" applyProtection="1">
      <alignment horizontal="right"/>
    </xf>
    <xf numFmtId="3" fontId="7" fillId="41" borderId="126" xfId="0" applyNumberFormat="1" applyFont="1" applyFill="1" applyBorder="1" applyAlignment="1" applyProtection="1">
      <alignment horizontal="right"/>
    </xf>
    <xf numFmtId="172" fontId="7" fillId="41" borderId="129" xfId="0" applyNumberFormat="1" applyFont="1" applyFill="1" applyBorder="1" applyAlignment="1" applyProtection="1">
      <alignment horizontal="right"/>
    </xf>
    <xf numFmtId="166" fontId="7" fillId="0" borderId="130" xfId="0" applyNumberFormat="1" applyFont="1" applyFill="1" applyBorder="1" applyAlignment="1" applyProtection="1">
      <alignment horizontal="right"/>
    </xf>
    <xf numFmtId="166" fontId="7" fillId="42" borderId="130" xfId="0" applyNumberFormat="1" applyFont="1" applyFill="1" applyBorder="1" applyAlignment="1" applyProtection="1">
      <alignment horizontal="right"/>
    </xf>
    <xf numFmtId="3" fontId="7" fillId="41" borderId="129" xfId="0" applyNumberFormat="1" applyFont="1" applyFill="1" applyBorder="1" applyAlignment="1" applyProtection="1">
      <alignment horizontal="right"/>
    </xf>
    <xf numFmtId="172" fontId="7" fillId="41" borderId="122" xfId="0" applyNumberFormat="1" applyFont="1" applyFill="1" applyBorder="1" applyAlignment="1" applyProtection="1">
      <alignment horizontal="right"/>
    </xf>
    <xf numFmtId="166" fontId="7" fillId="0" borderId="123" xfId="0" applyNumberFormat="1" applyFont="1" applyFill="1" applyBorder="1" applyAlignment="1" applyProtection="1">
      <alignment horizontal="right"/>
    </xf>
    <xf numFmtId="166" fontId="7" fillId="42" borderId="123" xfId="0" applyNumberFormat="1" applyFont="1" applyFill="1" applyBorder="1" applyAlignment="1" applyProtection="1">
      <alignment horizontal="right"/>
    </xf>
    <xf numFmtId="3" fontId="7" fillId="41" borderId="122" xfId="0" applyNumberFormat="1" applyFont="1" applyFill="1" applyBorder="1" applyAlignment="1" applyProtection="1">
      <alignment horizontal="right"/>
    </xf>
    <xf numFmtId="0" fontId="7" fillId="0" borderId="132" xfId="0" applyFont="1" applyFill="1" applyBorder="1" applyProtection="1"/>
    <xf numFmtId="0" fontId="7" fillId="0" borderId="133" xfId="0" applyFont="1" applyFill="1" applyBorder="1" applyProtection="1"/>
    <xf numFmtId="172" fontId="7" fillId="41" borderId="133" xfId="0" applyNumberFormat="1" applyFont="1" applyFill="1" applyBorder="1" applyAlignment="1" applyProtection="1">
      <alignment horizontal="right"/>
    </xf>
    <xf numFmtId="166" fontId="7" fillId="0" borderId="134" xfId="0" applyNumberFormat="1" applyFont="1" applyFill="1" applyBorder="1" applyAlignment="1" applyProtection="1">
      <alignment horizontal="right"/>
    </xf>
    <xf numFmtId="166" fontId="7" fillId="42" borderId="134" xfId="0" applyNumberFormat="1" applyFont="1" applyFill="1" applyBorder="1" applyAlignment="1" applyProtection="1">
      <alignment horizontal="right"/>
    </xf>
    <xf numFmtId="3" fontId="7" fillId="41" borderId="133" xfId="0" applyNumberFormat="1" applyFont="1" applyFill="1" applyBorder="1" applyAlignment="1" applyProtection="1">
      <alignment horizontal="right"/>
    </xf>
    <xf numFmtId="166" fontId="7" fillId="0" borderId="133" xfId="0" applyNumberFormat="1" applyFont="1" applyFill="1" applyBorder="1" applyAlignment="1" applyProtection="1">
      <alignment horizontal="right"/>
    </xf>
    <xf numFmtId="166" fontId="7" fillId="43" borderId="133" xfId="0" applyNumberFormat="1" applyFont="1" applyFill="1" applyBorder="1" applyAlignment="1" applyProtection="1">
      <alignment horizontal="right"/>
    </xf>
    <xf numFmtId="166" fontId="7" fillId="44" borderId="133" xfId="0" applyNumberFormat="1" applyFont="1" applyFill="1" applyBorder="1" applyAlignment="1" applyProtection="1">
      <alignment horizontal="right"/>
    </xf>
    <xf numFmtId="0" fontId="9" fillId="0" borderId="135" xfId="0" applyFont="1" applyFill="1" applyBorder="1" applyProtection="1"/>
    <xf numFmtId="0" fontId="24" fillId="0" borderId="85" xfId="0" applyFont="1" applyFill="1" applyBorder="1" applyAlignment="1" applyProtection="1">
      <alignment horizontal="center"/>
    </xf>
    <xf numFmtId="172" fontId="24" fillId="41" borderId="85" xfId="30" applyNumberFormat="1" applyFont="1" applyFill="1" applyBorder="1" applyAlignment="1" applyProtection="1">
      <alignment horizontal="right"/>
    </xf>
    <xf numFmtId="166" fontId="24" fillId="0" borderId="86" xfId="30" applyNumberFormat="1" applyFont="1" applyFill="1" applyBorder="1" applyAlignment="1" applyProtection="1">
      <alignment horizontal="right"/>
    </xf>
    <xf numFmtId="166" fontId="24" fillId="42" borderId="86" xfId="30" applyNumberFormat="1" applyFont="1" applyFill="1" applyBorder="1" applyAlignment="1" applyProtection="1">
      <alignment horizontal="right"/>
    </xf>
    <xf numFmtId="166" fontId="24" fillId="41" borderId="0" xfId="30" applyNumberFormat="1" applyFont="1" applyFill="1" applyBorder="1" applyAlignment="1" applyProtection="1">
      <alignment horizontal="right"/>
    </xf>
    <xf numFmtId="166" fontId="9" fillId="0" borderId="136" xfId="0" applyNumberFormat="1" applyFont="1" applyFill="1" applyBorder="1" applyAlignment="1" applyProtection="1">
      <alignment horizontal="right"/>
    </xf>
    <xf numFmtId="3" fontId="24" fillId="41" borderId="85" xfId="30" applyNumberFormat="1" applyFont="1" applyFill="1" applyBorder="1" applyAlignment="1" applyProtection="1">
      <alignment horizontal="right"/>
    </xf>
    <xf numFmtId="166" fontId="24" fillId="43" borderId="85" xfId="30" applyNumberFormat="1" applyFont="1" applyFill="1" applyBorder="1" applyAlignment="1" applyProtection="1">
      <alignment horizontal="right"/>
    </xf>
    <xf numFmtId="166" fontId="24" fillId="44" borderId="85" xfId="30" applyNumberFormat="1" applyFont="1" applyFill="1" applyBorder="1" applyAlignment="1" applyProtection="1">
      <alignment horizontal="right"/>
    </xf>
    <xf numFmtId="0" fontId="9" fillId="0" borderId="0" xfId="0" applyFont="1" applyFill="1" applyBorder="1" applyAlignment="1" applyProtection="1"/>
    <xf numFmtId="38" fontId="24" fillId="0" borderId="0" xfId="30" applyNumberFormat="1" applyFont="1" applyFill="1" applyBorder="1" applyAlignment="1" applyProtection="1">
      <alignment horizontal="center"/>
    </xf>
    <xf numFmtId="0" fontId="9" fillId="41" borderId="0" xfId="0" applyFont="1" applyFill="1" applyBorder="1"/>
    <xf numFmtId="6" fontId="24" fillId="0" borderId="0" xfId="30" applyNumberFormat="1" applyFont="1" applyFill="1" applyBorder="1" applyAlignment="1" applyProtection="1">
      <alignment horizontal="center"/>
    </xf>
    <xf numFmtId="6" fontId="24" fillId="41" borderId="0" xfId="3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right" vertical="center"/>
    </xf>
    <xf numFmtId="0" fontId="7" fillId="0" borderId="0" xfId="0" applyFont="1" applyFill="1" applyBorder="1" applyAlignment="1" applyProtection="1"/>
    <xf numFmtId="0" fontId="7" fillId="0" borderId="0" xfId="0" quotePrefix="1" applyFont="1" applyAlignment="1">
      <alignment horizontal="center"/>
    </xf>
    <xf numFmtId="0" fontId="7" fillId="41" borderId="0" xfId="0" quotePrefix="1" applyFont="1" applyFill="1" applyBorder="1" applyAlignment="1">
      <alignment horizontal="center"/>
    </xf>
    <xf numFmtId="165" fontId="7" fillId="0" borderId="0" xfId="30" applyNumberFormat="1" applyFont="1" applyAlignment="1"/>
    <xf numFmtId="0" fontId="7" fillId="0" borderId="0" xfId="0" applyFont="1" applyAlignment="1">
      <alignment horizontal="left"/>
    </xf>
    <xf numFmtId="10" fontId="7" fillId="0" borderId="0" xfId="49" applyNumberFormat="1" applyFont="1" applyAlignment="1"/>
    <xf numFmtId="5" fontId="7" fillId="0" borderId="0" xfId="34" applyNumberFormat="1" applyFont="1" applyAlignment="1">
      <alignment horizontal="right"/>
    </xf>
    <xf numFmtId="10" fontId="7" fillId="0" borderId="14" xfId="0" applyNumberFormat="1" applyFont="1" applyBorder="1" applyAlignment="1">
      <alignment horizontal="right"/>
    </xf>
    <xf numFmtId="166" fontId="7" fillId="0" borderId="0" xfId="0" applyNumberFormat="1" applyFont="1" applyAlignment="1">
      <alignment horizontal="right"/>
    </xf>
    <xf numFmtId="169" fontId="7" fillId="0" borderId="14" xfId="0" applyNumberFormat="1" applyFont="1" applyBorder="1" applyAlignment="1">
      <alignment horizontal="right"/>
    </xf>
    <xf numFmtId="0" fontId="7" fillId="0" borderId="0" xfId="0" quotePrefix="1" applyFont="1" applyAlignment="1"/>
    <xf numFmtId="165" fontId="7" fillId="0" borderId="14" xfId="0" applyNumberFormat="1" applyFont="1" applyBorder="1" applyAlignment="1">
      <alignment horizontal="right"/>
    </xf>
    <xf numFmtId="6" fontId="7" fillId="0" borderId="14" xfId="0" applyNumberFormat="1" applyFont="1" applyBorder="1" applyAlignment="1">
      <alignment horizontal="right"/>
    </xf>
    <xf numFmtId="6" fontId="7" fillId="0" borderId="0" xfId="0" applyNumberFormat="1" applyFont="1" applyAlignment="1">
      <alignment horizontal="right"/>
    </xf>
    <xf numFmtId="5" fontId="26" fillId="41" borderId="0" xfId="0" applyNumberFormat="1" applyFont="1" applyFill="1" applyBorder="1" applyAlignment="1" applyProtection="1"/>
    <xf numFmtId="5" fontId="0" fillId="0" borderId="0" xfId="0" applyNumberFormat="1" applyBorder="1"/>
    <xf numFmtId="5" fontId="7" fillId="41" borderId="11" xfId="0" applyNumberFormat="1" applyFont="1" applyFill="1" applyBorder="1" applyProtection="1"/>
    <xf numFmtId="5" fontId="7" fillId="41" borderId="75" xfId="0" applyNumberFormat="1" applyFont="1" applyFill="1" applyBorder="1" applyProtection="1"/>
    <xf numFmtId="0" fontId="0" fillId="41" borderId="0" xfId="0" applyFill="1"/>
    <xf numFmtId="0" fontId="65" fillId="45" borderId="14" xfId="0" applyFont="1" applyFill="1" applyBorder="1" applyAlignment="1" applyProtection="1">
      <alignment vertical="center" wrapText="1"/>
    </xf>
    <xf numFmtId="0" fontId="34" fillId="0" borderId="14" xfId="0" quotePrefix="1" applyFont="1" applyBorder="1" applyAlignment="1">
      <alignment horizontal="center" wrapText="1"/>
    </xf>
    <xf numFmtId="5" fontId="73" fillId="41" borderId="13" xfId="0" applyNumberFormat="1" applyFont="1" applyFill="1" applyBorder="1" applyAlignment="1">
      <alignment horizontal="right" wrapText="1"/>
    </xf>
    <xf numFmtId="0" fontId="74" fillId="41" borderId="13" xfId="0" applyFont="1" applyFill="1" applyBorder="1" applyAlignment="1">
      <alignment horizontal="right" wrapText="1"/>
    </xf>
    <xf numFmtId="6" fontId="47" fillId="41" borderId="13" xfId="0" applyNumberFormat="1" applyFont="1" applyFill="1" applyBorder="1" applyAlignment="1">
      <alignment horizontal="right"/>
    </xf>
    <xf numFmtId="6" fontId="75" fillId="39" borderId="26" xfId="0" applyNumberFormat="1" applyFont="1" applyFill="1" applyBorder="1" applyAlignment="1">
      <alignment horizontal="center"/>
    </xf>
    <xf numFmtId="6" fontId="75" fillId="41" borderId="26" xfId="0" applyNumberFormat="1" applyFont="1" applyFill="1" applyBorder="1" applyAlignment="1">
      <alignment horizontal="center"/>
    </xf>
    <xf numFmtId="0" fontId="47" fillId="47" borderId="35" xfId="0" applyFont="1" applyFill="1" applyBorder="1" applyAlignment="1">
      <alignment horizontal="right" wrapText="1"/>
    </xf>
    <xf numFmtId="3" fontId="73" fillId="47" borderId="14" xfId="0" applyNumberFormat="1" applyFont="1" applyFill="1" applyBorder="1" applyAlignment="1">
      <alignment horizontal="right"/>
    </xf>
    <xf numFmtId="38" fontId="59" fillId="47" borderId="14" xfId="0" applyNumberFormat="1" applyFont="1" applyFill="1" applyBorder="1" applyAlignment="1">
      <alignment horizontal="right"/>
    </xf>
    <xf numFmtId="6" fontId="59" fillId="47" borderId="14" xfId="0" applyNumberFormat="1" applyFont="1" applyFill="1" applyBorder="1" applyAlignment="1">
      <alignment horizontal="right"/>
    </xf>
    <xf numFmtId="0" fontId="47" fillId="0" borderId="35" xfId="0" applyFont="1" applyFill="1" applyBorder="1" applyAlignment="1">
      <alignment horizontal="left" wrapText="1"/>
    </xf>
    <xf numFmtId="5" fontId="12" fillId="0" borderId="138" xfId="0" applyNumberFormat="1" applyFont="1" applyFill="1" applyBorder="1" applyProtection="1"/>
    <xf numFmtId="10" fontId="12" fillId="0" borderId="139" xfId="0" applyNumberFormat="1" applyFont="1" applyFill="1" applyBorder="1" applyProtection="1"/>
    <xf numFmtId="5" fontId="20" fillId="27" borderId="92" xfId="0" applyNumberFormat="1" applyFont="1" applyFill="1" applyBorder="1" applyProtection="1"/>
    <xf numFmtId="10" fontId="38" fillId="27" borderId="140" xfId="0" applyNumberFormat="1" applyFont="1" applyFill="1" applyBorder="1" applyProtection="1"/>
    <xf numFmtId="0" fontId="20" fillId="27" borderId="91" xfId="0" applyFont="1" applyFill="1" applyBorder="1" applyAlignment="1">
      <alignment horizontal="center"/>
    </xf>
    <xf numFmtId="0" fontId="51" fillId="48" borderId="0" xfId="0" applyFont="1" applyFill="1"/>
    <xf numFmtId="0" fontId="51" fillId="48" borderId="0" xfId="0" applyFont="1" applyFill="1" applyAlignment="1">
      <alignment horizontal="center"/>
    </xf>
    <xf numFmtId="0" fontId="0" fillId="0" borderId="0" xfId="0" applyBorder="1" applyAlignment="1">
      <alignment horizontal="left" wrapText="1"/>
    </xf>
    <xf numFmtId="5" fontId="0" fillId="0" borderId="0" xfId="0" applyNumberFormat="1" applyAlignment="1">
      <alignment horizontal="center"/>
    </xf>
    <xf numFmtId="1" fontId="7" fillId="26" borderId="60" xfId="0" applyNumberFormat="1" applyFont="1" applyFill="1" applyBorder="1" applyAlignment="1" applyProtection="1">
      <alignment horizontal="center" vertical="center"/>
    </xf>
    <xf numFmtId="1" fontId="9" fillId="26" borderId="71" xfId="0" applyNumberFormat="1" applyFont="1" applyFill="1" applyBorder="1" applyAlignment="1" applyProtection="1">
      <alignment horizontal="center" vertical="center"/>
    </xf>
    <xf numFmtId="1" fontId="18" fillId="26" borderId="75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6" fontId="7" fillId="43" borderId="11" xfId="0" applyNumberFormat="1" applyFont="1" applyFill="1" applyBorder="1" applyProtection="1"/>
    <xf numFmtId="6" fontId="7" fillId="43" borderId="75" xfId="0" applyNumberFormat="1" applyFont="1" applyFill="1" applyBorder="1" applyProtection="1"/>
    <xf numFmtId="0" fontId="0" fillId="0" borderId="0" xfId="0" applyBorder="1" applyAlignment="1">
      <alignment horizontal="center" wrapText="1"/>
    </xf>
    <xf numFmtId="6" fontId="7" fillId="43" borderId="77" xfId="0" applyNumberFormat="1" applyFont="1" applyFill="1" applyBorder="1" applyProtection="1"/>
    <xf numFmtId="6" fontId="24" fillId="0" borderId="88" xfId="31" applyNumberFormat="1" applyFont="1" applyFill="1" applyBorder="1" applyProtection="1"/>
    <xf numFmtId="6" fontId="24" fillId="43" borderId="88" xfId="31" applyNumberFormat="1" applyFont="1" applyFill="1" applyBorder="1" applyProtection="1"/>
    <xf numFmtId="10" fontId="50" fillId="0" borderId="0" xfId="48" applyNumberFormat="1" applyFont="1" applyFill="1" applyBorder="1"/>
    <xf numFmtId="6" fontId="24" fillId="0" borderId="82" xfId="32" applyNumberFormat="1" applyFont="1" applyBorder="1" applyAlignment="1">
      <alignment horizontal="right"/>
    </xf>
    <xf numFmtId="0" fontId="40" fillId="50" borderId="26" xfId="0" applyFont="1" applyFill="1" applyBorder="1" applyAlignment="1">
      <alignment horizontal="center" vertical="center" wrapText="1"/>
    </xf>
    <xf numFmtId="0" fontId="7" fillId="50" borderId="26" xfId="0" applyFont="1" applyFill="1" applyBorder="1"/>
    <xf numFmtId="1" fontId="18" fillId="26" borderId="13" xfId="28" quotePrefix="1" applyNumberFormat="1" applyFont="1" applyFill="1" applyBorder="1" applyAlignment="1">
      <alignment horizontal="center"/>
    </xf>
    <xf numFmtId="0" fontId="7" fillId="46" borderId="26" xfId="0" applyFont="1" applyFill="1" applyBorder="1"/>
    <xf numFmtId="0" fontId="0" fillId="52" borderId="26" xfId="0" applyFill="1" applyBorder="1" applyAlignment="1">
      <alignment horizontal="center" wrapText="1"/>
    </xf>
    <xf numFmtId="0" fontId="0" fillId="53" borderId="26" xfId="0" applyFill="1" applyBorder="1" applyAlignment="1">
      <alignment horizontal="center" wrapText="1"/>
    </xf>
    <xf numFmtId="171" fontId="0" fillId="0" borderId="0" xfId="0" applyNumberFormat="1"/>
    <xf numFmtId="10" fontId="7" fillId="39" borderId="13" xfId="0" applyNumberFormat="1" applyFont="1" applyFill="1" applyBorder="1"/>
    <xf numFmtId="166" fontId="7" fillId="39" borderId="13" xfId="0" applyNumberFormat="1" applyFont="1" applyFill="1" applyBorder="1"/>
    <xf numFmtId="10" fontId="7" fillId="41" borderId="13" xfId="48" applyNumberFormat="1" applyFont="1" applyFill="1" applyBorder="1"/>
    <xf numFmtId="6" fontId="7" fillId="41" borderId="13" xfId="32" applyNumberFormat="1" applyFont="1" applyFill="1" applyBorder="1"/>
    <xf numFmtId="10" fontId="7" fillId="41" borderId="34" xfId="48" applyNumberFormat="1" applyFont="1" applyFill="1" applyBorder="1"/>
    <xf numFmtId="43" fontId="24" fillId="0" borderId="67" xfId="28" applyNumberFormat="1" applyFont="1" applyBorder="1" applyAlignment="1">
      <alignment horizontal="right"/>
    </xf>
    <xf numFmtId="0" fontId="100" fillId="41" borderId="0" xfId="0" applyFont="1" applyFill="1" applyBorder="1" applyAlignment="1">
      <alignment horizontal="left" wrapText="1"/>
    </xf>
    <xf numFmtId="6" fontId="100" fillId="41" borderId="0" xfId="0" applyNumberFormat="1" applyFont="1" applyFill="1" applyBorder="1" applyAlignment="1">
      <alignment horizontal="center" wrapText="1"/>
    </xf>
    <xf numFmtId="0" fontId="98" fillId="41" borderId="0" xfId="0" applyFont="1" applyFill="1" applyBorder="1"/>
    <xf numFmtId="0" fontId="99" fillId="0" borderId="0" xfId="0" applyFont="1" applyBorder="1" applyAlignment="1">
      <alignment wrapText="1"/>
    </xf>
    <xf numFmtId="0" fontId="110" fillId="0" borderId="0" xfId="0" applyFont="1" applyBorder="1" applyAlignment="1">
      <alignment horizontal="left" wrapText="1"/>
    </xf>
    <xf numFmtId="0" fontId="76" fillId="0" borderId="0" xfId="0" applyFont="1" applyAlignment="1">
      <alignment horizontal="right" vertical="top"/>
    </xf>
    <xf numFmtId="166" fontId="7" fillId="41" borderId="83" xfId="0" applyNumberFormat="1" applyFont="1" applyFill="1" applyBorder="1"/>
    <xf numFmtId="0" fontId="75" fillId="41" borderId="26" xfId="0" applyFont="1" applyFill="1" applyBorder="1" applyAlignment="1">
      <alignment horizontal="left" wrapText="1"/>
    </xf>
    <xf numFmtId="10" fontId="24" fillId="54" borderId="26" xfId="0" applyNumberFormat="1" applyFont="1" applyFill="1" applyBorder="1" applyAlignment="1">
      <alignment horizontal="center" vertical="center" wrapText="1"/>
    </xf>
    <xf numFmtId="0" fontId="47" fillId="41" borderId="0" xfId="0" applyFont="1" applyFill="1" applyBorder="1" applyAlignment="1">
      <alignment horizontal="center" vertical="center"/>
    </xf>
    <xf numFmtId="6" fontId="73" fillId="41" borderId="13" xfId="0" applyNumberFormat="1" applyFont="1" applyFill="1" applyBorder="1" applyAlignment="1">
      <alignment horizontal="right"/>
    </xf>
    <xf numFmtId="6" fontId="59" fillId="41" borderId="13" xfId="0" applyNumberFormat="1" applyFont="1" applyFill="1" applyBorder="1" applyAlignment="1">
      <alignment horizontal="right"/>
    </xf>
    <xf numFmtId="6" fontId="47" fillId="41" borderId="26" xfId="0" applyNumberFormat="1" applyFont="1" applyFill="1" applyBorder="1" applyAlignment="1">
      <alignment horizontal="right"/>
    </xf>
    <xf numFmtId="6" fontId="59" fillId="27" borderId="13" xfId="0" applyNumberFormat="1" applyFont="1" applyFill="1" applyBorder="1" applyAlignment="1"/>
    <xf numFmtId="6" fontId="59" fillId="27" borderId="13" xfId="0" applyNumberFormat="1" applyFont="1" applyFill="1" applyBorder="1" applyAlignment="1">
      <alignment horizontal="center" wrapText="1"/>
    </xf>
    <xf numFmtId="6" fontId="59" fillId="41" borderId="14" xfId="0" applyNumberFormat="1" applyFont="1" applyFill="1" applyBorder="1" applyAlignment="1">
      <alignment horizontal="right"/>
    </xf>
    <xf numFmtId="0" fontId="73" fillId="55" borderId="13" xfId="0" applyFont="1" applyFill="1" applyBorder="1" applyAlignment="1">
      <alignment horizontal="center" wrapText="1"/>
    </xf>
    <xf numFmtId="6" fontId="59" fillId="55" borderId="13" xfId="0" applyNumberFormat="1" applyFont="1" applyFill="1" applyBorder="1" applyAlignment="1">
      <alignment horizontal="right"/>
    </xf>
    <xf numFmtId="6" fontId="47" fillId="55" borderId="13" xfId="0" applyNumberFormat="1" applyFont="1" applyFill="1" applyBorder="1" applyAlignment="1">
      <alignment horizontal="right"/>
    </xf>
    <xf numFmtId="0" fontId="0" fillId="55" borderId="0" xfId="0" applyFill="1"/>
    <xf numFmtId="6" fontId="47" fillId="55" borderId="26" xfId="0" applyNumberFormat="1" applyFont="1" applyFill="1" applyBorder="1" applyAlignment="1">
      <alignment horizontal="right"/>
    </xf>
    <xf numFmtId="0" fontId="98" fillId="41" borderId="26" xfId="0" applyFont="1" applyFill="1" applyBorder="1" applyAlignment="1">
      <alignment horizontal="left" wrapText="1"/>
    </xf>
    <xf numFmtId="0" fontId="102" fillId="28" borderId="36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wrapText="1"/>
    </xf>
    <xf numFmtId="38" fontId="75" fillId="41" borderId="26" xfId="0" applyNumberFormat="1" applyFont="1" applyFill="1" applyBorder="1" applyAlignment="1">
      <alignment wrapText="1"/>
    </xf>
    <xf numFmtId="3" fontId="7" fillId="41" borderId="13" xfId="0" applyNumberFormat="1" applyFont="1" applyFill="1" applyBorder="1"/>
    <xf numFmtId="3" fontId="73" fillId="41" borderId="35" xfId="0" applyNumberFormat="1" applyFont="1" applyFill="1" applyBorder="1" applyAlignment="1">
      <alignment horizontal="right"/>
    </xf>
    <xf numFmtId="0" fontId="15" fillId="0" borderId="0" xfId="0" applyFont="1"/>
    <xf numFmtId="5" fontId="15" fillId="0" borderId="0" xfId="0" applyNumberFormat="1" applyFont="1"/>
    <xf numFmtId="10" fontId="15" fillId="0" borderId="0" xfId="0" applyNumberFormat="1" applyFont="1"/>
    <xf numFmtId="5" fontId="95" fillId="0" borderId="0" xfId="0" applyNumberFormat="1" applyFont="1" applyFill="1" applyBorder="1" applyProtection="1"/>
    <xf numFmtId="6" fontId="95" fillId="0" borderId="0" xfId="0" applyNumberFormat="1" applyFont="1" applyFill="1" applyBorder="1" applyProtection="1"/>
    <xf numFmtId="165" fontId="95" fillId="0" borderId="0" xfId="28" applyNumberFormat="1" applyFont="1" applyFill="1" applyBorder="1" applyProtection="1"/>
    <xf numFmtId="165" fontId="24" fillId="0" borderId="0" xfId="28" applyNumberFormat="1" applyFont="1" applyFill="1" applyBorder="1" applyProtection="1"/>
    <xf numFmtId="6" fontId="24" fillId="0" borderId="0" xfId="28" applyNumberFormat="1" applyFont="1" applyFill="1" applyBorder="1" applyProtection="1"/>
    <xf numFmtId="0" fontId="0" fillId="41" borderId="0" xfId="0" applyFill="1" applyBorder="1"/>
    <xf numFmtId="0" fontId="10" fillId="0" borderId="91" xfId="0" applyFont="1" applyFill="1" applyBorder="1" applyAlignment="1">
      <alignment horizontal="center" vertical="top"/>
    </xf>
    <xf numFmtId="0" fontId="47" fillId="49" borderId="26" xfId="0" applyFont="1" applyFill="1" applyBorder="1" applyAlignment="1">
      <alignment horizontal="right" wrapText="1"/>
    </xf>
    <xf numFmtId="3" fontId="47" fillId="49" borderId="13" xfId="0" applyNumberFormat="1" applyFont="1" applyFill="1" applyBorder="1" applyAlignment="1">
      <alignment horizontal="right"/>
    </xf>
    <xf numFmtId="6" fontId="47" fillId="49" borderId="13" xfId="0" applyNumberFormat="1" applyFont="1" applyFill="1" applyBorder="1" applyAlignment="1">
      <alignment horizontal="right"/>
    </xf>
    <xf numFmtId="38" fontId="47" fillId="49" borderId="13" xfId="0" applyNumberFormat="1" applyFont="1" applyFill="1" applyBorder="1" applyAlignment="1">
      <alignment horizontal="right"/>
    </xf>
    <xf numFmtId="0" fontId="47" fillId="49" borderId="35" xfId="0" applyFont="1" applyFill="1" applyBorder="1" applyAlignment="1">
      <alignment horizontal="right" wrapText="1"/>
    </xf>
    <xf numFmtId="3" fontId="47" fillId="49" borderId="14" xfId="0" applyNumberFormat="1" applyFont="1" applyFill="1" applyBorder="1" applyAlignment="1">
      <alignment horizontal="right"/>
    </xf>
    <xf numFmtId="6" fontId="47" fillId="49" borderId="14" xfId="0" applyNumberFormat="1" applyFont="1" applyFill="1" applyBorder="1" applyAlignment="1">
      <alignment horizontal="right"/>
    </xf>
    <xf numFmtId="0" fontId="59" fillId="0" borderId="13" xfId="0" applyFont="1" applyFill="1" applyBorder="1" applyAlignment="1">
      <alignment horizontal="center" wrapText="1"/>
    </xf>
    <xf numFmtId="6" fontId="5" fillId="0" borderId="0" xfId="0" applyNumberFormat="1" applyFont="1" applyBorder="1" applyAlignment="1">
      <alignment horizontal="right"/>
    </xf>
    <xf numFmtId="0" fontId="59" fillId="54" borderId="26" xfId="0" applyFont="1" applyFill="1" applyBorder="1" applyAlignment="1">
      <alignment horizontal="left" wrapText="1"/>
    </xf>
    <xf numFmtId="0" fontId="59" fillId="54" borderId="35" xfId="0" applyFont="1" applyFill="1" applyBorder="1" applyAlignment="1">
      <alignment horizontal="left" wrapText="1"/>
    </xf>
    <xf numFmtId="0" fontId="5" fillId="0" borderId="0" xfId="0" applyFont="1"/>
    <xf numFmtId="3" fontId="9" fillId="0" borderId="11" xfId="0" applyNumberFormat="1" applyFont="1" applyFill="1" applyBorder="1"/>
    <xf numFmtId="3" fontId="9" fillId="0" borderId="13" xfId="0" applyNumberFormat="1" applyFont="1" applyFill="1" applyBorder="1"/>
    <xf numFmtId="0" fontId="100" fillId="41" borderId="10" xfId="0" applyFont="1" applyFill="1" applyBorder="1" applyAlignment="1">
      <alignment horizontal="right" wrapText="1"/>
    </xf>
    <xf numFmtId="6" fontId="100" fillId="0" borderId="10" xfId="0" applyNumberFormat="1" applyFont="1" applyBorder="1" applyAlignment="1">
      <alignment horizontal="center" wrapText="1"/>
    </xf>
    <xf numFmtId="6" fontId="100" fillId="0" borderId="10" xfId="0" applyNumberFormat="1" applyFont="1" applyFill="1" applyBorder="1" applyAlignment="1">
      <alignment horizontal="center" wrapText="1"/>
    </xf>
    <xf numFmtId="6" fontId="100" fillId="28" borderId="10" xfId="0" applyNumberFormat="1" applyFont="1" applyFill="1" applyBorder="1" applyAlignment="1">
      <alignment horizontal="center" wrapText="1"/>
    </xf>
    <xf numFmtId="38" fontId="100" fillId="28" borderId="51" xfId="0" applyNumberFormat="1" applyFont="1" applyFill="1" applyBorder="1" applyAlignment="1">
      <alignment horizontal="center"/>
    </xf>
    <xf numFmtId="6" fontId="100" fillId="28" borderId="51" xfId="0" applyNumberFormat="1" applyFont="1" applyFill="1" applyBorder="1" applyAlignment="1">
      <alignment horizontal="center"/>
    </xf>
    <xf numFmtId="0" fontId="98" fillId="0" borderId="51" xfId="0" applyFont="1" applyBorder="1"/>
    <xf numFmtId="6" fontId="98" fillId="0" borderId="51" xfId="0" applyNumberFormat="1" applyFont="1" applyBorder="1"/>
    <xf numFmtId="0" fontId="75" fillId="0" borderId="51" xfId="0" applyFont="1" applyBorder="1"/>
    <xf numFmtId="0" fontId="100" fillId="41" borderId="13" xfId="0" applyFont="1" applyFill="1" applyBorder="1" applyAlignment="1">
      <alignment horizontal="right" wrapText="1"/>
    </xf>
    <xf numFmtId="6" fontId="100" fillId="0" borderId="13" xfId="0" applyNumberFormat="1" applyFont="1" applyFill="1" applyBorder="1" applyAlignment="1">
      <alignment horizontal="center"/>
    </xf>
    <xf numFmtId="6" fontId="100" fillId="41" borderId="13" xfId="0" applyNumberFormat="1" applyFont="1" applyFill="1" applyBorder="1" applyAlignment="1">
      <alignment horizontal="center"/>
    </xf>
    <xf numFmtId="6" fontId="100" fillId="39" borderId="13" xfId="0" applyNumberFormat="1" applyFont="1" applyFill="1" applyBorder="1" applyAlignment="1">
      <alignment horizontal="center"/>
    </xf>
    <xf numFmtId="6" fontId="100" fillId="0" borderId="13" xfId="0" applyNumberFormat="1" applyFont="1" applyBorder="1" applyAlignment="1">
      <alignment horizontal="center" wrapText="1"/>
    </xf>
    <xf numFmtId="6" fontId="100" fillId="0" borderId="13" xfId="0" applyNumberFormat="1" applyFont="1" applyFill="1" applyBorder="1" applyAlignment="1">
      <alignment horizontal="center" wrapText="1"/>
    </xf>
    <xf numFmtId="6" fontId="100" fillId="28" borderId="13" xfId="0" applyNumberFormat="1" applyFont="1" applyFill="1" applyBorder="1" applyAlignment="1">
      <alignment horizontal="center" wrapText="1"/>
    </xf>
    <xf numFmtId="0" fontId="100" fillId="28" borderId="36" xfId="0" quotePrefix="1" applyFont="1" applyFill="1" applyBorder="1" applyAlignment="1">
      <alignment horizontal="right" wrapText="1"/>
    </xf>
    <xf numFmtId="0" fontId="75" fillId="0" borderId="26" xfId="0" applyFont="1" applyBorder="1"/>
    <xf numFmtId="38" fontId="75" fillId="0" borderId="152" xfId="0" applyNumberFormat="1" applyFont="1" applyFill="1" applyBorder="1" applyAlignment="1">
      <alignment horizontal="center"/>
    </xf>
    <xf numFmtId="6" fontId="75" fillId="0" borderId="152" xfId="0" applyNumberFormat="1" applyFont="1" applyBorder="1" applyAlignment="1">
      <alignment horizontal="center"/>
    </xf>
    <xf numFmtId="6" fontId="75" fillId="0" borderId="152" xfId="0" applyNumberFormat="1" applyFont="1" applyFill="1" applyBorder="1" applyAlignment="1">
      <alignment horizontal="center"/>
    </xf>
    <xf numFmtId="6" fontId="75" fillId="41" borderId="152" xfId="0" applyNumberFormat="1" applyFont="1" applyFill="1" applyBorder="1" applyAlignment="1">
      <alignment horizontal="center"/>
    </xf>
    <xf numFmtId="6" fontId="75" fillId="39" borderId="152" xfId="0" applyNumberFormat="1" applyFont="1" applyFill="1" applyBorder="1" applyAlignment="1">
      <alignment horizontal="center"/>
    </xf>
    <xf numFmtId="6" fontId="75" fillId="41" borderId="152" xfId="0" applyNumberFormat="1" applyFont="1" applyFill="1" applyBorder="1" applyAlignment="1">
      <alignment horizontal="center" wrapText="1"/>
    </xf>
    <xf numFmtId="6" fontId="75" fillId="0" borderId="152" xfId="0" applyNumberFormat="1" applyFont="1" applyFill="1" applyBorder="1" applyAlignment="1">
      <alignment horizontal="center" wrapText="1"/>
    </xf>
    <xf numFmtId="6" fontId="75" fillId="28" borderId="152" xfId="0" applyNumberFormat="1" applyFont="1" applyFill="1" applyBorder="1" applyAlignment="1">
      <alignment horizontal="center" wrapText="1"/>
    </xf>
    <xf numFmtId="38" fontId="75" fillId="0" borderId="151" xfId="0" applyNumberFormat="1" applyFont="1" applyFill="1" applyBorder="1" applyAlignment="1">
      <alignment horizontal="center"/>
    </xf>
    <xf numFmtId="6" fontId="75" fillId="0" borderId="151" xfId="0" applyNumberFormat="1" applyFont="1" applyBorder="1" applyAlignment="1">
      <alignment horizontal="center"/>
    </xf>
    <xf numFmtId="6" fontId="75" fillId="0" borderId="151" xfId="0" applyNumberFormat="1" applyFont="1" applyFill="1" applyBorder="1" applyAlignment="1">
      <alignment horizontal="center"/>
    </xf>
    <xf numFmtId="6" fontId="75" fillId="41" borderId="151" xfId="0" applyNumberFormat="1" applyFont="1" applyFill="1" applyBorder="1" applyAlignment="1">
      <alignment horizontal="center"/>
    </xf>
    <xf numFmtId="6" fontId="75" fillId="39" borderId="151" xfId="0" applyNumberFormat="1" applyFont="1" applyFill="1" applyBorder="1" applyAlignment="1">
      <alignment horizontal="center"/>
    </xf>
    <xf numFmtId="6" fontId="75" fillId="41" borderId="151" xfId="0" applyNumberFormat="1" applyFont="1" applyFill="1" applyBorder="1" applyAlignment="1">
      <alignment horizontal="center" wrapText="1"/>
    </xf>
    <xf numFmtId="6" fontId="75" fillId="0" borderId="151" xfId="0" applyNumberFormat="1" applyFont="1" applyFill="1" applyBorder="1" applyAlignment="1">
      <alignment horizontal="center" wrapText="1"/>
    </xf>
    <xf numFmtId="6" fontId="75" fillId="28" borderId="151" xfId="0" applyNumberFormat="1" applyFont="1" applyFill="1" applyBorder="1" applyAlignment="1">
      <alignment horizontal="center" wrapText="1"/>
    </xf>
    <xf numFmtId="38" fontId="75" fillId="0" borderId="153" xfId="0" applyNumberFormat="1" applyFont="1" applyFill="1" applyBorder="1" applyAlignment="1">
      <alignment horizontal="center"/>
    </xf>
    <xf numFmtId="6" fontId="75" fillId="0" borderId="153" xfId="0" applyNumberFormat="1" applyFont="1" applyBorder="1" applyAlignment="1">
      <alignment horizontal="center"/>
    </xf>
    <xf numFmtId="6" fontId="75" fillId="0" borderId="153" xfId="0" applyNumberFormat="1" applyFont="1" applyFill="1" applyBorder="1" applyAlignment="1">
      <alignment horizontal="center"/>
    </xf>
    <xf numFmtId="6" fontId="75" fillId="41" borderId="153" xfId="0" applyNumberFormat="1" applyFont="1" applyFill="1" applyBorder="1" applyAlignment="1">
      <alignment horizontal="center"/>
    </xf>
    <xf numFmtId="6" fontId="75" fillId="39" borderId="153" xfId="0" applyNumberFormat="1" applyFont="1" applyFill="1" applyBorder="1" applyAlignment="1">
      <alignment horizontal="center"/>
    </xf>
    <xf numFmtId="6" fontId="75" fillId="41" borderId="153" xfId="0" applyNumberFormat="1" applyFont="1" applyFill="1" applyBorder="1" applyAlignment="1">
      <alignment horizontal="center" wrapText="1"/>
    </xf>
    <xf numFmtId="6" fontId="75" fillId="0" borderId="153" xfId="0" applyNumberFormat="1" applyFont="1" applyFill="1" applyBorder="1" applyAlignment="1">
      <alignment horizontal="center" wrapText="1"/>
    </xf>
    <xf numFmtId="6" fontId="75" fillId="28" borderId="153" xfId="0" applyNumberFormat="1" applyFont="1" applyFill="1" applyBorder="1" applyAlignment="1">
      <alignment horizontal="center" wrapText="1"/>
    </xf>
    <xf numFmtId="0" fontId="100" fillId="0" borderId="42" xfId="0" applyFont="1" applyBorder="1"/>
    <xf numFmtId="38" fontId="100" fillId="0" borderId="10" xfId="0" applyNumberFormat="1" applyFont="1" applyFill="1" applyBorder="1" applyAlignment="1">
      <alignment horizontal="center"/>
    </xf>
    <xf numFmtId="6" fontId="100" fillId="0" borderId="10" xfId="0" applyNumberFormat="1" applyFont="1" applyBorder="1" applyAlignment="1">
      <alignment horizontal="center"/>
    </xf>
    <xf numFmtId="6" fontId="100" fillId="0" borderId="10" xfId="0" applyNumberFormat="1" applyFont="1" applyFill="1" applyBorder="1" applyAlignment="1">
      <alignment horizontal="center"/>
    </xf>
    <xf numFmtId="6" fontId="100" fillId="41" borderId="10" xfId="0" applyNumberFormat="1" applyFont="1" applyFill="1" applyBorder="1" applyAlignment="1">
      <alignment horizontal="center"/>
    </xf>
    <xf numFmtId="6" fontId="100" fillId="39" borderId="10" xfId="0" applyNumberFormat="1" applyFont="1" applyFill="1" applyBorder="1" applyAlignment="1">
      <alignment horizontal="center"/>
    </xf>
    <xf numFmtId="0" fontId="100" fillId="0" borderId="0" xfId="0" applyFont="1" applyBorder="1"/>
    <xf numFmtId="0" fontId="100" fillId="0" borderId="26" xfId="0" applyFont="1" applyBorder="1" applyAlignment="1">
      <alignment horizontal="center"/>
    </xf>
    <xf numFmtId="38" fontId="100" fillId="0" borderId="13" xfId="0" applyNumberFormat="1" applyFont="1" applyFill="1" applyBorder="1" applyAlignment="1">
      <alignment horizontal="center"/>
    </xf>
    <xf numFmtId="6" fontId="100" fillId="0" borderId="13" xfId="0" applyNumberFormat="1" applyFont="1" applyBorder="1" applyAlignment="1">
      <alignment horizontal="center"/>
    </xf>
    <xf numFmtId="0" fontId="100" fillId="0" borderId="0" xfId="0" applyFont="1" applyBorder="1" applyAlignment="1">
      <alignment horizontal="center"/>
    </xf>
    <xf numFmtId="0" fontId="75" fillId="41" borderId="26" xfId="0" applyFont="1" applyFill="1" applyBorder="1" applyAlignment="1">
      <alignment horizontal="right" wrapText="1"/>
    </xf>
    <xf numFmtId="6" fontId="73" fillId="0" borderId="13" xfId="0" applyNumberFormat="1" applyFont="1" applyFill="1" applyBorder="1" applyAlignment="1">
      <alignment horizontal="center" wrapText="1"/>
    </xf>
    <xf numFmtId="6" fontId="75" fillId="59" borderId="152" xfId="0" applyNumberFormat="1" applyFont="1" applyFill="1" applyBorder="1" applyAlignment="1">
      <alignment horizontal="center" wrapText="1"/>
    </xf>
    <xf numFmtId="6" fontId="75" fillId="59" borderId="151" xfId="0" applyNumberFormat="1" applyFont="1" applyFill="1" applyBorder="1" applyAlignment="1">
      <alignment horizontal="center" wrapText="1"/>
    </xf>
    <xf numFmtId="6" fontId="75" fillId="59" borderId="153" xfId="0" applyNumberFormat="1" applyFont="1" applyFill="1" applyBorder="1" applyAlignment="1">
      <alignment horizontal="center" wrapText="1"/>
    </xf>
    <xf numFmtId="6" fontId="100" fillId="59" borderId="10" xfId="0" applyNumberFormat="1" applyFont="1" applyFill="1" applyBorder="1" applyAlignment="1">
      <alignment horizontal="center" wrapText="1"/>
    </xf>
    <xf numFmtId="6" fontId="75" fillId="59" borderId="26" xfId="0" applyNumberFormat="1" applyFont="1" applyFill="1" applyBorder="1" applyAlignment="1">
      <alignment horizontal="center" wrapText="1"/>
    </xf>
    <xf numFmtId="6" fontId="100" fillId="59" borderId="13" xfId="0" applyNumberFormat="1" applyFont="1" applyFill="1" applyBorder="1" applyAlignment="1">
      <alignment horizontal="center" wrapText="1"/>
    </xf>
    <xf numFmtId="0" fontId="98" fillId="41" borderId="51" xfId="0" applyFont="1" applyFill="1" applyBorder="1"/>
    <xf numFmtId="0" fontId="5" fillId="0" borderId="0" xfId="0" quotePrefix="1" applyFont="1"/>
    <xf numFmtId="0" fontId="17" fillId="0" borderId="53" xfId="0" applyFont="1" applyFill="1" applyBorder="1" applyAlignment="1">
      <alignment horizontal="center"/>
    </xf>
    <xf numFmtId="0" fontId="70" fillId="0" borderId="0" xfId="0" applyFont="1"/>
    <xf numFmtId="5" fontId="12" fillId="0" borderId="158" xfId="0" applyNumberFormat="1" applyFont="1" applyFill="1" applyBorder="1" applyAlignment="1" applyProtection="1">
      <alignment vertical="top"/>
    </xf>
    <xf numFmtId="5" fontId="12" fillId="0" borderId="159" xfId="0" applyNumberFormat="1" applyFont="1" applyFill="1" applyBorder="1" applyAlignment="1" applyProtection="1">
      <alignment vertical="top"/>
    </xf>
    <xf numFmtId="165" fontId="12" fillId="0" borderId="161" xfId="28" applyNumberFormat="1" applyFont="1" applyFill="1" applyBorder="1" applyAlignment="1" applyProtection="1"/>
    <xf numFmtId="165" fontId="12" fillId="0" borderId="20" xfId="28" applyNumberFormat="1" applyFont="1" applyFill="1" applyBorder="1" applyAlignment="1" applyProtection="1"/>
    <xf numFmtId="0" fontId="10" fillId="0" borderId="165" xfId="0" applyFont="1" applyFill="1" applyBorder="1" applyAlignment="1">
      <alignment horizontal="left"/>
    </xf>
    <xf numFmtId="165" fontId="12" fillId="0" borderId="166" xfId="28" applyNumberFormat="1" applyFont="1" applyFill="1" applyBorder="1" applyAlignment="1" applyProtection="1"/>
    <xf numFmtId="165" fontId="12" fillId="0" borderId="165" xfId="28" applyNumberFormat="1" applyFont="1" applyFill="1" applyBorder="1" applyAlignment="1" applyProtection="1"/>
    <xf numFmtId="165" fontId="12" fillId="0" borderId="32" xfId="28" applyNumberFormat="1" applyFont="1" applyFill="1" applyBorder="1" applyProtection="1"/>
    <xf numFmtId="43" fontId="12" fillId="0" borderId="161" xfId="28" applyFont="1" applyFill="1" applyBorder="1" applyAlignment="1" applyProtection="1">
      <alignment horizontal="right"/>
    </xf>
    <xf numFmtId="10" fontId="12" fillId="0" borderId="161" xfId="48" applyNumberFormat="1" applyFont="1" applyFill="1" applyBorder="1" applyAlignment="1" applyProtection="1">
      <alignment horizontal="right"/>
    </xf>
    <xf numFmtId="5" fontId="12" fillId="0" borderId="184" xfId="0" applyNumberFormat="1" applyFont="1" applyFill="1" applyBorder="1" applyProtection="1"/>
    <xf numFmtId="5" fontId="12" fillId="0" borderId="185" xfId="0" applyNumberFormat="1" applyFont="1" applyFill="1" applyBorder="1" applyProtection="1"/>
    <xf numFmtId="5" fontId="20" fillId="0" borderId="163" xfId="0" applyNumberFormat="1" applyFont="1" applyFill="1" applyBorder="1" applyAlignment="1" applyProtection="1"/>
    <xf numFmtId="5" fontId="20" fillId="0" borderId="164" xfId="0" applyNumberFormat="1" applyFont="1" applyFill="1" applyBorder="1" applyAlignment="1" applyProtection="1"/>
    <xf numFmtId="5" fontId="20" fillId="27" borderId="179" xfId="0" applyNumberFormat="1" applyFont="1" applyFill="1" applyBorder="1" applyAlignment="1" applyProtection="1"/>
    <xf numFmtId="5" fontId="20" fillId="27" borderId="29" xfId="0" applyNumberFormat="1" applyFont="1" applyFill="1" applyBorder="1" applyAlignment="1" applyProtection="1"/>
    <xf numFmtId="5" fontId="12" fillId="0" borderId="182" xfId="0" applyNumberFormat="1" applyFont="1" applyFill="1" applyBorder="1" applyAlignment="1" applyProtection="1"/>
    <xf numFmtId="5" fontId="12" fillId="0" borderId="183" xfId="0" applyNumberFormat="1" applyFont="1" applyFill="1" applyBorder="1" applyAlignment="1" applyProtection="1"/>
    <xf numFmtId="5" fontId="12" fillId="0" borderId="186" xfId="0" applyNumberFormat="1" applyFont="1" applyFill="1" applyBorder="1" applyProtection="1"/>
    <xf numFmtId="5" fontId="20" fillId="0" borderId="164" xfId="0" applyNumberFormat="1" applyFont="1" applyFill="1" applyBorder="1" applyProtection="1"/>
    <xf numFmtId="5" fontId="12" fillId="0" borderId="174" xfId="0" applyNumberFormat="1" applyFont="1" applyFill="1" applyBorder="1" applyProtection="1"/>
    <xf numFmtId="5" fontId="12" fillId="0" borderId="187" xfId="0" applyNumberFormat="1" applyFont="1" applyFill="1" applyBorder="1" applyProtection="1"/>
    <xf numFmtId="5" fontId="20" fillId="27" borderId="168" xfId="0" applyNumberFormat="1" applyFont="1" applyFill="1" applyBorder="1" applyAlignment="1" applyProtection="1">
      <alignment vertical="center"/>
    </xf>
    <xf numFmtId="5" fontId="12" fillId="0" borderId="164" xfId="0" applyNumberFormat="1" applyFont="1" applyFill="1" applyBorder="1" applyProtection="1"/>
    <xf numFmtId="5" fontId="12" fillId="0" borderId="20" xfId="0" applyNumberFormat="1" applyFont="1" applyFill="1" applyBorder="1" applyProtection="1"/>
    <xf numFmtId="5" fontId="17" fillId="27" borderId="178" xfId="0" applyNumberFormat="1" applyFont="1" applyFill="1" applyBorder="1" applyAlignment="1" applyProtection="1">
      <alignment vertical="center"/>
    </xf>
    <xf numFmtId="5" fontId="17" fillId="0" borderId="157" xfId="0" applyNumberFormat="1" applyFont="1" applyFill="1" applyBorder="1" applyProtection="1"/>
    <xf numFmtId="5" fontId="12" fillId="0" borderId="162" xfId="0" applyNumberFormat="1" applyFont="1" applyFill="1" applyBorder="1" applyAlignment="1" applyProtection="1"/>
    <xf numFmtId="5" fontId="12" fillId="0" borderId="144" xfId="0" applyNumberFormat="1" applyFont="1" applyFill="1" applyBorder="1" applyAlignment="1" applyProtection="1"/>
    <xf numFmtId="5" fontId="20" fillId="0" borderId="161" xfId="0" applyNumberFormat="1" applyFont="1" applyFill="1" applyBorder="1" applyAlignment="1" applyProtection="1"/>
    <xf numFmtId="5" fontId="20" fillId="0" borderId="20" xfId="0" applyNumberFormat="1" applyFont="1" applyFill="1" applyBorder="1" applyAlignment="1" applyProtection="1"/>
    <xf numFmtId="5" fontId="12" fillId="0" borderId="166" xfId="0" applyNumberFormat="1" applyFont="1" applyFill="1" applyBorder="1" applyAlignment="1" applyProtection="1"/>
    <xf numFmtId="5" fontId="12" fillId="0" borderId="165" xfId="0" applyNumberFormat="1" applyFont="1" applyFill="1" applyBorder="1" applyAlignment="1" applyProtection="1"/>
    <xf numFmtId="5" fontId="12" fillId="0" borderId="161" xfId="0" applyNumberFormat="1" applyFont="1" applyFill="1" applyBorder="1" applyAlignment="1" applyProtection="1"/>
    <xf numFmtId="5" fontId="12" fillId="0" borderId="20" xfId="0" applyNumberFormat="1" applyFont="1" applyFill="1" applyBorder="1" applyAlignment="1" applyProtection="1"/>
    <xf numFmtId="43" fontId="12" fillId="0" borderId="20" xfId="28" applyFont="1" applyFill="1" applyBorder="1" applyAlignment="1" applyProtection="1"/>
    <xf numFmtId="10" fontId="12" fillId="0" borderId="20" xfId="48" applyNumberFormat="1" applyFont="1" applyFill="1" applyBorder="1" applyAlignment="1" applyProtection="1"/>
    <xf numFmtId="5" fontId="20" fillId="0" borderId="166" xfId="0" applyNumberFormat="1" applyFont="1" applyFill="1" applyBorder="1" applyAlignment="1" applyProtection="1"/>
    <xf numFmtId="5" fontId="20" fillId="0" borderId="165" xfId="0" applyNumberFormat="1" applyFont="1" applyFill="1" applyBorder="1" applyAlignment="1" applyProtection="1"/>
    <xf numFmtId="5" fontId="20" fillId="0" borderId="167" xfId="0" applyNumberFormat="1" applyFont="1" applyFill="1" applyBorder="1" applyAlignment="1" applyProtection="1">
      <alignment vertical="center"/>
    </xf>
    <xf numFmtId="5" fontId="20" fillId="0" borderId="168" xfId="0" applyNumberFormat="1" applyFont="1" applyFill="1" applyBorder="1" applyAlignment="1" applyProtection="1">
      <alignment vertical="center"/>
    </xf>
    <xf numFmtId="5" fontId="20" fillId="0" borderId="162" xfId="0" applyNumberFormat="1" applyFont="1" applyFill="1" applyBorder="1" applyAlignment="1" applyProtection="1">
      <alignment vertical="center"/>
    </xf>
    <xf numFmtId="5" fontId="20" fillId="0" borderId="144" xfId="0" applyNumberFormat="1" applyFont="1" applyFill="1" applyBorder="1" applyAlignment="1" applyProtection="1">
      <alignment vertical="center"/>
    </xf>
    <xf numFmtId="5" fontId="12" fillId="0" borderId="161" xfId="0" applyNumberFormat="1" applyFont="1" applyFill="1" applyBorder="1" applyAlignment="1" applyProtection="1">
      <alignment vertical="center"/>
    </xf>
    <xf numFmtId="5" fontId="12" fillId="0" borderId="20" xfId="0" applyNumberFormat="1" applyFont="1" applyFill="1" applyBorder="1" applyAlignment="1" applyProtection="1">
      <alignment vertical="center"/>
    </xf>
    <xf numFmtId="5" fontId="12" fillId="0" borderId="169" xfId="0" applyNumberFormat="1" applyFont="1" applyFill="1" applyBorder="1" applyAlignment="1" applyProtection="1">
      <alignment vertical="center"/>
    </xf>
    <xf numFmtId="5" fontId="12" fillId="0" borderId="48" xfId="0" applyNumberFormat="1" applyFont="1" applyFill="1" applyBorder="1" applyAlignment="1" applyProtection="1">
      <alignment vertical="center"/>
    </xf>
    <xf numFmtId="5" fontId="12" fillId="0" borderId="170" xfId="0" applyNumberFormat="1" applyFont="1" applyFill="1" applyBorder="1" applyAlignment="1" applyProtection="1">
      <alignment vertical="center"/>
    </xf>
    <xf numFmtId="5" fontId="12" fillId="0" borderId="49" xfId="0" applyNumberFormat="1" applyFont="1" applyFill="1" applyBorder="1" applyAlignment="1" applyProtection="1">
      <alignment vertical="center"/>
    </xf>
    <xf numFmtId="5" fontId="12" fillId="0" borderId="171" xfId="0" applyNumberFormat="1" applyFont="1" applyFill="1" applyBorder="1" applyAlignment="1" applyProtection="1">
      <alignment vertical="center"/>
    </xf>
    <xf numFmtId="5" fontId="12" fillId="0" borderId="172" xfId="0" applyNumberFormat="1" applyFont="1" applyFill="1" applyBorder="1" applyAlignment="1" applyProtection="1">
      <alignment vertical="center"/>
    </xf>
    <xf numFmtId="5" fontId="12" fillId="0" borderId="173" xfId="0" applyNumberFormat="1" applyFont="1" applyFill="1" applyBorder="1" applyAlignment="1" applyProtection="1">
      <alignment vertical="center"/>
    </xf>
    <xf numFmtId="5" fontId="12" fillId="0" borderId="174" xfId="0" applyNumberFormat="1" applyFont="1" applyFill="1" applyBorder="1" applyAlignment="1" applyProtection="1">
      <alignment vertical="center"/>
    </xf>
    <xf numFmtId="5" fontId="12" fillId="0" borderId="175" xfId="0" applyNumberFormat="1" applyFont="1" applyFill="1" applyBorder="1" applyAlignment="1" applyProtection="1">
      <alignment vertical="center"/>
    </xf>
    <xf numFmtId="5" fontId="12" fillId="0" borderId="176" xfId="0" applyNumberFormat="1" applyFont="1" applyFill="1" applyBorder="1" applyAlignment="1" applyProtection="1">
      <alignment vertical="center"/>
    </xf>
    <xf numFmtId="5" fontId="20" fillId="27" borderId="177" xfId="0" applyNumberFormat="1" applyFont="1" applyFill="1" applyBorder="1" applyAlignment="1" applyProtection="1"/>
    <xf numFmtId="5" fontId="20" fillId="27" borderId="178" xfId="0" applyNumberFormat="1" applyFont="1" applyFill="1" applyBorder="1" applyAlignment="1" applyProtection="1"/>
    <xf numFmtId="5" fontId="12" fillId="0" borderId="188" xfId="0" applyNumberFormat="1" applyFont="1" applyFill="1" applyBorder="1" applyProtection="1"/>
    <xf numFmtId="5" fontId="20" fillId="0" borderId="163" xfId="0" applyNumberFormat="1" applyFont="1" applyFill="1" applyBorder="1" applyProtection="1"/>
    <xf numFmtId="5" fontId="12" fillId="0" borderId="173" xfId="0" applyNumberFormat="1" applyFont="1" applyFill="1" applyBorder="1" applyProtection="1"/>
    <xf numFmtId="5" fontId="12" fillId="0" borderId="189" xfId="0" applyNumberFormat="1" applyFont="1" applyFill="1" applyBorder="1" applyProtection="1"/>
    <xf numFmtId="5" fontId="20" fillId="0" borderId="188" xfId="0" applyNumberFormat="1" applyFont="1" applyFill="1" applyBorder="1" applyProtection="1"/>
    <xf numFmtId="5" fontId="20" fillId="0" borderId="170" xfId="0" applyNumberFormat="1" applyFont="1" applyFill="1" applyBorder="1" applyProtection="1"/>
    <xf numFmtId="5" fontId="20" fillId="27" borderId="167" xfId="0" applyNumberFormat="1" applyFont="1" applyFill="1" applyBorder="1" applyAlignment="1" applyProtection="1">
      <alignment vertical="center"/>
    </xf>
    <xf numFmtId="5" fontId="12" fillId="0" borderId="163" xfId="0" applyNumberFormat="1" applyFont="1" applyFill="1" applyBorder="1" applyProtection="1"/>
    <xf numFmtId="5" fontId="12" fillId="0" borderId="170" xfId="0" applyNumberFormat="1" applyFont="1" applyFill="1" applyBorder="1" applyProtection="1"/>
    <xf numFmtId="5" fontId="12" fillId="0" borderId="169" xfId="0" applyNumberFormat="1" applyFont="1" applyFill="1" applyBorder="1" applyAlignment="1" applyProtection="1"/>
    <xf numFmtId="5" fontId="17" fillId="27" borderId="177" xfId="0" applyNumberFormat="1" applyFont="1" applyFill="1" applyBorder="1" applyAlignment="1" applyProtection="1">
      <alignment vertical="center"/>
    </xf>
    <xf numFmtId="165" fontId="46" fillId="27" borderId="148" xfId="0" applyNumberFormat="1" applyFont="1" applyFill="1" applyBorder="1" applyAlignment="1" applyProtection="1">
      <alignment vertical="center"/>
    </xf>
    <xf numFmtId="5" fontId="12" fillId="0" borderId="190" xfId="0" applyNumberFormat="1" applyFont="1" applyFill="1" applyBorder="1" applyProtection="1"/>
    <xf numFmtId="5" fontId="20" fillId="0" borderId="191" xfId="0" applyNumberFormat="1" applyFont="1" applyFill="1" applyBorder="1" applyProtection="1"/>
    <xf numFmtId="5" fontId="12" fillId="0" borderId="192" xfId="0" applyNumberFormat="1" applyFont="1" applyFill="1" applyBorder="1" applyProtection="1"/>
    <xf numFmtId="5" fontId="12" fillId="0" borderId="193" xfId="0" applyNumberFormat="1" applyFont="1" applyFill="1" applyBorder="1" applyProtection="1"/>
    <xf numFmtId="5" fontId="20" fillId="27" borderId="194" xfId="0" applyNumberFormat="1" applyFont="1" applyFill="1" applyBorder="1" applyAlignment="1" applyProtection="1">
      <alignment vertical="center"/>
    </xf>
    <xf numFmtId="5" fontId="12" fillId="0" borderId="191" xfId="0" applyNumberFormat="1" applyFont="1" applyFill="1" applyBorder="1" applyProtection="1"/>
    <xf numFmtId="5" fontId="12" fillId="0" borderId="45" xfId="0" applyNumberFormat="1" applyFont="1" applyFill="1" applyBorder="1" applyProtection="1"/>
    <xf numFmtId="5" fontId="12" fillId="0" borderId="195" xfId="0" applyNumberFormat="1" applyFont="1" applyFill="1" applyBorder="1" applyAlignment="1" applyProtection="1"/>
    <xf numFmtId="165" fontId="46" fillId="27" borderId="196" xfId="0" applyNumberFormat="1" applyFont="1" applyFill="1" applyBorder="1" applyAlignment="1" applyProtection="1">
      <alignment vertical="center"/>
    </xf>
    <xf numFmtId="5" fontId="20" fillId="0" borderId="42" xfId="0" applyNumberFormat="1" applyFont="1" applyFill="1" applyBorder="1" applyProtection="1"/>
    <xf numFmtId="5" fontId="17" fillId="0" borderId="197" xfId="0" applyNumberFormat="1" applyFont="1" applyFill="1" applyBorder="1" applyAlignment="1" applyProtection="1">
      <alignment horizontal="left"/>
    </xf>
    <xf numFmtId="5" fontId="17" fillId="0" borderId="156" xfId="0" applyNumberFormat="1" applyFont="1" applyFill="1" applyBorder="1" applyAlignment="1" applyProtection="1"/>
    <xf numFmtId="5" fontId="20" fillId="0" borderId="180" xfId="0" applyNumberFormat="1" applyFont="1" applyFill="1" applyBorder="1" applyAlignment="1" applyProtection="1"/>
    <xf numFmtId="5" fontId="20" fillId="0" borderId="181" xfId="0" applyNumberFormat="1" applyFont="1" applyFill="1" applyBorder="1" applyAlignment="1" applyProtection="1"/>
    <xf numFmtId="5" fontId="20" fillId="0" borderId="34" xfId="0" applyNumberFormat="1" applyFont="1" applyFill="1" applyBorder="1" applyAlignment="1" applyProtection="1">
      <alignment horizontal="center"/>
    </xf>
    <xf numFmtId="10" fontId="24" fillId="41" borderId="82" xfId="48" applyNumberFormat="1" applyFont="1" applyFill="1" applyBorder="1" applyAlignment="1">
      <alignment horizontal="right"/>
    </xf>
    <xf numFmtId="6" fontId="24" fillId="41" borderId="12" xfId="32" applyNumberFormat="1" applyFont="1" applyFill="1" applyBorder="1" applyAlignment="1">
      <alignment horizontal="right"/>
    </xf>
    <xf numFmtId="6" fontId="50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/>
    <xf numFmtId="10" fontId="24" fillId="41" borderId="82" xfId="32" applyNumberFormat="1" applyFont="1" applyFill="1" applyBorder="1" applyAlignment="1">
      <alignment horizontal="right"/>
    </xf>
    <xf numFmtId="0" fontId="0" fillId="0" borderId="0" xfId="0" applyAlignment="1">
      <alignment horizontal="center" vertical="top" wrapText="1"/>
    </xf>
    <xf numFmtId="0" fontId="70" fillId="0" borderId="0" xfId="0" applyFont="1" applyAlignment="1">
      <alignment horizontal="right" vertical="top"/>
    </xf>
    <xf numFmtId="43" fontId="7" fillId="0" borderId="0" xfId="0" applyNumberFormat="1" applyFont="1"/>
    <xf numFmtId="10" fontId="7" fillId="0" borderId="0" xfId="0" applyNumberFormat="1" applyFont="1"/>
    <xf numFmtId="0" fontId="5" fillId="51" borderId="26" xfId="0" applyFont="1" applyFill="1" applyBorder="1" applyAlignment="1">
      <alignment vertical="center" wrapText="1"/>
    </xf>
    <xf numFmtId="0" fontId="7" fillId="51" borderId="26" xfId="0" applyFont="1" applyFill="1" applyBorder="1" applyAlignment="1">
      <alignment vertical="center"/>
    </xf>
    <xf numFmtId="16" fontId="5" fillId="46" borderId="26" xfId="0" quotePrefix="1" applyNumberFormat="1" applyFont="1" applyFill="1" applyBorder="1" applyAlignment="1">
      <alignment horizontal="center"/>
    </xf>
    <xf numFmtId="0" fontId="5" fillId="52" borderId="26" xfId="0" applyFont="1" applyFill="1" applyBorder="1" applyAlignment="1">
      <alignment horizontal="center" wrapText="1"/>
    </xf>
    <xf numFmtId="38" fontId="7" fillId="0" borderId="11" xfId="0" applyNumberFormat="1" applyFont="1" applyFill="1" applyBorder="1"/>
    <xf numFmtId="38" fontId="7" fillId="0" borderId="13" xfId="0" applyNumberFormat="1" applyFont="1" applyFill="1" applyBorder="1"/>
    <xf numFmtId="38" fontId="7" fillId="40" borderId="11" xfId="0" applyNumberFormat="1" applyFont="1" applyFill="1" applyBorder="1"/>
    <xf numFmtId="38" fontId="7" fillId="31" borderId="11" xfId="0" applyNumberFormat="1" applyFont="1" applyFill="1" applyBorder="1"/>
    <xf numFmtId="38" fontId="7" fillId="0" borderId="11" xfId="0" applyNumberFormat="1" applyFont="1" applyFill="1" applyBorder="1" applyAlignment="1">
      <alignment horizontal="right"/>
    </xf>
    <xf numFmtId="38" fontId="0" fillId="0" borderId="0" xfId="0" applyNumberFormat="1"/>
    <xf numFmtId="0" fontId="5" fillId="53" borderId="26" xfId="0" applyFont="1" applyFill="1" applyBorder="1" applyAlignment="1">
      <alignment horizontal="center" wrapText="1"/>
    </xf>
    <xf numFmtId="0" fontId="5" fillId="0" borderId="0" xfId="53" applyFont="1"/>
    <xf numFmtId="0" fontId="51" fillId="48" borderId="0" xfId="53" applyFont="1" applyFill="1"/>
    <xf numFmtId="0" fontId="51" fillId="48" borderId="0" xfId="53" applyFont="1" applyFill="1" applyAlignment="1">
      <alignment horizontal="center"/>
    </xf>
    <xf numFmtId="0" fontId="5" fillId="0" borderId="0" xfId="53" applyFont="1" applyAlignment="1">
      <alignment horizontal="center"/>
    </xf>
    <xf numFmtId="0" fontId="5" fillId="41" borderId="0" xfId="53" applyFont="1" applyFill="1" applyBorder="1" applyAlignment="1">
      <alignment horizontal="center"/>
    </xf>
    <xf numFmtId="0" fontId="15" fillId="0" borderId="0" xfId="53" applyFont="1" applyAlignment="1">
      <alignment horizontal="center"/>
    </xf>
    <xf numFmtId="49" fontId="24" fillId="42" borderId="10" xfId="53" applyNumberFormat="1" applyFont="1" applyFill="1" applyBorder="1" applyAlignment="1">
      <alignment horizontal="center" vertical="center" wrapText="1"/>
    </xf>
    <xf numFmtId="1" fontId="5" fillId="26" borderId="11" xfId="53" applyNumberFormat="1" applyFont="1" applyFill="1" applyBorder="1" applyAlignment="1" applyProtection="1">
      <alignment horizontal="center"/>
    </xf>
    <xf numFmtId="1" fontId="9" fillId="26" borderId="11" xfId="53" applyNumberFormat="1" applyFont="1" applyFill="1" applyBorder="1" applyAlignment="1" applyProtection="1">
      <alignment horizontal="center"/>
    </xf>
    <xf numFmtId="1" fontId="18" fillId="26" borderId="10" xfId="53" quotePrefix="1" applyNumberFormat="1" applyFont="1" applyFill="1" applyBorder="1" applyAlignment="1" applyProtection="1">
      <alignment horizontal="center"/>
    </xf>
    <xf numFmtId="1" fontId="5" fillId="0" borderId="0" xfId="53" applyNumberFormat="1" applyFont="1" applyAlignment="1">
      <alignment horizontal="center"/>
    </xf>
    <xf numFmtId="1" fontId="5" fillId="26" borderId="26" xfId="53" applyNumberFormat="1" applyFont="1" applyFill="1" applyBorder="1" applyAlignment="1" applyProtection="1">
      <alignment horizontal="center"/>
    </xf>
    <xf numFmtId="1" fontId="9" fillId="26" borderId="26" xfId="53" applyNumberFormat="1" applyFont="1" applyFill="1" applyBorder="1" applyAlignment="1" applyProtection="1">
      <alignment horizontal="center"/>
    </xf>
    <xf numFmtId="1" fontId="18" fillId="26" borderId="26" xfId="53" applyNumberFormat="1" applyFont="1" applyFill="1" applyBorder="1" applyAlignment="1" applyProtection="1">
      <alignment horizontal="center"/>
    </xf>
    <xf numFmtId="1" fontId="18" fillId="26" borderId="26" xfId="53" applyNumberFormat="1" applyFont="1" applyFill="1" applyBorder="1" applyAlignment="1" applyProtection="1">
      <alignment horizontal="center" wrapText="1"/>
    </xf>
    <xf numFmtId="1" fontId="5" fillId="0" borderId="26" xfId="53" applyNumberFormat="1" applyFont="1" applyBorder="1" applyAlignment="1">
      <alignment horizontal="center"/>
    </xf>
    <xf numFmtId="0" fontId="5" fillId="0" borderId="121" xfId="53" applyFont="1" applyFill="1" applyBorder="1" applyProtection="1"/>
    <xf numFmtId="0" fontId="5" fillId="0" borderId="122" xfId="53" applyFont="1" applyFill="1" applyBorder="1" applyProtection="1"/>
    <xf numFmtId="172" fontId="5" fillId="41" borderId="122" xfId="54" applyNumberFormat="1" applyFont="1" applyFill="1" applyBorder="1" applyAlignment="1" applyProtection="1">
      <alignment horizontal="right"/>
    </xf>
    <xf numFmtId="166" fontId="5" fillId="0" borderId="123" xfId="54" applyNumberFormat="1" applyFont="1" applyFill="1" applyBorder="1" applyAlignment="1" applyProtection="1">
      <alignment horizontal="right"/>
    </xf>
    <xf numFmtId="166" fontId="5" fillId="42" borderId="123" xfId="54" applyNumberFormat="1" applyFont="1" applyFill="1" applyBorder="1" applyAlignment="1" applyProtection="1">
      <alignment horizontal="right"/>
    </xf>
    <xf numFmtId="166" fontId="5" fillId="43" borderId="122" xfId="53" applyNumberFormat="1" applyFont="1" applyFill="1" applyBorder="1" applyAlignment="1" applyProtection="1">
      <alignment horizontal="right"/>
    </xf>
    <xf numFmtId="166" fontId="5" fillId="44" borderId="122" xfId="53" applyNumberFormat="1" applyFont="1" applyFill="1" applyBorder="1" applyAlignment="1" applyProtection="1">
      <alignment horizontal="right"/>
    </xf>
    <xf numFmtId="0" fontId="5" fillId="0" borderId="125" xfId="53" applyFont="1" applyFill="1" applyBorder="1" applyProtection="1"/>
    <xf numFmtId="0" fontId="5" fillId="0" borderId="126" xfId="53" applyFont="1" applyFill="1" applyBorder="1" applyProtection="1"/>
    <xf numFmtId="172" fontId="5" fillId="41" borderId="126" xfId="54" applyNumberFormat="1" applyFont="1" applyFill="1" applyBorder="1" applyAlignment="1" applyProtection="1">
      <alignment horizontal="right"/>
    </xf>
    <xf numFmtId="166" fontId="5" fillId="0" borderId="127" xfId="54" applyNumberFormat="1" applyFont="1" applyFill="1" applyBorder="1" applyAlignment="1" applyProtection="1">
      <alignment horizontal="right"/>
    </xf>
    <xf numFmtId="0" fontId="5" fillId="0" borderId="128" xfId="53" applyFont="1" applyFill="1" applyBorder="1" applyProtection="1"/>
    <xf numFmtId="0" fontId="5" fillId="0" borderId="129" xfId="53" applyFont="1" applyFill="1" applyBorder="1" applyProtection="1"/>
    <xf numFmtId="172" fontId="5" fillId="41" borderId="129" xfId="54" applyNumberFormat="1" applyFont="1" applyFill="1" applyBorder="1" applyAlignment="1" applyProtection="1">
      <alignment horizontal="right"/>
    </xf>
    <xf numFmtId="166" fontId="5" fillId="0" borderId="130" xfId="54" applyNumberFormat="1" applyFont="1" applyFill="1" applyBorder="1" applyAlignment="1" applyProtection="1">
      <alignment horizontal="right"/>
    </xf>
    <xf numFmtId="172" fontId="5" fillId="41" borderId="126" xfId="53" applyNumberFormat="1" applyFont="1" applyFill="1" applyBorder="1" applyAlignment="1" applyProtection="1">
      <alignment horizontal="right"/>
    </xf>
    <xf numFmtId="166" fontId="5" fillId="0" borderId="127" xfId="53" applyNumberFormat="1" applyFont="1" applyFill="1" applyBorder="1" applyAlignment="1" applyProtection="1">
      <alignment horizontal="right"/>
    </xf>
    <xf numFmtId="172" fontId="5" fillId="41" borderId="129" xfId="53" applyNumberFormat="1" applyFont="1" applyFill="1" applyBorder="1" applyAlignment="1" applyProtection="1">
      <alignment horizontal="right"/>
    </xf>
    <xf numFmtId="166" fontId="5" fillId="0" borderId="130" xfId="53" applyNumberFormat="1" applyFont="1" applyFill="1" applyBorder="1" applyAlignment="1" applyProtection="1">
      <alignment horizontal="right"/>
    </xf>
    <xf numFmtId="172" fontId="5" fillId="41" borderId="122" xfId="53" applyNumberFormat="1" applyFont="1" applyFill="1" applyBorder="1" applyAlignment="1" applyProtection="1">
      <alignment horizontal="right"/>
    </xf>
    <xf numFmtId="166" fontId="5" fillId="0" borderId="123" xfId="53" applyNumberFormat="1" applyFont="1" applyFill="1" applyBorder="1" applyAlignment="1" applyProtection="1">
      <alignment horizontal="right"/>
    </xf>
    <xf numFmtId="0" fontId="5" fillId="0" borderId="132" xfId="53" applyFont="1" applyFill="1" applyBorder="1" applyProtection="1"/>
    <xf numFmtId="0" fontId="5" fillId="0" borderId="133" xfId="53" applyFont="1" applyFill="1" applyBorder="1" applyProtection="1"/>
    <xf numFmtId="172" fontId="5" fillId="41" borderId="133" xfId="53" applyNumberFormat="1" applyFont="1" applyFill="1" applyBorder="1" applyAlignment="1" applyProtection="1">
      <alignment horizontal="right"/>
    </xf>
    <xf numFmtId="166" fontId="5" fillId="0" borderId="134" xfId="53" applyNumberFormat="1" applyFont="1" applyFill="1" applyBorder="1" applyAlignment="1" applyProtection="1">
      <alignment horizontal="right"/>
    </xf>
    <xf numFmtId="0" fontId="9" fillId="0" borderId="135" xfId="53" applyFont="1" applyFill="1" applyBorder="1" applyProtection="1"/>
    <xf numFmtId="0" fontId="24" fillId="0" borderId="85" xfId="53" applyFont="1" applyFill="1" applyBorder="1" applyAlignment="1" applyProtection="1">
      <alignment horizontal="center"/>
    </xf>
    <xf numFmtId="172" fontId="24" fillId="41" borderId="85" xfId="54" applyNumberFormat="1" applyFont="1" applyFill="1" applyBorder="1" applyAlignment="1" applyProtection="1">
      <alignment horizontal="right"/>
    </xf>
    <xf numFmtId="166" fontId="24" fillId="0" borderId="86" xfId="54" applyNumberFormat="1" applyFont="1" applyFill="1" applyBorder="1" applyAlignment="1" applyProtection="1">
      <alignment horizontal="right"/>
    </xf>
    <xf numFmtId="166" fontId="24" fillId="42" borderId="86" xfId="54" applyNumberFormat="1" applyFont="1" applyFill="1" applyBorder="1" applyAlignment="1" applyProtection="1">
      <alignment horizontal="right"/>
    </xf>
    <xf numFmtId="166" fontId="24" fillId="43" borderId="85" xfId="54" applyNumberFormat="1" applyFont="1" applyFill="1" applyBorder="1" applyAlignment="1" applyProtection="1">
      <alignment horizontal="right"/>
    </xf>
    <xf numFmtId="166" fontId="24" fillId="44" borderId="85" xfId="54" applyNumberFormat="1" applyFont="1" applyFill="1" applyBorder="1" applyAlignment="1" applyProtection="1">
      <alignment horizontal="right"/>
    </xf>
    <xf numFmtId="0" fontId="9" fillId="0" borderId="0" xfId="53" applyFont="1"/>
    <xf numFmtId="0" fontId="9" fillId="0" borderId="0" xfId="53" applyFont="1" applyFill="1" applyBorder="1" applyAlignment="1" applyProtection="1"/>
    <xf numFmtId="38" fontId="24" fillId="0" borderId="0" xfId="54" applyNumberFormat="1" applyFont="1" applyFill="1" applyBorder="1" applyAlignment="1" applyProtection="1">
      <alignment horizontal="center"/>
    </xf>
    <xf numFmtId="166" fontId="5" fillId="0" borderId="0" xfId="53" applyNumberFormat="1" applyFont="1" applyAlignment="1">
      <alignment horizontal="center"/>
    </xf>
    <xf numFmtId="6" fontId="24" fillId="0" borderId="0" xfId="54" applyNumberFormat="1" applyFont="1" applyFill="1" applyBorder="1" applyAlignment="1" applyProtection="1">
      <alignment horizontal="center"/>
    </xf>
    <xf numFmtId="0" fontId="9" fillId="41" borderId="0" xfId="53" applyFont="1" applyFill="1" applyBorder="1"/>
    <xf numFmtId="0" fontId="6" fillId="0" borderId="0" xfId="53" applyFont="1" applyFill="1" applyBorder="1" applyAlignment="1" applyProtection="1">
      <alignment horizontal="right" vertical="center"/>
    </xf>
    <xf numFmtId="0" fontId="5" fillId="0" borderId="0" xfId="53" applyFont="1" applyFill="1" applyBorder="1" applyAlignment="1" applyProtection="1"/>
    <xf numFmtId="0" fontId="5" fillId="0" borderId="0" xfId="53" quotePrefix="1" applyFont="1" applyAlignment="1">
      <alignment horizontal="center"/>
    </xf>
    <xf numFmtId="0" fontId="5" fillId="41" borderId="0" xfId="53" quotePrefix="1" applyFont="1" applyFill="1" applyBorder="1" applyAlignment="1">
      <alignment horizontal="center"/>
    </xf>
    <xf numFmtId="165" fontId="5" fillId="0" borderId="0" xfId="54" applyNumberFormat="1" applyFont="1" applyAlignment="1"/>
    <xf numFmtId="0" fontId="5" fillId="0" borderId="0" xfId="53" applyFont="1" applyAlignment="1">
      <alignment horizontal="left"/>
    </xf>
    <xf numFmtId="10" fontId="5" fillId="0" borderId="0" xfId="55" applyNumberFormat="1" applyFont="1" applyAlignment="1"/>
    <xf numFmtId="5" fontId="5" fillId="0" borderId="0" xfId="56" applyNumberFormat="1" applyFont="1" applyAlignment="1">
      <alignment horizontal="right"/>
    </xf>
    <xf numFmtId="0" fontId="5" fillId="0" borderId="0" xfId="53" applyFont="1" applyAlignment="1"/>
    <xf numFmtId="10" fontId="5" fillId="0" borderId="14" xfId="53" applyNumberFormat="1" applyFont="1" applyBorder="1" applyAlignment="1">
      <alignment horizontal="right"/>
    </xf>
    <xf numFmtId="166" fontId="5" fillId="0" borderId="0" xfId="53" applyNumberFormat="1" applyFont="1" applyAlignment="1">
      <alignment horizontal="right"/>
    </xf>
    <xf numFmtId="169" fontId="5" fillId="0" borderId="14" xfId="53" applyNumberFormat="1" applyFont="1" applyBorder="1" applyAlignment="1">
      <alignment horizontal="right"/>
    </xf>
    <xf numFmtId="0" fontId="5" fillId="0" borderId="0" xfId="53" quotePrefix="1" applyFont="1" applyAlignment="1"/>
    <xf numFmtId="165" fontId="5" fillId="0" borderId="14" xfId="53" applyNumberFormat="1" applyFont="1" applyBorder="1" applyAlignment="1">
      <alignment horizontal="right"/>
    </xf>
    <xf numFmtId="6" fontId="5" fillId="0" borderId="14" xfId="53" applyNumberFormat="1" applyFont="1" applyBorder="1" applyAlignment="1">
      <alignment horizontal="right"/>
    </xf>
    <xf numFmtId="6" fontId="5" fillId="0" borderId="0" xfId="53" applyNumberFormat="1" applyFont="1" applyAlignment="1">
      <alignment horizontal="right"/>
    </xf>
    <xf numFmtId="10" fontId="24" fillId="0" borderId="86" xfId="48" applyNumberFormat="1" applyFont="1" applyFill="1" applyBorder="1" applyAlignment="1" applyProtection="1">
      <alignment horizontal="right"/>
    </xf>
    <xf numFmtId="1" fontId="35" fillId="26" borderId="26" xfId="53" applyNumberFormat="1" applyFont="1" applyFill="1" applyBorder="1" applyAlignment="1" applyProtection="1">
      <alignment horizontal="center"/>
    </xf>
    <xf numFmtId="1" fontId="111" fillId="26" borderId="26" xfId="53" applyNumberFormat="1" applyFont="1" applyFill="1" applyBorder="1" applyAlignment="1" applyProtection="1">
      <alignment horizontal="center"/>
    </xf>
    <xf numFmtId="1" fontId="116" fillId="26" borderId="26" xfId="53" applyNumberFormat="1" applyFont="1" applyFill="1" applyBorder="1" applyAlignment="1" applyProtection="1">
      <alignment horizontal="center"/>
    </xf>
    <xf numFmtId="1" fontId="116" fillId="26" borderId="26" xfId="53" applyNumberFormat="1" applyFont="1" applyFill="1" applyBorder="1" applyAlignment="1" applyProtection="1">
      <alignment horizontal="center" wrapText="1"/>
    </xf>
    <xf numFmtId="1" fontId="35" fillId="0" borderId="26" xfId="53" applyNumberFormat="1" applyFont="1" applyBorder="1" applyAlignment="1">
      <alignment horizontal="center"/>
    </xf>
    <xf numFmtId="166" fontId="5" fillId="0" borderId="0" xfId="53" applyNumberFormat="1" applyFont="1"/>
    <xf numFmtId="166" fontId="117" fillId="0" borderId="0" xfId="53" applyNumberFormat="1" applyFont="1"/>
    <xf numFmtId="166" fontId="15" fillId="0" borderId="0" xfId="53" applyNumberFormat="1" applyFont="1" applyAlignment="1">
      <alignment horizontal="center"/>
    </xf>
    <xf numFmtId="0" fontId="5" fillId="0" borderId="0" xfId="53" applyFont="1" applyBorder="1" applyAlignment="1">
      <alignment horizontal="center"/>
    </xf>
    <xf numFmtId="1" fontId="18" fillId="26" borderId="42" xfId="53" applyNumberFormat="1" applyFont="1" applyFill="1" applyBorder="1" applyAlignment="1" applyProtection="1">
      <alignment horizontal="center" wrapText="1"/>
    </xf>
    <xf numFmtId="166" fontId="5" fillId="0" borderId="124" xfId="53" applyNumberFormat="1" applyFont="1" applyFill="1" applyBorder="1" applyAlignment="1" applyProtection="1">
      <alignment horizontal="right"/>
    </xf>
    <xf numFmtId="166" fontId="5" fillId="42" borderId="127" xfId="54" applyNumberFormat="1" applyFont="1" applyFill="1" applyBorder="1" applyAlignment="1" applyProtection="1">
      <alignment horizontal="right"/>
    </xf>
    <xf numFmtId="166" fontId="5" fillId="43" borderId="126" xfId="53" applyNumberFormat="1" applyFont="1" applyFill="1" applyBorder="1" applyAlignment="1" applyProtection="1">
      <alignment horizontal="right"/>
    </xf>
    <xf numFmtId="166" fontId="5" fillId="44" borderId="126" xfId="53" applyNumberFormat="1" applyFont="1" applyFill="1" applyBorder="1" applyAlignment="1" applyProtection="1">
      <alignment horizontal="right"/>
    </xf>
    <xf numFmtId="166" fontId="5" fillId="42" borderId="130" xfId="54" applyNumberFormat="1" applyFont="1" applyFill="1" applyBorder="1" applyAlignment="1" applyProtection="1">
      <alignment horizontal="right"/>
    </xf>
    <xf numFmtId="166" fontId="5" fillId="0" borderId="131" xfId="53" applyNumberFormat="1" applyFont="1" applyFill="1" applyBorder="1" applyAlignment="1" applyProtection="1">
      <alignment horizontal="right"/>
    </xf>
    <xf numFmtId="166" fontId="5" fillId="43" borderId="129" xfId="53" applyNumberFormat="1" applyFont="1" applyFill="1" applyBorder="1" applyAlignment="1" applyProtection="1">
      <alignment horizontal="right"/>
    </xf>
    <xf numFmtId="166" fontId="5" fillId="44" borderId="129" xfId="53" applyNumberFormat="1" applyFont="1" applyFill="1" applyBorder="1" applyAlignment="1" applyProtection="1">
      <alignment horizontal="right"/>
    </xf>
    <xf numFmtId="166" fontId="5" fillId="42" borderId="127" xfId="53" applyNumberFormat="1" applyFont="1" applyFill="1" applyBorder="1" applyAlignment="1" applyProtection="1">
      <alignment horizontal="right"/>
    </xf>
    <xf numFmtId="166" fontId="5" fillId="42" borderId="130" xfId="53" applyNumberFormat="1" applyFont="1" applyFill="1" applyBorder="1" applyAlignment="1" applyProtection="1">
      <alignment horizontal="right"/>
    </xf>
    <xf numFmtId="166" fontId="5" fillId="42" borderId="123" xfId="53" applyNumberFormat="1" applyFont="1" applyFill="1" applyBorder="1" applyAlignment="1" applyProtection="1">
      <alignment horizontal="right"/>
    </xf>
    <xf numFmtId="166" fontId="5" fillId="42" borderId="134" xfId="53" applyNumberFormat="1" applyFont="1" applyFill="1" applyBorder="1" applyAlignment="1" applyProtection="1">
      <alignment horizontal="right"/>
    </xf>
    <xf numFmtId="166" fontId="5" fillId="43" borderId="133" xfId="53" applyNumberFormat="1" applyFont="1" applyFill="1" applyBorder="1" applyAlignment="1" applyProtection="1">
      <alignment horizontal="right"/>
    </xf>
    <xf numFmtId="166" fontId="5" fillId="44" borderId="133" xfId="53" applyNumberFormat="1" applyFont="1" applyFill="1" applyBorder="1" applyAlignment="1" applyProtection="1">
      <alignment horizontal="right"/>
    </xf>
    <xf numFmtId="166" fontId="9" fillId="0" borderId="136" xfId="53" applyNumberFormat="1" applyFont="1" applyFill="1" applyBorder="1" applyAlignment="1" applyProtection="1">
      <alignment horizontal="right"/>
    </xf>
    <xf numFmtId="1" fontId="116" fillId="26" borderId="42" xfId="53" applyNumberFormat="1" applyFont="1" applyFill="1" applyBorder="1" applyAlignment="1" applyProtection="1">
      <alignment horizontal="center" wrapText="1"/>
    </xf>
    <xf numFmtId="170" fontId="24" fillId="60" borderId="26" xfId="53" applyNumberFormat="1" applyFont="1" applyFill="1" applyBorder="1" applyAlignment="1">
      <alignment horizontal="center" vertical="center" wrapText="1"/>
    </xf>
    <xf numFmtId="0" fontId="98" fillId="41" borderId="13" xfId="0" applyFont="1" applyFill="1" applyBorder="1" applyAlignment="1">
      <alignment horizontal="left" wrapText="1"/>
    </xf>
    <xf numFmtId="0" fontId="75" fillId="41" borderId="13" xfId="0" applyFont="1" applyFill="1" applyBorder="1" applyAlignment="1">
      <alignment horizontal="left" wrapText="1"/>
    </xf>
    <xf numFmtId="3" fontId="59" fillId="41" borderId="35" xfId="0" applyNumberFormat="1" applyFont="1" applyFill="1" applyBorder="1" applyAlignment="1">
      <alignment horizontal="right" wrapText="1"/>
    </xf>
    <xf numFmtId="6" fontId="5" fillId="0" borderId="11" xfId="0" applyNumberFormat="1" applyFont="1" applyFill="1" applyBorder="1" applyProtection="1"/>
    <xf numFmtId="10" fontId="5" fillId="0" borderId="123" xfId="48" applyNumberFormat="1" applyFont="1" applyFill="1" applyBorder="1" applyAlignment="1" applyProtection="1">
      <alignment horizontal="right"/>
    </xf>
    <xf numFmtId="10" fontId="5" fillId="0" borderId="127" xfId="48" applyNumberFormat="1" applyFont="1" applyFill="1" applyBorder="1" applyAlignment="1" applyProtection="1">
      <alignment horizontal="right"/>
    </xf>
    <xf numFmtId="10" fontId="5" fillId="0" borderId="130" xfId="48" applyNumberFormat="1" applyFont="1" applyFill="1" applyBorder="1" applyAlignment="1" applyProtection="1">
      <alignment horizontal="right"/>
    </xf>
    <xf numFmtId="10" fontId="5" fillId="0" borderId="134" xfId="48" applyNumberFormat="1" applyFont="1" applyFill="1" applyBorder="1" applyAlignment="1" applyProtection="1">
      <alignment horizontal="right"/>
    </xf>
    <xf numFmtId="166" fontId="5" fillId="43" borderId="123" xfId="54" applyNumberFormat="1" applyFont="1" applyFill="1" applyBorder="1" applyAlignment="1" applyProtection="1">
      <alignment horizontal="right"/>
    </xf>
    <xf numFmtId="166" fontId="5" fillId="43" borderId="127" xfId="54" applyNumberFormat="1" applyFont="1" applyFill="1" applyBorder="1" applyAlignment="1" applyProtection="1">
      <alignment horizontal="right"/>
    </xf>
    <xf numFmtId="166" fontId="5" fillId="43" borderId="130" xfId="54" applyNumberFormat="1" applyFont="1" applyFill="1" applyBorder="1" applyAlignment="1" applyProtection="1">
      <alignment horizontal="right"/>
    </xf>
    <xf numFmtId="166" fontId="5" fillId="43" borderId="127" xfId="53" applyNumberFormat="1" applyFont="1" applyFill="1" applyBorder="1" applyAlignment="1" applyProtection="1">
      <alignment horizontal="right"/>
    </xf>
    <xf numFmtId="166" fontId="5" fillId="43" borderId="130" xfId="53" applyNumberFormat="1" applyFont="1" applyFill="1" applyBorder="1" applyAlignment="1" applyProtection="1">
      <alignment horizontal="right"/>
    </xf>
    <xf numFmtId="166" fontId="5" fillId="43" borderId="123" xfId="53" applyNumberFormat="1" applyFont="1" applyFill="1" applyBorder="1" applyAlignment="1" applyProtection="1">
      <alignment horizontal="right"/>
    </xf>
    <xf numFmtId="166" fontId="5" fillId="43" borderId="134" xfId="53" applyNumberFormat="1" applyFont="1" applyFill="1" applyBorder="1" applyAlignment="1" applyProtection="1">
      <alignment horizontal="right"/>
    </xf>
    <xf numFmtId="166" fontId="24" fillId="43" borderId="86" xfId="54" applyNumberFormat="1" applyFont="1" applyFill="1" applyBorder="1" applyAlignment="1" applyProtection="1">
      <alignment horizontal="right"/>
    </xf>
    <xf numFmtId="166" fontId="5" fillId="44" borderId="123" xfId="54" applyNumberFormat="1" applyFont="1" applyFill="1" applyBorder="1" applyAlignment="1" applyProtection="1">
      <alignment horizontal="right"/>
    </xf>
    <xf numFmtId="166" fontId="5" fillId="44" borderId="127" xfId="54" applyNumberFormat="1" applyFont="1" applyFill="1" applyBorder="1" applyAlignment="1" applyProtection="1">
      <alignment horizontal="right"/>
    </xf>
    <xf numFmtId="166" fontId="5" fillId="44" borderId="130" xfId="54" applyNumberFormat="1" applyFont="1" applyFill="1" applyBorder="1" applyAlignment="1" applyProtection="1">
      <alignment horizontal="right"/>
    </xf>
    <xf numFmtId="166" fontId="5" fillId="44" borderId="127" xfId="53" applyNumberFormat="1" applyFont="1" applyFill="1" applyBorder="1" applyAlignment="1" applyProtection="1">
      <alignment horizontal="right"/>
    </xf>
    <xf numFmtId="166" fontId="5" fillId="44" borderId="130" xfId="53" applyNumberFormat="1" applyFont="1" applyFill="1" applyBorder="1" applyAlignment="1" applyProtection="1">
      <alignment horizontal="right"/>
    </xf>
    <xf numFmtId="166" fontId="5" fillId="44" borderId="123" xfId="53" applyNumberFormat="1" applyFont="1" applyFill="1" applyBorder="1" applyAlignment="1" applyProtection="1">
      <alignment horizontal="right"/>
    </xf>
    <xf numFmtId="166" fontId="5" fillId="44" borderId="134" xfId="53" applyNumberFormat="1" applyFont="1" applyFill="1" applyBorder="1" applyAlignment="1" applyProtection="1">
      <alignment horizontal="right"/>
    </xf>
    <xf numFmtId="166" fontId="24" fillId="44" borderId="86" xfId="54" applyNumberFormat="1" applyFont="1" applyFill="1" applyBorder="1" applyAlignment="1" applyProtection="1">
      <alignment horizontal="right"/>
    </xf>
    <xf numFmtId="0" fontId="0" fillId="0" borderId="0" xfId="0" applyAlignment="1">
      <alignment horizontal="center" vertical="top" wrapText="1"/>
    </xf>
    <xf numFmtId="5" fontId="17" fillId="27" borderId="45" xfId="0" applyNumberFormat="1" applyFont="1" applyFill="1" applyBorder="1" applyAlignment="1" applyProtection="1">
      <alignment vertical="center"/>
    </xf>
    <xf numFmtId="0" fontId="0" fillId="0" borderId="0" xfId="0" applyAlignment="1">
      <alignment horizontal="center" vertical="top" wrapText="1"/>
    </xf>
    <xf numFmtId="0" fontId="24" fillId="25" borderId="10" xfId="0" applyFont="1" applyFill="1" applyBorder="1" applyAlignment="1" applyProtection="1">
      <alignment horizontal="center" vertical="center" wrapText="1"/>
    </xf>
    <xf numFmtId="0" fontId="24" fillId="27" borderId="10" xfId="0" applyFont="1" applyFill="1" applyBorder="1" applyAlignment="1">
      <alignment horizontal="center" vertical="center" wrapText="1"/>
    </xf>
    <xf numFmtId="0" fontId="24" fillId="29" borderId="10" xfId="0" applyFont="1" applyFill="1" applyBorder="1" applyAlignment="1">
      <alignment horizontal="center" vertical="center" wrapText="1"/>
    </xf>
    <xf numFmtId="49" fontId="24" fillId="42" borderId="10" xfId="53" applyNumberFormat="1" applyFont="1" applyFill="1" applyBorder="1" applyAlignment="1">
      <alignment horizontal="center" vertical="center" wrapText="1"/>
    </xf>
    <xf numFmtId="49" fontId="24" fillId="43" borderId="13" xfId="53" applyNumberFormat="1" applyFont="1" applyFill="1" applyBorder="1" applyAlignment="1">
      <alignment horizontal="center" vertical="center"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166" fontId="5" fillId="41" borderId="123" xfId="54" applyNumberFormat="1" applyFont="1" applyFill="1" applyBorder="1" applyAlignment="1" applyProtection="1">
      <alignment horizontal="right"/>
    </xf>
    <xf numFmtId="166" fontId="5" fillId="41" borderId="127" xfId="54" applyNumberFormat="1" applyFont="1" applyFill="1" applyBorder="1" applyAlignment="1" applyProtection="1">
      <alignment horizontal="right"/>
    </xf>
    <xf numFmtId="166" fontId="5" fillId="41" borderId="130" xfId="54" applyNumberFormat="1" applyFont="1" applyFill="1" applyBorder="1" applyAlignment="1" applyProtection="1">
      <alignment horizontal="right"/>
    </xf>
    <xf numFmtId="166" fontId="5" fillId="41" borderId="127" xfId="53" applyNumberFormat="1" applyFont="1" applyFill="1" applyBorder="1" applyAlignment="1" applyProtection="1">
      <alignment horizontal="right"/>
    </xf>
    <xf numFmtId="166" fontId="5" fillId="41" borderId="130" xfId="53" applyNumberFormat="1" applyFont="1" applyFill="1" applyBorder="1" applyAlignment="1" applyProtection="1">
      <alignment horizontal="right"/>
    </xf>
    <xf numFmtId="166" fontId="5" fillId="41" borderId="123" xfId="53" applyNumberFormat="1" applyFont="1" applyFill="1" applyBorder="1" applyAlignment="1" applyProtection="1">
      <alignment horizontal="right"/>
    </xf>
    <xf numFmtId="166" fontId="5" fillId="41" borderId="134" xfId="53" applyNumberFormat="1" applyFont="1" applyFill="1" applyBorder="1" applyAlignment="1" applyProtection="1">
      <alignment horizontal="right"/>
    </xf>
    <xf numFmtId="166" fontId="24" fillId="41" borderId="86" xfId="54" applyNumberFormat="1" applyFont="1" applyFill="1" applyBorder="1" applyAlignment="1" applyProtection="1">
      <alignment horizontal="right"/>
    </xf>
    <xf numFmtId="10" fontId="24" fillId="61" borderId="13" xfId="48" applyNumberFormat="1" applyFont="1" applyFill="1" applyBorder="1" applyAlignment="1">
      <alignment horizontal="center" vertical="center" wrapText="1"/>
    </xf>
    <xf numFmtId="10" fontId="24" fillId="43" borderId="13" xfId="48" applyNumberFormat="1" applyFont="1" applyFill="1" applyBorder="1" applyAlignment="1">
      <alignment horizontal="center" vertical="center" wrapText="1"/>
    </xf>
    <xf numFmtId="6" fontId="5" fillId="41" borderId="123" xfId="54" applyNumberFormat="1" applyFont="1" applyFill="1" applyBorder="1" applyAlignment="1" applyProtection="1">
      <alignment horizontal="right"/>
    </xf>
    <xf numFmtId="6" fontId="5" fillId="41" borderId="127" xfId="54" applyNumberFormat="1" applyFont="1" applyFill="1" applyBorder="1" applyAlignment="1" applyProtection="1">
      <alignment horizontal="right"/>
    </xf>
    <xf numFmtId="6" fontId="5" fillId="41" borderId="130" xfId="54" applyNumberFormat="1" applyFont="1" applyFill="1" applyBorder="1" applyAlignment="1" applyProtection="1">
      <alignment horizontal="right"/>
    </xf>
    <xf numFmtId="6" fontId="5" fillId="41" borderId="127" xfId="53" applyNumberFormat="1" applyFont="1" applyFill="1" applyBorder="1" applyAlignment="1" applyProtection="1">
      <alignment horizontal="right"/>
    </xf>
    <xf numFmtId="6" fontId="5" fillId="41" borderId="130" xfId="53" applyNumberFormat="1" applyFont="1" applyFill="1" applyBorder="1" applyAlignment="1" applyProtection="1">
      <alignment horizontal="right"/>
    </xf>
    <xf numFmtId="6" fontId="5" fillId="41" borderId="123" xfId="53" applyNumberFormat="1" applyFont="1" applyFill="1" applyBorder="1" applyAlignment="1" applyProtection="1">
      <alignment horizontal="right"/>
    </xf>
    <xf numFmtId="6" fontId="5" fillId="41" borderId="134" xfId="53" applyNumberFormat="1" applyFont="1" applyFill="1" applyBorder="1" applyAlignment="1" applyProtection="1">
      <alignment horizontal="right"/>
    </xf>
    <xf numFmtId="6" fontId="24" fillId="41" borderId="86" xfId="54" applyNumberFormat="1" applyFont="1" applyFill="1" applyBorder="1" applyAlignment="1" applyProtection="1">
      <alignment horizontal="right"/>
    </xf>
    <xf numFmtId="6" fontId="5" fillId="41" borderId="122" xfId="53" applyNumberFormat="1" applyFont="1" applyFill="1" applyBorder="1" applyAlignment="1" applyProtection="1">
      <alignment horizontal="right"/>
    </xf>
    <xf numFmtId="6" fontId="5" fillId="41" borderId="126" xfId="53" applyNumberFormat="1" applyFont="1" applyFill="1" applyBorder="1" applyAlignment="1" applyProtection="1">
      <alignment horizontal="right"/>
    </xf>
    <xf numFmtId="6" fontId="5" fillId="41" borderId="129" xfId="53" applyNumberFormat="1" applyFont="1" applyFill="1" applyBorder="1" applyAlignment="1" applyProtection="1">
      <alignment horizontal="right"/>
    </xf>
    <xf numFmtId="6" fontId="5" fillId="41" borderId="133" xfId="53" applyNumberFormat="1" applyFont="1" applyFill="1" applyBorder="1" applyAlignment="1" applyProtection="1">
      <alignment horizontal="right"/>
    </xf>
    <xf numFmtId="6" fontId="24" fillId="41" borderId="85" xfId="54" applyNumberFormat="1" applyFont="1" applyFill="1" applyBorder="1" applyAlignment="1" applyProtection="1">
      <alignment horizontal="right"/>
    </xf>
    <xf numFmtId="172" fontId="5" fillId="41" borderId="198" xfId="54" applyNumberFormat="1" applyFont="1" applyFill="1" applyBorder="1" applyAlignment="1" applyProtection="1">
      <alignment horizontal="right"/>
    </xf>
    <xf numFmtId="172" fontId="5" fillId="41" borderId="199" xfId="54" applyNumberFormat="1" applyFont="1" applyFill="1" applyBorder="1" applyAlignment="1" applyProtection="1">
      <alignment horizontal="right"/>
    </xf>
    <xf numFmtId="172" fontId="5" fillId="41" borderId="200" xfId="54" applyNumberFormat="1" applyFont="1" applyFill="1" applyBorder="1" applyAlignment="1" applyProtection="1">
      <alignment horizontal="right"/>
    </xf>
    <xf numFmtId="172" fontId="5" fillId="41" borderId="199" xfId="53" applyNumberFormat="1" applyFont="1" applyFill="1" applyBorder="1" applyAlignment="1" applyProtection="1">
      <alignment horizontal="right"/>
    </xf>
    <xf numFmtId="172" fontId="5" fillId="41" borderId="200" xfId="53" applyNumberFormat="1" applyFont="1" applyFill="1" applyBorder="1" applyAlignment="1" applyProtection="1">
      <alignment horizontal="right"/>
    </xf>
    <xf numFmtId="172" fontId="5" fillId="41" borderId="198" xfId="53" applyNumberFormat="1" applyFont="1" applyFill="1" applyBorder="1" applyAlignment="1" applyProtection="1">
      <alignment horizontal="right"/>
    </xf>
    <xf numFmtId="172" fontId="5" fillId="41" borderId="201" xfId="53" applyNumberFormat="1" applyFont="1" applyFill="1" applyBorder="1" applyAlignment="1" applyProtection="1">
      <alignment horizontal="right"/>
    </xf>
    <xf numFmtId="0" fontId="15" fillId="0" borderId="0" xfId="53" applyFont="1" applyFill="1" applyBorder="1" applyAlignment="1" applyProtection="1">
      <alignment wrapText="1"/>
    </xf>
    <xf numFmtId="10" fontId="5" fillId="0" borderId="0" xfId="53" applyNumberFormat="1" applyFont="1" applyBorder="1" applyAlignment="1">
      <alignment horizontal="right"/>
    </xf>
    <xf numFmtId="169" fontId="5" fillId="0" borderId="0" xfId="53" applyNumberFormat="1" applyFont="1" applyBorder="1" applyAlignment="1">
      <alignment horizontal="right"/>
    </xf>
    <xf numFmtId="165" fontId="5" fillId="0" borderId="0" xfId="53" applyNumberFormat="1" applyFont="1" applyBorder="1" applyAlignment="1">
      <alignment horizontal="right"/>
    </xf>
    <xf numFmtId="6" fontId="5" fillId="0" borderId="0" xfId="53" applyNumberFormat="1" applyFont="1" applyBorder="1" applyAlignment="1">
      <alignment horizontal="right"/>
    </xf>
    <xf numFmtId="6" fontId="5" fillId="0" borderId="13" xfId="0" applyNumberFormat="1" applyFont="1" applyFill="1" applyBorder="1"/>
    <xf numFmtId="3" fontId="0" fillId="0" borderId="11" xfId="0" applyNumberFormat="1" applyFill="1" applyBorder="1"/>
    <xf numFmtId="0" fontId="0" fillId="0" borderId="0" xfId="0" applyBorder="1" applyAlignment="1">
      <alignment horizontal="left" wrapText="1"/>
    </xf>
    <xf numFmtId="5" fontId="17" fillId="27" borderId="202" xfId="0" applyNumberFormat="1" applyFont="1" applyFill="1" applyBorder="1" applyAlignment="1" applyProtection="1">
      <alignment vertical="center"/>
    </xf>
    <xf numFmtId="10" fontId="12" fillId="27" borderId="203" xfId="0" applyNumberFormat="1" applyFont="1" applyFill="1" applyBorder="1" applyAlignment="1" applyProtection="1">
      <alignment vertical="center"/>
    </xf>
    <xf numFmtId="0" fontId="60" fillId="0" borderId="0" xfId="0" applyFont="1" applyFill="1" applyAlignment="1">
      <alignment horizontal="left" vertical="top" wrapText="1"/>
    </xf>
    <xf numFmtId="5" fontId="119" fillId="0" borderId="0" xfId="0" applyNumberFormat="1" applyFont="1" applyFill="1" applyBorder="1" applyProtection="1"/>
    <xf numFmtId="165" fontId="24" fillId="0" borderId="0" xfId="28" quotePrefix="1" applyNumberFormat="1" applyFont="1" applyFill="1" applyBorder="1" applyProtection="1"/>
    <xf numFmtId="172" fontId="24" fillId="41" borderId="204" xfId="54" applyNumberFormat="1" applyFont="1" applyFill="1" applyBorder="1" applyAlignment="1" applyProtection="1">
      <alignment horizontal="right"/>
    </xf>
    <xf numFmtId="3" fontId="5" fillId="41" borderId="198" xfId="53" applyNumberFormat="1" applyFont="1" applyFill="1" applyBorder="1" applyAlignment="1" applyProtection="1">
      <alignment horizontal="right"/>
    </xf>
    <xf numFmtId="3" fontId="5" fillId="41" borderId="199" xfId="53" applyNumberFormat="1" applyFont="1" applyFill="1" applyBorder="1" applyAlignment="1" applyProtection="1">
      <alignment horizontal="right"/>
    </xf>
    <xf numFmtId="6" fontId="5" fillId="0" borderId="0" xfId="53" applyNumberFormat="1" applyFont="1" applyAlignment="1">
      <alignment horizontal="center"/>
    </xf>
    <xf numFmtId="0" fontId="5" fillId="0" borderId="0" xfId="53" applyFont="1" applyAlignment="1">
      <alignment wrapText="1"/>
    </xf>
    <xf numFmtId="37" fontId="0" fillId="0" borderId="14" xfId="0" applyNumberFormat="1" applyBorder="1"/>
    <xf numFmtId="6" fontId="5" fillId="0" borderId="0" xfId="0" applyNumberFormat="1" applyFont="1"/>
    <xf numFmtId="0" fontId="10" fillId="0" borderId="205" xfId="0" quotePrefix="1" applyFont="1" applyFill="1" applyBorder="1" applyAlignment="1">
      <alignment horizontal="center"/>
    </xf>
    <xf numFmtId="0" fontId="7" fillId="41" borderId="72" xfId="0" applyFont="1" applyFill="1" applyBorder="1" applyProtection="1"/>
    <xf numFmtId="6" fontId="7" fillId="41" borderId="11" xfId="0" applyNumberFormat="1" applyFont="1" applyFill="1" applyBorder="1" applyProtection="1"/>
    <xf numFmtId="0" fontId="7" fillId="41" borderId="73" xfId="0" applyFont="1" applyFill="1" applyBorder="1" applyProtection="1"/>
    <xf numFmtId="6" fontId="7" fillId="41" borderId="75" xfId="0" applyNumberFormat="1" applyFont="1" applyFill="1" applyBorder="1" applyProtection="1"/>
    <xf numFmtId="6" fontId="114" fillId="41" borderId="11" xfId="0" applyNumberFormat="1" applyFont="1" applyFill="1" applyBorder="1" applyProtection="1"/>
    <xf numFmtId="0" fontId="5" fillId="46" borderId="26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1" fontId="120" fillId="26" borderId="26" xfId="53" applyNumberFormat="1" applyFont="1" applyFill="1" applyBorder="1" applyAlignment="1" applyProtection="1">
      <alignment horizontal="center"/>
    </xf>
    <xf numFmtId="1" fontId="120" fillId="26" borderId="26" xfId="53" applyNumberFormat="1" applyFont="1" applyFill="1" applyBorder="1" applyAlignment="1" applyProtection="1">
      <alignment horizontal="center" wrapText="1"/>
    </xf>
    <xf numFmtId="1" fontId="120" fillId="26" borderId="42" xfId="53" applyNumberFormat="1" applyFont="1" applyFill="1" applyBorder="1" applyAlignment="1" applyProtection="1">
      <alignment horizontal="center" wrapText="1"/>
    </xf>
    <xf numFmtId="3" fontId="5" fillId="0" borderId="0" xfId="0" applyNumberFormat="1" applyFont="1" applyFill="1" applyBorder="1" applyAlignment="1">
      <alignment horizontal="left"/>
    </xf>
    <xf numFmtId="0" fontId="20" fillId="41" borderId="52" xfId="0" applyFont="1" applyFill="1" applyBorder="1" applyAlignment="1">
      <alignment horizontal="center"/>
    </xf>
    <xf numFmtId="0" fontId="20" fillId="41" borderId="51" xfId="0" applyFont="1" applyFill="1" applyBorder="1" applyAlignment="1">
      <alignment horizontal="left"/>
    </xf>
    <xf numFmtId="0" fontId="10" fillId="41" borderId="51" xfId="0" applyFont="1" applyFill="1" applyBorder="1" applyAlignment="1">
      <alignment horizontal="left"/>
    </xf>
    <xf numFmtId="5" fontId="20" fillId="41" borderId="19" xfId="0" applyNumberFormat="1" applyFont="1" applyFill="1" applyBorder="1" applyProtection="1"/>
    <xf numFmtId="5" fontId="20" fillId="41" borderId="163" xfId="0" applyNumberFormat="1" applyFont="1" applyFill="1" applyBorder="1" applyProtection="1"/>
    <xf numFmtId="5" fontId="20" fillId="41" borderId="191" xfId="0" applyNumberFormat="1" applyFont="1" applyFill="1" applyBorder="1" applyProtection="1"/>
    <xf numFmtId="5" fontId="20" fillId="41" borderId="164" xfId="0" applyNumberFormat="1" applyFont="1" applyFill="1" applyBorder="1" applyProtection="1"/>
    <xf numFmtId="10" fontId="20" fillId="41" borderId="100" xfId="0" applyNumberFormat="1" applyFont="1" applyFill="1" applyBorder="1" applyProtection="1"/>
    <xf numFmtId="0" fontId="20" fillId="41" borderId="52" xfId="0" quotePrefix="1" applyFont="1" applyFill="1" applyBorder="1" applyAlignment="1">
      <alignment horizontal="center"/>
    </xf>
    <xf numFmtId="0" fontId="20" fillId="41" borderId="0" xfId="0" applyFont="1" applyFill="1" applyBorder="1" applyAlignment="1">
      <alignment horizontal="left"/>
    </xf>
    <xf numFmtId="0" fontId="10" fillId="41" borderId="0" xfId="0" applyFont="1" applyFill="1" applyBorder="1" applyAlignment="1">
      <alignment horizontal="left"/>
    </xf>
    <xf numFmtId="5" fontId="20" fillId="41" borderId="50" xfId="0" applyNumberFormat="1" applyFont="1" applyFill="1" applyBorder="1" applyProtection="1"/>
    <xf numFmtId="5" fontId="20" fillId="41" borderId="155" xfId="0" applyNumberFormat="1" applyFont="1" applyFill="1" applyBorder="1" applyProtection="1"/>
    <xf numFmtId="5" fontId="20" fillId="41" borderId="45" xfId="0" applyNumberFormat="1" applyFont="1" applyFill="1" applyBorder="1" applyProtection="1"/>
    <xf numFmtId="0" fontId="10" fillId="41" borderId="52" xfId="0" applyFont="1" applyFill="1" applyBorder="1" applyAlignment="1">
      <alignment horizontal="center"/>
    </xf>
    <xf numFmtId="0" fontId="10" fillId="41" borderId="0" xfId="0" quotePrefix="1" applyFont="1" applyFill="1" applyBorder="1" applyAlignment="1">
      <alignment horizontal="center"/>
    </xf>
    <xf numFmtId="5" fontId="12" fillId="41" borderId="20" xfId="0" applyNumberFormat="1" applyFont="1" applyFill="1" applyBorder="1" applyProtection="1"/>
    <xf numFmtId="10" fontId="12" fillId="41" borderId="111" xfId="0" applyNumberFormat="1" applyFont="1" applyFill="1" applyBorder="1" applyProtection="1"/>
    <xf numFmtId="0" fontId="10" fillId="0" borderId="51" xfId="0" applyFont="1" applyFill="1" applyBorder="1" applyAlignment="1">
      <alignment horizontal="left" wrapText="1"/>
    </xf>
    <xf numFmtId="0" fontId="10" fillId="0" borderId="206" xfId="0" applyFont="1" applyFill="1" applyBorder="1" applyAlignment="1">
      <alignment horizontal="left"/>
    </xf>
    <xf numFmtId="5" fontId="20" fillId="0" borderId="207" xfId="0" applyNumberFormat="1" applyFont="1" applyFill="1" applyBorder="1" applyProtection="1"/>
    <xf numFmtId="5" fontId="12" fillId="0" borderId="208" xfId="0" applyNumberFormat="1" applyFont="1" applyFill="1" applyBorder="1" applyProtection="1"/>
    <xf numFmtId="5" fontId="12" fillId="0" borderId="209" xfId="0" applyNumberFormat="1" applyFont="1" applyFill="1" applyBorder="1" applyProtection="1"/>
    <xf numFmtId="5" fontId="12" fillId="0" borderId="210" xfId="0" applyNumberFormat="1" applyFont="1" applyFill="1" applyBorder="1" applyProtection="1"/>
    <xf numFmtId="5" fontId="12" fillId="0" borderId="211" xfId="0" applyNumberFormat="1" applyFont="1" applyFill="1" applyBorder="1" applyAlignment="1" applyProtection="1"/>
    <xf numFmtId="0" fontId="10" fillId="0" borderId="212" xfId="0" applyFont="1" applyFill="1" applyBorder="1" applyAlignment="1">
      <alignment horizontal="left"/>
    </xf>
    <xf numFmtId="5" fontId="12" fillId="0" borderId="213" xfId="0" applyNumberFormat="1" applyFont="1" applyFill="1" applyBorder="1" applyAlignment="1" applyProtection="1"/>
    <xf numFmtId="5" fontId="12" fillId="0" borderId="214" xfId="0" applyNumberFormat="1" applyFont="1" applyFill="1" applyBorder="1" applyAlignment="1" applyProtection="1"/>
    <xf numFmtId="5" fontId="12" fillId="0" borderId="215" xfId="0" applyNumberFormat="1" applyFont="1" applyFill="1" applyBorder="1" applyAlignment="1" applyProtection="1"/>
    <xf numFmtId="5" fontId="12" fillId="0" borderId="216" xfId="0" applyNumberFormat="1" applyFont="1" applyFill="1" applyBorder="1" applyProtection="1"/>
    <xf numFmtId="10" fontId="12" fillId="0" borderId="217" xfId="0" applyNumberFormat="1" applyFont="1" applyFill="1" applyBorder="1" applyProtection="1"/>
    <xf numFmtId="0" fontId="10" fillId="0" borderId="218" xfId="0" applyFont="1" applyFill="1" applyBorder="1" applyAlignment="1">
      <alignment horizontal="left"/>
    </xf>
    <xf numFmtId="5" fontId="12" fillId="0" borderId="219" xfId="0" applyNumberFormat="1" applyFont="1" applyFill="1" applyBorder="1" applyProtection="1"/>
    <xf numFmtId="5" fontId="12" fillId="0" borderId="218" xfId="0" applyNumberFormat="1" applyFont="1" applyFill="1" applyBorder="1" applyProtection="1"/>
    <xf numFmtId="5" fontId="12" fillId="0" borderId="220" xfId="0" applyNumberFormat="1" applyFont="1" applyFill="1" applyBorder="1" applyProtection="1"/>
    <xf numFmtId="5" fontId="12" fillId="0" borderId="221" xfId="0" applyNumberFormat="1" applyFont="1" applyFill="1" applyBorder="1" applyProtection="1"/>
    <xf numFmtId="10" fontId="12" fillId="0" borderId="222" xfId="0" applyNumberFormat="1" applyFont="1" applyFill="1" applyBorder="1" applyProtection="1"/>
    <xf numFmtId="0" fontId="122" fillId="0" borderId="0" xfId="0" applyFont="1"/>
    <xf numFmtId="0" fontId="122" fillId="0" borderId="226" xfId="44" applyFont="1" applyFill="1" applyBorder="1" applyProtection="1"/>
    <xf numFmtId="0" fontId="122" fillId="0" borderId="39" xfId="44" applyFont="1" applyFill="1" applyBorder="1" applyProtection="1"/>
    <xf numFmtId="6" fontId="122" fillId="0" borderId="45" xfId="0" applyNumberFormat="1" applyFont="1" applyBorder="1"/>
    <xf numFmtId="0" fontId="122" fillId="0" borderId="227" xfId="44" applyFont="1" applyFill="1" applyBorder="1" applyProtection="1"/>
    <xf numFmtId="0" fontId="122" fillId="0" borderId="40" xfId="44" applyFont="1" applyFill="1" applyBorder="1" applyProtection="1"/>
    <xf numFmtId="6" fontId="122" fillId="0" borderId="83" xfId="0" applyNumberFormat="1" applyFont="1" applyBorder="1"/>
    <xf numFmtId="6" fontId="122" fillId="0" borderId="11" xfId="0" applyNumberFormat="1" applyFont="1" applyFill="1" applyBorder="1" applyProtection="1"/>
    <xf numFmtId="6" fontId="122" fillId="0" borderId="75" xfId="0" applyNumberFormat="1" applyFont="1" applyFill="1" applyBorder="1" applyProtection="1"/>
    <xf numFmtId="0" fontId="122" fillId="0" borderId="228" xfId="44" applyFont="1" applyFill="1" applyBorder="1" applyProtection="1"/>
    <xf numFmtId="0" fontId="122" fillId="0" borderId="223" xfId="44" applyFont="1" applyFill="1" applyBorder="1" applyProtection="1"/>
    <xf numFmtId="0" fontId="122" fillId="0" borderId="60" xfId="44" applyFont="1" applyFill="1" applyBorder="1" applyProtection="1"/>
    <xf numFmtId="0" fontId="122" fillId="0" borderId="224" xfId="44" applyFont="1" applyFill="1" applyBorder="1" applyProtection="1"/>
    <xf numFmtId="0" fontId="72" fillId="24" borderId="229" xfId="44" applyFont="1" applyFill="1" applyBorder="1" applyProtection="1"/>
    <xf numFmtId="0" fontId="109" fillId="24" borderId="225" xfId="44" applyFont="1" applyFill="1" applyBorder="1" applyAlignment="1" applyProtection="1">
      <alignment horizontal="center"/>
    </xf>
    <xf numFmtId="6" fontId="121" fillId="0" borderId="82" xfId="0" applyNumberFormat="1" applyFont="1" applyBorder="1"/>
    <xf numFmtId="6" fontId="121" fillId="0" borderId="12" xfId="0" applyNumberFormat="1" applyFont="1" applyBorder="1"/>
    <xf numFmtId="6" fontId="121" fillId="49" borderId="0" xfId="0" applyNumberFormat="1" applyFont="1" applyFill="1" applyBorder="1"/>
    <xf numFmtId="0" fontId="72" fillId="0" borderId="0" xfId="0" applyFont="1"/>
    <xf numFmtId="0" fontId="122" fillId="41" borderId="0" xfId="0" applyFont="1" applyFill="1"/>
    <xf numFmtId="166" fontId="122" fillId="0" borderId="0" xfId="0" applyNumberFormat="1" applyFont="1"/>
    <xf numFmtId="0" fontId="10" fillId="0" borderId="21" xfId="0" applyFont="1" applyFill="1" applyBorder="1" applyAlignment="1">
      <alignment horizontal="right"/>
    </xf>
    <xf numFmtId="165" fontId="10" fillId="0" borderId="161" xfId="28" applyNumberFormat="1" applyFont="1" applyFill="1" applyBorder="1" applyAlignment="1" applyProtection="1"/>
    <xf numFmtId="165" fontId="10" fillId="0" borderId="20" xfId="28" applyNumberFormat="1" applyFont="1" applyFill="1" applyBorder="1" applyAlignment="1" applyProtection="1"/>
    <xf numFmtId="165" fontId="10" fillId="0" borderId="160" xfId="28" applyNumberFormat="1" applyFont="1" applyFill="1" applyBorder="1" applyAlignment="1" applyProtection="1"/>
    <xf numFmtId="165" fontId="10" fillId="0" borderId="150" xfId="28" applyNumberFormat="1" applyFont="1" applyFill="1" applyBorder="1" applyAlignment="1" applyProtection="1"/>
    <xf numFmtId="165" fontId="10" fillId="0" borderId="27" xfId="28" applyNumberFormat="1" applyFont="1" applyFill="1" applyBorder="1" applyProtection="1"/>
    <xf numFmtId="0" fontId="10" fillId="0" borderId="21" xfId="0" applyFont="1" applyFill="1" applyBorder="1" applyAlignment="1">
      <alignment horizontal="right" vertical="top"/>
    </xf>
    <xf numFmtId="0" fontId="10" fillId="0" borderId="20" xfId="0" applyFont="1" applyFill="1" applyBorder="1" applyAlignment="1">
      <alignment horizontal="left" vertical="top" wrapText="1"/>
    </xf>
    <xf numFmtId="0" fontId="122" fillId="41" borderId="0" xfId="0" applyFont="1" applyFill="1" applyBorder="1"/>
    <xf numFmtId="6" fontId="122" fillId="41" borderId="0" xfId="0" applyNumberFormat="1" applyFont="1" applyFill="1" applyBorder="1"/>
    <xf numFmtId="166" fontId="122" fillId="41" borderId="0" xfId="0" applyNumberFormat="1" applyFont="1" applyFill="1" applyBorder="1"/>
    <xf numFmtId="6" fontId="121" fillId="41" borderId="0" xfId="0" applyNumberFormat="1" applyFont="1" applyFill="1" applyBorder="1"/>
    <xf numFmtId="166" fontId="121" fillId="41" borderId="0" xfId="0" applyNumberFormat="1" applyFont="1" applyFill="1" applyBorder="1"/>
    <xf numFmtId="0" fontId="122" fillId="26" borderId="26" xfId="44" applyFont="1" applyFill="1" applyBorder="1" applyAlignment="1">
      <alignment horizontal="center"/>
    </xf>
    <xf numFmtId="6" fontId="122" fillId="0" borderId="0" xfId="0" applyNumberFormat="1" applyFont="1" applyBorder="1"/>
    <xf numFmtId="6" fontId="122" fillId="0" borderId="0" xfId="0" applyNumberFormat="1" applyFont="1"/>
    <xf numFmtId="6" fontId="122" fillId="0" borderId="14" xfId="0" applyNumberFormat="1" applyFont="1" applyBorder="1"/>
    <xf numFmtId="6" fontId="122" fillId="0" borderId="77" xfId="0" applyNumberFormat="1" applyFont="1" applyFill="1" applyBorder="1" applyProtection="1"/>
    <xf numFmtId="6" fontId="121" fillId="0" borderId="67" xfId="32" applyNumberFormat="1" applyFont="1" applyBorder="1"/>
    <xf numFmtId="6" fontId="121" fillId="0" borderId="84" xfId="0" applyNumberFormat="1" applyFont="1" applyBorder="1"/>
    <xf numFmtId="0" fontId="123" fillId="26" borderId="26" xfId="57" quotePrefix="1" applyNumberFormat="1" applyFont="1" applyFill="1" applyBorder="1" applyAlignment="1">
      <alignment horizontal="center"/>
    </xf>
    <xf numFmtId="0" fontId="122" fillId="0" borderId="26" xfId="0" applyFont="1" applyBorder="1" applyAlignment="1">
      <alignment horizontal="center"/>
    </xf>
    <xf numFmtId="0" fontId="24" fillId="25" borderId="26" xfId="0" applyFont="1" applyFill="1" applyBorder="1" applyAlignment="1">
      <alignment horizontal="center" vertical="center" wrapText="1"/>
    </xf>
    <xf numFmtId="3" fontId="9" fillId="0" borderId="0" xfId="0" applyNumberFormat="1" applyFont="1"/>
    <xf numFmtId="0" fontId="126" fillId="0" borderId="0" xfId="53" applyFont="1"/>
    <xf numFmtId="0" fontId="5" fillId="0" borderId="0" xfId="53"/>
    <xf numFmtId="0" fontId="126" fillId="0" borderId="0" xfId="53" applyNumberFormat="1" applyFont="1"/>
    <xf numFmtId="0" fontId="68" fillId="0" borderId="0" xfId="53" applyFont="1"/>
    <xf numFmtId="0" fontId="44" fillId="63" borderId="22" xfId="45" applyFont="1" applyFill="1" applyBorder="1" applyAlignment="1">
      <alignment horizontal="center" wrapText="1"/>
    </xf>
    <xf numFmtId="0" fontId="5" fillId="0" borderId="0" xfId="53" applyAlignment="1">
      <alignment wrapText="1"/>
    </xf>
    <xf numFmtId="173" fontId="127" fillId="0" borderId="7" xfId="64" applyNumberFormat="1" applyFont="1" applyFill="1" applyBorder="1" applyAlignment="1">
      <alignment horizontal="right" wrapText="1"/>
    </xf>
    <xf numFmtId="3" fontId="9" fillId="0" borderId="0" xfId="53" applyNumberFormat="1" applyFont="1"/>
    <xf numFmtId="173" fontId="44" fillId="0" borderId="7" xfId="64" applyNumberFormat="1" applyFont="1" applyFill="1" applyBorder="1" applyAlignment="1">
      <alignment horizontal="right" wrapText="1"/>
    </xf>
    <xf numFmtId="0" fontId="44" fillId="0" borderId="7" xfId="64" applyFont="1" applyFill="1" applyBorder="1" applyAlignment="1">
      <alignment wrapText="1"/>
    </xf>
    <xf numFmtId="3" fontId="44" fillId="0" borderId="7" xfId="64" applyNumberFormat="1" applyFont="1" applyFill="1" applyBorder="1" applyAlignment="1">
      <alignment horizontal="right" wrapText="1"/>
    </xf>
    <xf numFmtId="3" fontId="5" fillId="0" borderId="0" xfId="53" applyNumberFormat="1"/>
    <xf numFmtId="3" fontId="5" fillId="41" borderId="126" xfId="54" applyNumberFormat="1" applyFont="1" applyFill="1" applyBorder="1" applyAlignment="1" applyProtection="1">
      <alignment horizontal="right"/>
    </xf>
    <xf numFmtId="3" fontId="5" fillId="41" borderId="129" xfId="54" applyNumberFormat="1" applyFont="1" applyFill="1" applyBorder="1" applyAlignment="1" applyProtection="1">
      <alignment horizontal="right"/>
    </xf>
    <xf numFmtId="3" fontId="5" fillId="41" borderId="122" xfId="54" applyNumberFormat="1" applyFont="1" applyFill="1" applyBorder="1" applyAlignment="1" applyProtection="1">
      <alignment horizontal="right"/>
    </xf>
    <xf numFmtId="3" fontId="5" fillId="41" borderId="126" xfId="53" applyNumberFormat="1" applyFont="1" applyFill="1" applyBorder="1" applyAlignment="1" applyProtection="1">
      <alignment horizontal="right"/>
    </xf>
    <xf numFmtId="3" fontId="5" fillId="41" borderId="129" xfId="53" applyNumberFormat="1" applyFont="1" applyFill="1" applyBorder="1" applyAlignment="1" applyProtection="1">
      <alignment horizontal="right"/>
    </xf>
    <xf numFmtId="3" fontId="5" fillId="41" borderId="122" xfId="53" applyNumberFormat="1" applyFont="1" applyFill="1" applyBorder="1" applyAlignment="1" applyProtection="1">
      <alignment horizontal="right"/>
    </xf>
    <xf numFmtId="3" fontId="5" fillId="41" borderId="133" xfId="53" applyNumberFormat="1" applyFont="1" applyFill="1" applyBorder="1" applyAlignment="1" applyProtection="1">
      <alignment horizontal="right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center"/>
    </xf>
    <xf numFmtId="49" fontId="24" fillId="43" borderId="13" xfId="53" applyNumberFormat="1" applyFont="1" applyFill="1" applyBorder="1" applyAlignment="1">
      <alignment horizontal="center" vertical="center" wrapText="1"/>
    </xf>
    <xf numFmtId="49" fontId="24" fillId="43" borderId="44" xfId="53" applyNumberFormat="1" applyFont="1" applyFill="1" applyBorder="1" applyAlignment="1">
      <alignment horizontal="center" vertical="center" wrapText="1"/>
    </xf>
    <xf numFmtId="49" fontId="24" fillId="43" borderId="83" xfId="53" applyNumberFormat="1" applyFont="1" applyFill="1" applyBorder="1" applyAlignment="1">
      <alignment horizontal="center" vertical="center"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6" fontId="7" fillId="42" borderId="123" xfId="30" applyNumberFormat="1" applyFont="1" applyFill="1" applyBorder="1" applyAlignment="1" applyProtection="1">
      <alignment horizontal="right"/>
    </xf>
    <xf numFmtId="6" fontId="7" fillId="42" borderId="127" xfId="30" applyNumberFormat="1" applyFont="1" applyFill="1" applyBorder="1" applyAlignment="1" applyProtection="1">
      <alignment horizontal="right"/>
    </xf>
    <xf numFmtId="6" fontId="7" fillId="42" borderId="130" xfId="30" applyNumberFormat="1" applyFont="1" applyFill="1" applyBorder="1" applyAlignment="1" applyProtection="1">
      <alignment horizontal="right"/>
    </xf>
    <xf numFmtId="6" fontId="7" fillId="42" borderId="127" xfId="0" applyNumberFormat="1" applyFont="1" applyFill="1" applyBorder="1" applyAlignment="1" applyProtection="1">
      <alignment horizontal="right"/>
    </xf>
    <xf numFmtId="6" fontId="7" fillId="42" borderId="130" xfId="0" applyNumberFormat="1" applyFont="1" applyFill="1" applyBorder="1" applyAlignment="1" applyProtection="1">
      <alignment horizontal="right"/>
    </xf>
    <xf numFmtId="6" fontId="7" fillId="42" borderId="123" xfId="0" applyNumberFormat="1" applyFont="1" applyFill="1" applyBorder="1" applyAlignment="1" applyProtection="1">
      <alignment horizontal="right"/>
    </xf>
    <xf numFmtId="6" fontId="7" fillId="42" borderId="134" xfId="0" applyNumberFormat="1" applyFont="1" applyFill="1" applyBorder="1" applyAlignment="1" applyProtection="1">
      <alignment horizontal="right"/>
    </xf>
    <xf numFmtId="6" fontId="24" fillId="42" borderId="86" xfId="30" applyNumberFormat="1" applyFont="1" applyFill="1" applyBorder="1" applyAlignment="1" applyProtection="1">
      <alignment horizontal="right"/>
    </xf>
    <xf numFmtId="166" fontId="5" fillId="42" borderId="123" xfId="30" applyNumberFormat="1" applyFont="1" applyFill="1" applyBorder="1" applyAlignment="1" applyProtection="1">
      <alignment horizontal="right"/>
    </xf>
    <xf numFmtId="6" fontId="7" fillId="43" borderId="122" xfId="0" applyNumberFormat="1" applyFont="1" applyFill="1" applyBorder="1" applyAlignment="1" applyProtection="1">
      <alignment horizontal="right"/>
    </xf>
    <xf numFmtId="6" fontId="7" fillId="43" borderId="126" xfId="0" applyNumberFormat="1" applyFont="1" applyFill="1" applyBorder="1" applyAlignment="1" applyProtection="1">
      <alignment horizontal="right"/>
    </xf>
    <xf numFmtId="6" fontId="7" fillId="43" borderId="129" xfId="0" applyNumberFormat="1" applyFont="1" applyFill="1" applyBorder="1" applyAlignment="1" applyProtection="1">
      <alignment horizontal="right"/>
    </xf>
    <xf numFmtId="6" fontId="7" fillId="43" borderId="133" xfId="0" applyNumberFormat="1" applyFont="1" applyFill="1" applyBorder="1" applyAlignment="1" applyProtection="1">
      <alignment horizontal="right"/>
    </xf>
    <xf numFmtId="6" fontId="24" fillId="43" borderId="85" xfId="30" applyNumberFormat="1" applyFont="1" applyFill="1" applyBorder="1" applyAlignment="1" applyProtection="1">
      <alignment horizontal="right"/>
    </xf>
    <xf numFmtId="0" fontId="5" fillId="0" borderId="226" xfId="53" applyFont="1" applyFill="1" applyBorder="1" applyProtection="1"/>
    <xf numFmtId="0" fontId="5" fillId="0" borderId="39" xfId="53" applyFont="1" applyFill="1" applyBorder="1" applyProtection="1"/>
    <xf numFmtId="172" fontId="5" fillId="41" borderId="39" xfId="53" applyNumberFormat="1" applyFont="1" applyFill="1" applyBorder="1" applyAlignment="1" applyProtection="1">
      <alignment horizontal="right"/>
    </xf>
    <xf numFmtId="166" fontId="5" fillId="0" borderId="230" xfId="53" applyNumberFormat="1" applyFont="1" applyFill="1" applyBorder="1" applyAlignment="1" applyProtection="1">
      <alignment horizontal="right"/>
    </xf>
    <xf numFmtId="10" fontId="5" fillId="0" borderId="230" xfId="48" applyNumberFormat="1" applyFont="1" applyFill="1" applyBorder="1" applyAlignment="1" applyProtection="1">
      <alignment horizontal="right"/>
    </xf>
    <xf numFmtId="166" fontId="5" fillId="43" borderId="230" xfId="53" applyNumberFormat="1" applyFont="1" applyFill="1" applyBorder="1" applyAlignment="1" applyProtection="1">
      <alignment horizontal="right"/>
    </xf>
    <xf numFmtId="5" fontId="12" fillId="0" borderId="231" xfId="0" applyNumberFormat="1" applyFont="1" applyFill="1" applyBorder="1" applyProtection="1"/>
    <xf numFmtId="0" fontId="0" fillId="0" borderId="0" xfId="0" applyAlignment="1">
      <alignment vertical="top" wrapText="1"/>
    </xf>
    <xf numFmtId="0" fontId="123" fillId="26" borderId="26" xfId="57" quotePrefix="1" applyNumberFormat="1" applyFont="1" applyFill="1" applyBorder="1" applyAlignment="1">
      <alignment horizontal="center" wrapText="1"/>
    </xf>
    <xf numFmtId="0" fontId="122" fillId="24" borderId="0" xfId="44" applyFont="1" applyFill="1" applyBorder="1" applyProtection="1"/>
    <xf numFmtId="0" fontId="109" fillId="24" borderId="0" xfId="44" applyFont="1" applyFill="1" applyBorder="1" applyAlignment="1" applyProtection="1">
      <alignment horizontal="center"/>
    </xf>
    <xf numFmtId="6" fontId="121" fillId="0" borderId="0" xfId="0" applyNumberFormat="1" applyFont="1" applyBorder="1"/>
    <xf numFmtId="0" fontId="122" fillId="49" borderId="0" xfId="44" applyFont="1" applyFill="1" applyBorder="1" applyProtection="1"/>
    <xf numFmtId="0" fontId="109" fillId="49" borderId="0" xfId="44" applyFont="1" applyFill="1" applyBorder="1" applyAlignment="1" applyProtection="1">
      <alignment horizontal="center"/>
    </xf>
    <xf numFmtId="0" fontId="122" fillId="0" borderId="0" xfId="44" applyFont="1" applyFill="1" applyBorder="1" applyProtection="1"/>
    <xf numFmtId="0" fontId="125" fillId="24" borderId="0" xfId="44" applyFont="1" applyFill="1" applyBorder="1" applyAlignment="1" applyProtection="1">
      <alignment horizontal="center"/>
    </xf>
    <xf numFmtId="0" fontId="122" fillId="0" borderId="0" xfId="44" applyFont="1" applyFill="1" applyBorder="1"/>
    <xf numFmtId="0" fontId="122" fillId="0" borderId="0" xfId="44" applyFont="1" applyFill="1" applyBorder="1" applyAlignment="1" applyProtection="1"/>
    <xf numFmtId="6" fontId="122" fillId="0" borderId="0" xfId="0" applyNumberFormat="1" applyFont="1" applyFill="1" applyBorder="1" applyProtection="1"/>
    <xf numFmtId="0" fontId="109" fillId="0" borderId="0" xfId="44" applyFont="1" applyFill="1" applyBorder="1" applyAlignment="1" applyProtection="1">
      <alignment horizontal="center"/>
    </xf>
    <xf numFmtId="6" fontId="122" fillId="0" borderId="0" xfId="0" applyNumberFormat="1" applyFont="1" applyFill="1" applyBorder="1"/>
    <xf numFmtId="0" fontId="122" fillId="41" borderId="0" xfId="44" applyFont="1" applyFill="1" applyBorder="1"/>
    <xf numFmtId="0" fontId="109" fillId="41" borderId="0" xfId="44" applyFont="1" applyFill="1" applyBorder="1" applyAlignment="1" applyProtection="1">
      <alignment horizontal="center"/>
    </xf>
    <xf numFmtId="0" fontId="122" fillId="0" borderId="0" xfId="44" applyFont="1" applyFill="1" applyBorder="1" applyAlignment="1">
      <alignment horizontal="left"/>
    </xf>
    <xf numFmtId="0" fontId="122" fillId="0" borderId="0" xfId="44" applyFont="1" applyFill="1" applyBorder="1" applyAlignment="1" applyProtection="1">
      <alignment wrapText="1"/>
    </xf>
    <xf numFmtId="0" fontId="122" fillId="0" borderId="0" xfId="44" applyFont="1" applyFill="1" applyBorder="1" applyAlignment="1" applyProtection="1">
      <alignment horizontal="left"/>
    </xf>
    <xf numFmtId="0" fontId="122" fillId="41" borderId="0" xfId="44" applyFont="1" applyFill="1" applyBorder="1" applyAlignment="1" applyProtection="1">
      <alignment horizontal="left"/>
    </xf>
    <xf numFmtId="0" fontId="122" fillId="41" borderId="0" xfId="44" applyNumberFormat="1" applyFont="1" applyFill="1" applyBorder="1" applyProtection="1"/>
    <xf numFmtId="0" fontId="122" fillId="24" borderId="0" xfId="44" applyFont="1" applyFill="1" applyBorder="1" applyAlignment="1" applyProtection="1">
      <alignment horizontal="left"/>
    </xf>
    <xf numFmtId="0" fontId="124" fillId="0" borderId="0" xfId="44" applyFont="1" applyFill="1" applyBorder="1" applyAlignment="1" applyProtection="1">
      <alignment horizontal="left" vertical="top"/>
    </xf>
    <xf numFmtId="0" fontId="72" fillId="0" borderId="0" xfId="44" applyFont="1" applyFill="1" applyBorder="1" applyAlignment="1">
      <alignment horizontal="left"/>
    </xf>
    <xf numFmtId="0" fontId="124" fillId="0" borderId="0" xfId="44" applyFont="1" applyFill="1" applyBorder="1" applyAlignment="1" applyProtection="1">
      <alignment horizontal="left"/>
    </xf>
    <xf numFmtId="0" fontId="72" fillId="24" borderId="0" xfId="44" applyFont="1" applyFill="1" applyBorder="1" applyProtection="1"/>
    <xf numFmtId="0" fontId="122" fillId="0" borderId="0" xfId="44" applyNumberFormat="1" applyFont="1" applyFill="1" applyBorder="1" applyProtection="1"/>
    <xf numFmtId="0" fontId="122" fillId="0" borderId="0" xfId="44" applyNumberFormat="1" applyFont="1" applyFill="1" applyBorder="1" applyAlignment="1" applyProtection="1">
      <alignment wrapText="1"/>
    </xf>
    <xf numFmtId="166" fontId="122" fillId="0" borderId="0" xfId="0" applyNumberFormat="1" applyFont="1" applyBorder="1"/>
    <xf numFmtId="5" fontId="122" fillId="0" borderId="0" xfId="0" applyNumberFormat="1" applyFont="1" applyFill="1" applyBorder="1" applyProtection="1"/>
    <xf numFmtId="166" fontId="121" fillId="0" borderId="0" xfId="0" applyNumberFormat="1" applyFont="1" applyBorder="1"/>
    <xf numFmtId="5" fontId="121" fillId="0" borderId="0" xfId="0" applyNumberFormat="1" applyFont="1" applyBorder="1"/>
    <xf numFmtId="0" fontId="122" fillId="28" borderId="0" xfId="44" applyFont="1" applyFill="1" applyBorder="1"/>
    <xf numFmtId="0" fontId="109" fillId="28" borderId="0" xfId="44" applyFont="1" applyFill="1" applyBorder="1" applyAlignment="1" applyProtection="1"/>
    <xf numFmtId="0" fontId="122" fillId="49" borderId="0" xfId="0" applyFont="1" applyFill="1" applyBorder="1"/>
    <xf numFmtId="0" fontId="122" fillId="0" borderId="0" xfId="44" applyNumberFormat="1" applyFont="1" applyBorder="1" applyProtection="1"/>
    <xf numFmtId="0" fontId="72" fillId="24" borderId="0" xfId="44" applyFont="1" applyFill="1" applyBorder="1" applyAlignment="1" applyProtection="1">
      <alignment horizontal="left"/>
    </xf>
    <xf numFmtId="5" fontId="121" fillId="0" borderId="0" xfId="0" applyNumberFormat="1" applyFont="1" applyFill="1" applyBorder="1" applyProtection="1"/>
    <xf numFmtId="0" fontId="122" fillId="0" borderId="44" xfId="44" applyFont="1" applyBorder="1"/>
    <xf numFmtId="0" fontId="122" fillId="0" borderId="45" xfId="44" applyFont="1" applyFill="1" applyBorder="1" applyProtection="1"/>
    <xf numFmtId="0" fontId="122" fillId="0" borderId="232" xfId="44" applyFont="1" applyBorder="1"/>
    <xf numFmtId="6" fontId="122" fillId="0" borderId="79" xfId="0" applyNumberFormat="1" applyFont="1" applyFill="1" applyBorder="1" applyProtection="1"/>
    <xf numFmtId="6" fontId="122" fillId="0" borderId="141" xfId="0" applyNumberFormat="1" applyFont="1" applyBorder="1"/>
    <xf numFmtId="0" fontId="0" fillId="0" borderId="141" xfId="0" applyBorder="1"/>
    <xf numFmtId="49" fontId="24" fillId="42" borderId="10" xfId="53" applyNumberFormat="1" applyFont="1" applyFill="1" applyBorder="1" applyAlignment="1">
      <alignment horizontal="center" vertical="center" wrapText="1"/>
    </xf>
    <xf numFmtId="49" fontId="24" fillId="43" borderId="13" xfId="53" applyNumberFormat="1" applyFont="1" applyFill="1" applyBorder="1" applyAlignment="1">
      <alignment horizontal="center" vertical="center"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6" fontId="7" fillId="0" borderId="13" xfId="0" applyNumberFormat="1" applyFont="1" applyFill="1" applyBorder="1" applyProtection="1"/>
    <xf numFmtId="3" fontId="5" fillId="41" borderId="39" xfId="53" applyNumberFormat="1" applyFont="1" applyFill="1" applyBorder="1" applyAlignment="1" applyProtection="1">
      <alignment horizontal="right"/>
    </xf>
    <xf numFmtId="0" fontId="5" fillId="0" borderId="235" xfId="53" applyFont="1" applyFill="1" applyBorder="1" applyProtection="1"/>
    <xf numFmtId="0" fontId="5" fillId="0" borderId="236" xfId="53" applyFont="1" applyFill="1" applyBorder="1" applyProtection="1"/>
    <xf numFmtId="3" fontId="5" fillId="41" borderId="236" xfId="53" applyNumberFormat="1" applyFont="1" applyFill="1" applyBorder="1" applyAlignment="1" applyProtection="1">
      <alignment horizontal="right"/>
    </xf>
    <xf numFmtId="166" fontId="5" fillId="0" borderId="237" xfId="53" applyNumberFormat="1" applyFont="1" applyFill="1" applyBorder="1" applyAlignment="1" applyProtection="1">
      <alignment horizontal="right"/>
    </xf>
    <xf numFmtId="166" fontId="5" fillId="41" borderId="234" xfId="53" applyNumberFormat="1" applyFont="1" applyFill="1" applyBorder="1" applyAlignment="1" applyProtection="1">
      <alignment horizontal="right"/>
    </xf>
    <xf numFmtId="6" fontId="5" fillId="41" borderId="234" xfId="53" applyNumberFormat="1" applyFont="1" applyFill="1" applyBorder="1" applyAlignment="1" applyProtection="1">
      <alignment horizontal="right"/>
    </xf>
    <xf numFmtId="166" fontId="5" fillId="42" borderId="237" xfId="53" applyNumberFormat="1" applyFont="1" applyFill="1" applyBorder="1" applyAlignment="1" applyProtection="1">
      <alignment horizontal="right"/>
    </xf>
    <xf numFmtId="6" fontId="5" fillId="42" borderId="123" xfId="53" applyNumberFormat="1" applyFont="1" applyFill="1" applyBorder="1" applyAlignment="1" applyProtection="1">
      <alignment horizontal="right"/>
    </xf>
    <xf numFmtId="6" fontId="24" fillId="42" borderId="86" xfId="54" applyNumberFormat="1" applyFont="1" applyFill="1" applyBorder="1" applyAlignment="1" applyProtection="1">
      <alignment horizontal="right"/>
    </xf>
    <xf numFmtId="6" fontId="5" fillId="42" borderId="123" xfId="54" applyNumberFormat="1" applyFont="1" applyFill="1" applyBorder="1" applyAlignment="1" applyProtection="1">
      <alignment horizontal="right"/>
    </xf>
    <xf numFmtId="6" fontId="5" fillId="43" borderId="122" xfId="53" applyNumberFormat="1" applyFont="1" applyFill="1" applyBorder="1" applyAlignment="1" applyProtection="1">
      <alignment horizontal="right"/>
    </xf>
    <xf numFmtId="6" fontId="24" fillId="43" borderId="85" xfId="54" applyNumberFormat="1" applyFont="1" applyFill="1" applyBorder="1" applyAlignment="1" applyProtection="1">
      <alignment horizontal="right"/>
    </xf>
    <xf numFmtId="5" fontId="12" fillId="0" borderId="83" xfId="0" applyNumberFormat="1" applyFont="1" applyFill="1" applyBorder="1" applyProtection="1"/>
    <xf numFmtId="5" fontId="12" fillId="0" borderId="239" xfId="0" applyNumberFormat="1" applyFont="1" applyFill="1" applyBorder="1" applyProtection="1"/>
    <xf numFmtId="5" fontId="12" fillId="0" borderId="238" xfId="0" applyNumberFormat="1" applyFont="1" applyFill="1" applyBorder="1" applyProtection="1"/>
    <xf numFmtId="5" fontId="12" fillId="41" borderId="238" xfId="0" applyNumberFormat="1" applyFont="1" applyFill="1" applyBorder="1" applyProtection="1"/>
    <xf numFmtId="6" fontId="0" fillId="0" borderId="77" xfId="0" applyNumberFormat="1" applyBorder="1"/>
    <xf numFmtId="6" fontId="0" fillId="0" borderId="0" xfId="0" applyNumberFormat="1" applyAlignment="1">
      <alignment vertical="top" wrapText="1"/>
    </xf>
    <xf numFmtId="6" fontId="0" fillId="0" borderId="0" xfId="0" applyNumberFormat="1" applyAlignment="1">
      <alignment horizontal="center" vertical="top" wrapText="1"/>
    </xf>
    <xf numFmtId="6" fontId="7" fillId="41" borderId="77" xfId="0" applyNumberFormat="1" applyFont="1" applyFill="1" applyBorder="1" applyProtection="1"/>
    <xf numFmtId="0" fontId="59" fillId="39" borderId="35" xfId="0" applyFont="1" applyFill="1" applyBorder="1" applyAlignment="1">
      <alignment horizontal="left" wrapText="1"/>
    </xf>
    <xf numFmtId="5" fontId="12" fillId="41" borderId="218" xfId="0" applyNumberFormat="1" applyFont="1" applyFill="1" applyBorder="1" applyProtection="1"/>
    <xf numFmtId="0" fontId="0" fillId="0" borderId="15" xfId="0" applyBorder="1"/>
    <xf numFmtId="0" fontId="0" fillId="0" borderId="16" xfId="0" applyBorder="1"/>
    <xf numFmtId="0" fontId="0" fillId="0" borderId="240" xfId="0" applyBorder="1"/>
    <xf numFmtId="0" fontId="130" fillId="63" borderId="22" xfId="65" applyFont="1" applyFill="1" applyBorder="1" applyAlignment="1">
      <alignment horizontal="center"/>
    </xf>
    <xf numFmtId="0" fontId="130" fillId="63" borderId="22" xfId="65" applyFont="1" applyFill="1" applyBorder="1" applyAlignment="1">
      <alignment horizontal="center" wrapText="1"/>
    </xf>
    <xf numFmtId="0" fontId="130" fillId="65" borderId="22" xfId="65" applyFont="1" applyFill="1" applyBorder="1" applyAlignment="1">
      <alignment horizontal="center" wrapText="1"/>
    </xf>
    <xf numFmtId="0" fontId="130" fillId="0" borderId="7" xfId="65" applyFont="1" applyFill="1" applyBorder="1" applyAlignment="1">
      <alignment wrapText="1"/>
    </xf>
    <xf numFmtId="0" fontId="130" fillId="0" borderId="7" xfId="65" applyFont="1" applyFill="1" applyBorder="1" applyAlignment="1">
      <alignment horizontal="right" wrapText="1"/>
    </xf>
    <xf numFmtId="0" fontId="130" fillId="0" borderId="0" xfId="65"/>
    <xf numFmtId="0" fontId="130" fillId="0" borderId="241" xfId="65" applyBorder="1"/>
    <xf numFmtId="0" fontId="0" fillId="67" borderId="26" xfId="0" applyFill="1" applyBorder="1"/>
    <xf numFmtId="6" fontId="5" fillId="0" borderId="11" xfId="0" applyNumberFormat="1" applyFont="1" applyFill="1" applyBorder="1"/>
    <xf numFmtId="6" fontId="0" fillId="0" borderId="11" xfId="0" applyNumberFormat="1" applyFill="1" applyBorder="1"/>
    <xf numFmtId="0" fontId="5" fillId="0" borderId="11" xfId="0" applyFont="1" applyBorder="1" applyAlignment="1">
      <alignment wrapText="1"/>
    </xf>
    <xf numFmtId="1" fontId="18" fillId="0" borderId="45" xfId="0" quotePrefix="1" applyNumberFormat="1" applyFont="1" applyFill="1" applyBorder="1" applyAlignment="1">
      <alignment horizontal="center"/>
    </xf>
    <xf numFmtId="0" fontId="0" fillId="0" borderId="45" xfId="0" applyBorder="1"/>
    <xf numFmtId="166" fontId="5" fillId="0" borderId="45" xfId="0" quotePrefix="1" applyNumberFormat="1" applyFont="1" applyFill="1" applyBorder="1" applyAlignment="1">
      <alignment horizontal="right"/>
    </xf>
    <xf numFmtId="166" fontId="5" fillId="0" borderId="45" xfId="0" applyNumberFormat="1" applyFont="1" applyBorder="1"/>
    <xf numFmtId="0" fontId="0" fillId="0" borderId="224" xfId="0" applyBorder="1"/>
    <xf numFmtId="166" fontId="5" fillId="0" borderId="83" xfId="0" applyNumberFormat="1" applyFont="1" applyBorder="1"/>
    <xf numFmtId="0" fontId="0" fillId="0" borderId="83" xfId="0" applyBorder="1"/>
    <xf numFmtId="166" fontId="5" fillId="0" borderId="83" xfId="0" quotePrefix="1" applyNumberFormat="1" applyFont="1" applyFill="1" applyBorder="1" applyAlignment="1">
      <alignment horizontal="right"/>
    </xf>
    <xf numFmtId="1" fontId="18" fillId="0" borderId="224" xfId="0" quotePrefix="1" applyNumberFormat="1" applyFont="1" applyFill="1" applyBorder="1" applyAlignment="1">
      <alignment horizontal="center"/>
    </xf>
    <xf numFmtId="1" fontId="18" fillId="0" borderId="83" xfId="0" quotePrefix="1" applyNumberFormat="1" applyFont="1" applyFill="1" applyBorder="1" applyAlignment="1">
      <alignment horizontal="center"/>
    </xf>
    <xf numFmtId="0" fontId="9" fillId="0" borderId="242" xfId="0" applyFont="1" applyBorder="1"/>
    <xf numFmtId="6" fontId="9" fillId="0" borderId="12" xfId="0" applyNumberFormat="1" applyFont="1" applyFill="1" applyBorder="1"/>
    <xf numFmtId="166" fontId="9" fillId="0" borderId="82" xfId="0" quotePrefix="1" applyNumberFormat="1" applyFont="1" applyFill="1" applyBorder="1" applyAlignment="1">
      <alignment horizontal="right"/>
    </xf>
    <xf numFmtId="0" fontId="9" fillId="0" borderId="82" xfId="0" applyFont="1" applyBorder="1"/>
    <xf numFmtId="166" fontId="5" fillId="0" borderId="11" xfId="0" applyNumberFormat="1" applyFont="1" applyFill="1" applyBorder="1" applyAlignment="1">
      <alignment horizontal="right"/>
    </xf>
    <xf numFmtId="166" fontId="5" fillId="0" borderId="45" xfId="0" applyNumberFormat="1" applyFont="1" applyBorder="1" applyAlignment="1">
      <alignment horizontal="right"/>
    </xf>
    <xf numFmtId="166" fontId="5" fillId="0" borderId="83" xfId="0" applyNumberFormat="1" applyFont="1" applyBorder="1" applyAlignment="1">
      <alignment horizontal="right"/>
    </xf>
    <xf numFmtId="166" fontId="5" fillId="0" borderId="10" xfId="0" quotePrefix="1" applyNumberFormat="1" applyFont="1" applyFill="1" applyBorder="1" applyAlignment="1">
      <alignment horizontal="right"/>
    </xf>
    <xf numFmtId="10" fontId="5" fillId="0" borderId="44" xfId="0" quotePrefix="1" applyNumberFormat="1" applyFont="1" applyFill="1" applyBorder="1" applyAlignment="1">
      <alignment horizontal="right"/>
    </xf>
    <xf numFmtId="10" fontId="5" fillId="0" borderId="45" xfId="0" quotePrefix="1" applyNumberFormat="1" applyFont="1" applyFill="1" applyBorder="1" applyAlignment="1">
      <alignment horizontal="right"/>
    </xf>
    <xf numFmtId="10" fontId="5" fillId="0" borderId="83" xfId="0" quotePrefix="1" applyNumberFormat="1" applyFont="1" applyFill="1" applyBorder="1" applyAlignment="1">
      <alignment horizontal="right"/>
    </xf>
    <xf numFmtId="10" fontId="5" fillId="0" borderId="11" xfId="0" applyNumberFormat="1" applyFont="1" applyFill="1" applyBorder="1" applyAlignment="1">
      <alignment horizontal="right"/>
    </xf>
    <xf numFmtId="10" fontId="5" fillId="0" borderId="45" xfId="0" applyNumberFormat="1" applyFont="1" applyBorder="1" applyAlignment="1">
      <alignment horizontal="right"/>
    </xf>
    <xf numFmtId="10" fontId="5" fillId="0" borderId="83" xfId="0" applyNumberFormat="1" applyFont="1" applyBorder="1" applyAlignment="1">
      <alignment horizontal="right"/>
    </xf>
    <xf numFmtId="10" fontId="9" fillId="0" borderId="12" xfId="0" applyNumberFormat="1" applyFont="1" applyBorder="1" applyAlignment="1">
      <alignment horizontal="right"/>
    </xf>
    <xf numFmtId="10" fontId="5" fillId="0" borderId="45" xfId="0" applyNumberFormat="1" applyFont="1" applyFill="1" applyBorder="1" applyAlignment="1">
      <alignment horizontal="right"/>
    </xf>
    <xf numFmtId="166" fontId="5" fillId="0" borderId="45" xfId="0" applyNumberFormat="1" applyFont="1" applyFill="1" applyBorder="1" applyAlignment="1">
      <alignment horizontal="right"/>
    </xf>
    <xf numFmtId="166" fontId="5" fillId="0" borderId="44" xfId="0" quotePrefix="1" applyNumberFormat="1" applyFont="1" applyFill="1" applyBorder="1" applyAlignment="1">
      <alignment horizontal="right"/>
    </xf>
    <xf numFmtId="166" fontId="5" fillId="39" borderId="44" xfId="32" quotePrefix="1" applyNumberFormat="1" applyFont="1" applyFill="1" applyBorder="1" applyAlignment="1">
      <alignment horizontal="right"/>
    </xf>
    <xf numFmtId="166" fontId="5" fillId="39" borderId="45" xfId="32" quotePrefix="1" applyNumberFormat="1" applyFont="1" applyFill="1" applyBorder="1" applyAlignment="1">
      <alignment horizontal="right"/>
    </xf>
    <xf numFmtId="166" fontId="5" fillId="39" borderId="83" xfId="32" quotePrefix="1" applyNumberFormat="1" applyFont="1" applyFill="1" applyBorder="1" applyAlignment="1">
      <alignment horizontal="right"/>
    </xf>
    <xf numFmtId="166" fontId="5" fillId="39" borderId="45" xfId="32" applyNumberFormat="1" applyFont="1" applyFill="1" applyBorder="1" applyAlignment="1">
      <alignment horizontal="right"/>
    </xf>
    <xf numFmtId="166" fontId="5" fillId="39" borderId="83" xfId="32" applyNumberFormat="1" applyFont="1" applyFill="1" applyBorder="1" applyAlignment="1">
      <alignment horizontal="right"/>
    </xf>
    <xf numFmtId="166" fontId="9" fillId="64" borderId="82" xfId="0" applyNumberFormat="1" applyFont="1" applyFill="1" applyBorder="1"/>
    <xf numFmtId="166" fontId="9" fillId="39" borderId="82" xfId="0" applyNumberFormat="1" applyFont="1" applyFill="1" applyBorder="1"/>
    <xf numFmtId="166" fontId="5" fillId="64" borderId="44" xfId="32" quotePrefix="1" applyNumberFormat="1" applyFont="1" applyFill="1" applyBorder="1" applyAlignment="1">
      <alignment horizontal="right"/>
    </xf>
    <xf numFmtId="166" fontId="5" fillId="64" borderId="45" xfId="32" quotePrefix="1" applyNumberFormat="1" applyFont="1" applyFill="1" applyBorder="1" applyAlignment="1">
      <alignment horizontal="right"/>
    </xf>
    <xf numFmtId="166" fontId="5" fillId="64" borderId="83" xfId="32" quotePrefix="1" applyNumberFormat="1" applyFont="1" applyFill="1" applyBorder="1" applyAlignment="1">
      <alignment horizontal="right"/>
    </xf>
    <xf numFmtId="166" fontId="5" fillId="42" borderId="45" xfId="32" applyNumberFormat="1" applyFont="1" applyFill="1" applyBorder="1" applyAlignment="1">
      <alignment horizontal="right"/>
    </xf>
    <xf numFmtId="166" fontId="5" fillId="64" borderId="45" xfId="32" applyNumberFormat="1" applyFont="1" applyFill="1" applyBorder="1" applyAlignment="1">
      <alignment horizontal="right"/>
    </xf>
    <xf numFmtId="166" fontId="5" fillId="64" borderId="83" xfId="32" applyNumberFormat="1" applyFont="1" applyFill="1" applyBorder="1" applyAlignment="1">
      <alignment horizontal="right"/>
    </xf>
    <xf numFmtId="166" fontId="5" fillId="27" borderId="45" xfId="32" applyNumberFormat="1" applyFont="1" applyFill="1" applyBorder="1" applyAlignment="1">
      <alignment horizontal="right"/>
    </xf>
    <xf numFmtId="3" fontId="75" fillId="41" borderId="26" xfId="0" applyNumberFormat="1" applyFont="1" applyFill="1" applyBorder="1"/>
    <xf numFmtId="3" fontId="75" fillId="41" borderId="13" xfId="0" applyNumberFormat="1" applyFont="1" applyFill="1" applyBorder="1"/>
    <xf numFmtId="0" fontId="98" fillId="0" borderId="26" xfId="0" applyFont="1" applyBorder="1" applyAlignment="1">
      <alignment horizontal="left" wrapText="1"/>
    </xf>
    <xf numFmtId="0" fontId="100" fillId="0" borderId="26" xfId="0" applyFont="1" applyBorder="1" applyAlignment="1">
      <alignment horizontal="left" wrapText="1"/>
    </xf>
    <xf numFmtId="3" fontId="75" fillId="0" borderId="13" xfId="0" applyNumberFormat="1" applyFont="1" applyFill="1" applyBorder="1"/>
    <xf numFmtId="6" fontId="75" fillId="0" borderId="13" xfId="0" applyNumberFormat="1" applyFont="1" applyBorder="1"/>
    <xf numFmtId="6" fontId="75" fillId="27" borderId="13" xfId="0" applyNumberFormat="1" applyFont="1" applyFill="1" applyBorder="1"/>
    <xf numFmtId="6" fontId="75" fillId="0" borderId="13" xfId="0" applyNumberFormat="1" applyFont="1" applyBorder="1" applyAlignment="1">
      <alignment horizontal="center" wrapText="1"/>
    </xf>
    <xf numFmtId="6" fontId="75" fillId="27" borderId="13" xfId="0" applyNumberFormat="1" applyFont="1" applyFill="1" applyBorder="1" applyAlignment="1">
      <alignment horizontal="center"/>
    </xf>
    <xf numFmtId="0" fontId="98" fillId="49" borderId="42" xfId="0" applyFont="1" applyFill="1" applyBorder="1" applyAlignment="1">
      <alignment horizontal="right"/>
    </xf>
    <xf numFmtId="0" fontId="98" fillId="0" borderId="13" xfId="0" applyFont="1" applyBorder="1" applyAlignment="1">
      <alignment wrapText="1"/>
    </xf>
    <xf numFmtId="0" fontId="75" fillId="0" borderId="13" xfId="0" applyFont="1" applyBorder="1" applyAlignment="1">
      <alignment wrapText="1"/>
    </xf>
    <xf numFmtId="0" fontId="98" fillId="0" borderId="0" xfId="0" applyFont="1"/>
    <xf numFmtId="0" fontId="133" fillId="0" borderId="0" xfId="0" applyFont="1" applyAlignment="1">
      <alignment horizontal="center" wrapText="1"/>
    </xf>
    <xf numFmtId="0" fontId="98" fillId="0" borderId="0" xfId="0" applyFont="1" applyFill="1"/>
    <xf numFmtId="0" fontId="133" fillId="0" borderId="0" xfId="0" quotePrefix="1" applyFont="1" applyFill="1" applyAlignment="1">
      <alignment horizontal="center" wrapText="1"/>
    </xf>
    <xf numFmtId="0" fontId="133" fillId="0" borderId="0" xfId="0" quotePrefix="1" applyFont="1" applyAlignment="1">
      <alignment horizontal="center" wrapText="1"/>
    </xf>
    <xf numFmtId="0" fontId="136" fillId="25" borderId="10" xfId="0" applyFont="1" applyFill="1" applyBorder="1" applyAlignment="1">
      <alignment horizontal="center" vertical="center" wrapText="1"/>
    </xf>
    <xf numFmtId="0" fontId="136" fillId="53" borderId="10" xfId="0" applyFont="1" applyFill="1" applyBorder="1" applyAlignment="1">
      <alignment horizontal="center" vertical="center" wrapText="1"/>
    </xf>
    <xf numFmtId="0" fontId="139" fillId="25" borderId="13" xfId="0" applyFont="1" applyFill="1" applyBorder="1" applyAlignment="1">
      <alignment horizontal="center" vertical="center" wrapText="1"/>
    </xf>
    <xf numFmtId="10" fontId="136" fillId="43" borderId="26" xfId="0" applyNumberFormat="1" applyFont="1" applyFill="1" applyBorder="1" applyAlignment="1">
      <alignment horizontal="center" vertical="center" wrapText="1"/>
    </xf>
    <xf numFmtId="0" fontId="98" fillId="26" borderId="26" xfId="0" applyFont="1" applyFill="1" applyBorder="1"/>
    <xf numFmtId="1" fontId="134" fillId="26" borderId="26" xfId="0" quotePrefix="1" applyNumberFormat="1" applyFont="1" applyFill="1" applyBorder="1" applyAlignment="1">
      <alignment horizontal="center"/>
    </xf>
    <xf numFmtId="6" fontId="75" fillId="41" borderId="13" xfId="0" applyNumberFormat="1" applyFont="1" applyFill="1" applyBorder="1" applyAlignment="1">
      <alignment horizontal="center"/>
    </xf>
    <xf numFmtId="0" fontId="132" fillId="28" borderId="51" xfId="0" applyFont="1" applyFill="1" applyBorder="1" applyAlignment="1">
      <alignment horizontal="center" wrapText="1"/>
    </xf>
    <xf numFmtId="6" fontId="75" fillId="41" borderId="13" xfId="0" applyNumberFormat="1" applyFont="1" applyFill="1" applyBorder="1"/>
    <xf numFmtId="8" fontId="75" fillId="27" borderId="13" xfId="0" applyNumberFormat="1" applyFont="1" applyFill="1" applyBorder="1"/>
    <xf numFmtId="0" fontId="98" fillId="49" borderId="42" xfId="0" applyFont="1" applyFill="1" applyBorder="1"/>
    <xf numFmtId="0" fontId="102" fillId="0" borderId="13" xfId="0" applyFont="1" applyBorder="1" applyAlignment="1">
      <alignment wrapText="1"/>
    </xf>
    <xf numFmtId="0" fontId="100" fillId="0" borderId="13" xfId="0" applyFont="1" applyBorder="1" applyAlignment="1">
      <alignment wrapText="1"/>
    </xf>
    <xf numFmtId="6" fontId="75" fillId="0" borderId="26" xfId="0" applyNumberFormat="1" applyFont="1" applyBorder="1"/>
    <xf numFmtId="6" fontId="75" fillId="41" borderId="26" xfId="0" applyNumberFormat="1" applyFont="1" applyFill="1" applyBorder="1"/>
    <xf numFmtId="6" fontId="75" fillId="27" borderId="26" xfId="0" applyNumberFormat="1" applyFont="1" applyFill="1" applyBorder="1"/>
    <xf numFmtId="8" fontId="75" fillId="41" borderId="26" xfId="0" applyNumberFormat="1" applyFont="1" applyFill="1" applyBorder="1"/>
    <xf numFmtId="0" fontId="98" fillId="49" borderId="0" xfId="0" applyFont="1" applyFill="1"/>
    <xf numFmtId="3" fontId="100" fillId="0" borderId="13" xfId="0" applyNumberFormat="1" applyFont="1" applyFill="1" applyBorder="1"/>
    <xf numFmtId="6" fontId="100" fillId="0" borderId="13" xfId="0" applyNumberFormat="1" applyFont="1" applyBorder="1"/>
    <xf numFmtId="6" fontId="100" fillId="0" borderId="13" xfId="0" applyNumberFormat="1" applyFont="1" applyFill="1" applyBorder="1"/>
    <xf numFmtId="6" fontId="100" fillId="39" borderId="13" xfId="0" applyNumberFormat="1" applyFont="1" applyFill="1" applyBorder="1"/>
    <xf numFmtId="6" fontId="100" fillId="41" borderId="26" xfId="0" applyNumberFormat="1" applyFont="1" applyFill="1" applyBorder="1"/>
    <xf numFmtId="6" fontId="100" fillId="27" borderId="26" xfId="0" applyNumberFormat="1" applyFont="1" applyFill="1" applyBorder="1"/>
    <xf numFmtId="0" fontId="102" fillId="0" borderId="0" xfId="0" applyFont="1"/>
    <xf numFmtId="3" fontId="100" fillId="27" borderId="13" xfId="0" applyNumberFormat="1" applyFont="1" applyFill="1" applyBorder="1"/>
    <xf numFmtId="6" fontId="100" fillId="0" borderId="26" xfId="0" applyNumberFormat="1" applyFont="1" applyBorder="1"/>
    <xf numFmtId="165" fontId="100" fillId="28" borderId="51" xfId="28" applyNumberFormat="1" applyFont="1" applyFill="1" applyBorder="1"/>
    <xf numFmtId="6" fontId="75" fillId="28" borderId="51" xfId="0" applyNumberFormat="1" applyFont="1" applyFill="1" applyBorder="1"/>
    <xf numFmtId="6" fontId="100" fillId="28" borderId="51" xfId="0" applyNumberFormat="1" applyFont="1" applyFill="1" applyBorder="1"/>
    <xf numFmtId="6" fontId="100" fillId="34" borderId="42" xfId="0" applyNumberFormat="1" applyFont="1" applyFill="1" applyBorder="1"/>
    <xf numFmtId="0" fontId="102" fillId="0" borderId="12" xfId="0" applyFont="1" applyBorder="1" applyAlignment="1">
      <alignment horizontal="right" wrapText="1"/>
    </xf>
    <xf numFmtId="0" fontId="142" fillId="0" borderId="12" xfId="0" applyFont="1" applyBorder="1" applyAlignment="1">
      <alignment horizontal="right" wrapText="1"/>
    </xf>
    <xf numFmtId="3" fontId="100" fillId="0" borderId="12" xfId="0" applyNumberFormat="1" applyFont="1" applyFill="1" applyBorder="1"/>
    <xf numFmtId="8" fontId="100" fillId="0" borderId="12" xfId="0" applyNumberFormat="1" applyFont="1" applyBorder="1"/>
    <xf numFmtId="166" fontId="100" fillId="0" borderId="12" xfId="0" applyNumberFormat="1" applyFont="1" applyBorder="1"/>
    <xf numFmtId="166" fontId="100" fillId="27" borderId="12" xfId="0" applyNumberFormat="1" applyFont="1" applyFill="1" applyBorder="1"/>
    <xf numFmtId="6" fontId="100" fillId="0" borderId="12" xfId="0" applyNumberFormat="1" applyFont="1" applyBorder="1"/>
    <xf numFmtId="166" fontId="100" fillId="41" borderId="12" xfId="0" applyNumberFormat="1" applyFont="1" applyFill="1" applyBorder="1"/>
    <xf numFmtId="0" fontId="102" fillId="0" borderId="0" xfId="0" applyFont="1" applyBorder="1" applyAlignment="1">
      <alignment wrapText="1"/>
    </xf>
    <xf numFmtId="3" fontId="98" fillId="0" borderId="0" xfId="0" applyNumberFormat="1" applyFont="1" applyFill="1" applyBorder="1"/>
    <xf numFmtId="8" fontId="98" fillId="0" borderId="0" xfId="0" applyNumberFormat="1" applyFont="1" applyBorder="1"/>
    <xf numFmtId="6" fontId="98" fillId="0" borderId="141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left" wrapText="1"/>
    </xf>
    <xf numFmtId="0" fontId="143" fillId="0" borderId="0" xfId="0" applyFont="1" applyBorder="1" applyAlignment="1">
      <alignment wrapText="1"/>
    </xf>
    <xf numFmtId="0" fontId="143" fillId="0" borderId="0" xfId="0" applyFont="1" applyBorder="1" applyAlignment="1">
      <alignment horizontal="left" wrapText="1"/>
    </xf>
    <xf numFmtId="0" fontId="141" fillId="0" borderId="0" xfId="0" applyFont="1" applyAlignment="1">
      <alignment horizontal="left"/>
    </xf>
    <xf numFmtId="6" fontId="75" fillId="0" borderId="26" xfId="0" applyNumberFormat="1" applyFont="1" applyFill="1" applyBorder="1"/>
    <xf numFmtId="6" fontId="75" fillId="0" borderId="13" xfId="0" applyNumberFormat="1" applyFont="1" applyFill="1" applyBorder="1"/>
    <xf numFmtId="6" fontId="59" fillId="0" borderId="13" xfId="0" applyNumberFormat="1" applyFont="1" applyFill="1" applyBorder="1" applyAlignment="1">
      <alignment horizontal="right"/>
    </xf>
    <xf numFmtId="0" fontId="59" fillId="0" borderId="26" xfId="0" applyFont="1" applyFill="1" applyBorder="1" applyAlignment="1">
      <alignment horizontal="left" wrapText="1"/>
    </xf>
    <xf numFmtId="5" fontId="12" fillId="41" borderId="170" xfId="0" applyNumberFormat="1" applyFont="1" applyFill="1" applyBorder="1" applyProtection="1"/>
    <xf numFmtId="5" fontId="12" fillId="41" borderId="211" xfId="0" applyNumberFormat="1" applyFont="1" applyFill="1" applyBorder="1" applyProtection="1"/>
    <xf numFmtId="166" fontId="9" fillId="0" borderId="0" xfId="0" applyNumberFormat="1" applyFont="1"/>
    <xf numFmtId="0" fontId="5" fillId="0" borderId="0" xfId="0" applyFont="1" applyAlignment="1">
      <alignment horizontal="center" wrapText="1"/>
    </xf>
    <xf numFmtId="6" fontId="9" fillId="0" borderId="0" xfId="0" applyNumberFormat="1" applyFont="1"/>
    <xf numFmtId="0" fontId="130" fillId="52" borderId="7" xfId="65" applyFont="1" applyFill="1" applyBorder="1" applyAlignment="1">
      <alignment horizontal="right" wrapText="1"/>
    </xf>
    <xf numFmtId="166" fontId="7" fillId="52" borderId="0" xfId="0" applyNumberFormat="1" applyFont="1" applyFill="1"/>
    <xf numFmtId="6" fontId="5" fillId="52" borderId="0" xfId="0" applyNumberFormat="1" applyFont="1" applyFill="1"/>
    <xf numFmtId="0" fontId="5" fillId="68" borderId="36" xfId="0" applyFont="1" applyFill="1" applyBorder="1"/>
    <xf numFmtId="6" fontId="7" fillId="68" borderId="42" xfId="0" applyNumberFormat="1" applyFont="1" applyFill="1" applyBorder="1"/>
    <xf numFmtId="6" fontId="26" fillId="41" borderId="0" xfId="0" applyNumberFormat="1" applyFont="1" applyFill="1" applyBorder="1" applyAlignment="1" applyProtection="1"/>
    <xf numFmtId="6" fontId="33" fillId="0" borderId="0" xfId="0" applyNumberFormat="1" applyFont="1" applyAlignment="1">
      <alignment horizontal="right"/>
    </xf>
    <xf numFmtId="6" fontId="33" fillId="0" borderId="0" xfId="0" applyNumberFormat="1" applyFont="1"/>
    <xf numFmtId="0" fontId="130" fillId="63" borderId="161" xfId="65" applyFont="1" applyFill="1" applyBorder="1" applyAlignment="1">
      <alignment horizontal="center"/>
    </xf>
    <xf numFmtId="0" fontId="130" fillId="0" borderId="95" xfId="65" applyFont="1" applyFill="1" applyBorder="1" applyAlignment="1">
      <alignment horizontal="right" wrapText="1"/>
    </xf>
    <xf numFmtId="0" fontId="130" fillId="0" borderId="50" xfId="65" applyBorder="1"/>
    <xf numFmtId="0" fontId="130" fillId="0" borderId="95" xfId="65" applyFont="1" applyFill="1" applyBorder="1" applyAlignment="1">
      <alignment wrapText="1"/>
    </xf>
    <xf numFmtId="0" fontId="130" fillId="0" borderId="243" xfId="65" applyFont="1" applyFill="1" applyBorder="1" applyAlignment="1">
      <alignment wrapText="1"/>
    </xf>
    <xf numFmtId="0" fontId="130" fillId="0" borderId="115" xfId="65" applyFont="1" applyFill="1" applyBorder="1" applyAlignment="1">
      <alignment horizontal="right" wrapText="1"/>
    </xf>
    <xf numFmtId="0" fontId="130" fillId="0" borderId="115" xfId="65" applyFont="1" applyFill="1" applyBorder="1" applyAlignment="1">
      <alignment wrapText="1"/>
    </xf>
    <xf numFmtId="0" fontId="130" fillId="0" borderId="245" xfId="65" applyFont="1" applyFill="1" applyBorder="1" applyAlignment="1">
      <alignment wrapText="1"/>
    </xf>
    <xf numFmtId="0" fontId="130" fillId="0" borderId="95" xfId="65" applyBorder="1"/>
    <xf numFmtId="0" fontId="130" fillId="0" borderId="94" xfId="65" applyFont="1" applyFill="1" applyBorder="1" applyAlignment="1">
      <alignment horizontal="right" wrapText="1"/>
    </xf>
    <xf numFmtId="0" fontId="130" fillId="0" borderId="94" xfId="65" applyBorder="1"/>
    <xf numFmtId="0" fontId="130" fillId="0" borderId="94" xfId="65" applyFont="1" applyFill="1" applyBorder="1" applyAlignment="1">
      <alignment wrapText="1"/>
    </xf>
    <xf numFmtId="0" fontId="130" fillId="0" borderId="247" xfId="65" applyFont="1" applyFill="1" applyBorder="1" applyAlignment="1">
      <alignment wrapText="1"/>
    </xf>
    <xf numFmtId="0" fontId="130" fillId="0" borderId="138" xfId="65" applyFont="1" applyFill="1" applyBorder="1" applyAlignment="1">
      <alignment horizontal="right" wrapText="1"/>
    </xf>
    <xf numFmtId="0" fontId="130" fillId="0" borderId="138" xfId="65" applyBorder="1"/>
    <xf numFmtId="0" fontId="130" fillId="0" borderId="138" xfId="65" applyFont="1" applyFill="1" applyBorder="1" applyAlignment="1">
      <alignment wrapText="1"/>
    </xf>
    <xf numFmtId="0" fontId="0" fillId="0" borderId="137" xfId="0" applyBorder="1"/>
    <xf numFmtId="3" fontId="9" fillId="0" borderId="137" xfId="0" applyNumberFormat="1" applyFont="1" applyBorder="1"/>
    <xf numFmtId="0" fontId="0" fillId="0" borderId="251" xfId="0" applyBorder="1"/>
    <xf numFmtId="0" fontId="0" fillId="0" borderId="252" xfId="0" applyBorder="1"/>
    <xf numFmtId="0" fontId="130" fillId="0" borderId="254" xfId="65" applyFont="1" applyFill="1" applyBorder="1" applyAlignment="1">
      <alignment wrapText="1"/>
    </xf>
    <xf numFmtId="0" fontId="130" fillId="0" borderId="254" xfId="65" applyFont="1" applyFill="1" applyBorder="1" applyAlignment="1">
      <alignment horizontal="right" wrapText="1"/>
    </xf>
    <xf numFmtId="0" fontId="130" fillId="0" borderId="254" xfId="65" applyBorder="1"/>
    <xf numFmtId="0" fontId="130" fillId="0" borderId="120" xfId="65" applyFont="1" applyFill="1" applyBorder="1" applyAlignment="1">
      <alignment wrapText="1"/>
    </xf>
    <xf numFmtId="0" fontId="130" fillId="0" borderId="120" xfId="65" applyFont="1" applyFill="1" applyBorder="1" applyAlignment="1">
      <alignment horizontal="right" wrapText="1"/>
    </xf>
    <xf numFmtId="0" fontId="130" fillId="0" borderId="120" xfId="65" applyBorder="1"/>
    <xf numFmtId="0" fontId="0" fillId="0" borderId="255" xfId="0" applyBorder="1"/>
    <xf numFmtId="0" fontId="130" fillId="0" borderId="256" xfId="65" applyBorder="1"/>
    <xf numFmtId="0" fontId="130" fillId="0" borderId="256" xfId="65" applyFont="1" applyFill="1" applyBorder="1" applyAlignment="1">
      <alignment horizontal="right" wrapText="1"/>
    </xf>
    <xf numFmtId="0" fontId="130" fillId="0" borderId="256" xfId="65" applyFont="1" applyFill="1" applyBorder="1" applyAlignment="1">
      <alignment wrapText="1"/>
    </xf>
    <xf numFmtId="0" fontId="0" fillId="0" borderId="87" xfId="0" applyBorder="1"/>
    <xf numFmtId="3" fontId="9" fillId="0" borderId="87" xfId="0" applyNumberFormat="1" applyFont="1" applyBorder="1"/>
    <xf numFmtId="3" fontId="0" fillId="0" borderId="0" xfId="0" applyNumberFormat="1" applyBorder="1"/>
    <xf numFmtId="0" fontId="44" fillId="66" borderId="22" xfId="65" applyFont="1" applyFill="1" applyBorder="1" applyAlignment="1">
      <alignment horizontal="center" wrapText="1"/>
    </xf>
    <xf numFmtId="0" fontId="44" fillId="63" borderId="22" xfId="65" applyFont="1" applyFill="1" applyBorder="1" applyAlignment="1">
      <alignment horizontal="center"/>
    </xf>
    <xf numFmtId="173" fontId="130" fillId="0" borderId="244" xfId="65" applyNumberFormat="1" applyFont="1" applyFill="1" applyBorder="1" applyAlignment="1">
      <alignment horizontal="right" wrapText="1"/>
    </xf>
    <xf numFmtId="173" fontId="130" fillId="0" borderId="233" xfId="65" applyNumberFormat="1" applyFont="1" applyFill="1" applyBorder="1" applyAlignment="1">
      <alignment horizontal="right" wrapText="1"/>
    </xf>
    <xf numFmtId="173" fontId="130" fillId="0" borderId="248" xfId="65" applyNumberFormat="1" applyFont="1" applyFill="1" applyBorder="1" applyAlignment="1">
      <alignment horizontal="right" wrapText="1"/>
    </xf>
    <xf numFmtId="173" fontId="130" fillId="0" borderId="246" xfId="65" applyNumberFormat="1" applyFont="1" applyFill="1" applyBorder="1" applyAlignment="1">
      <alignment horizontal="right" wrapText="1"/>
    </xf>
    <xf numFmtId="173" fontId="130" fillId="0" borderId="257" xfId="65" applyNumberFormat="1" applyFont="1" applyFill="1" applyBorder="1" applyAlignment="1">
      <alignment horizontal="right" wrapText="1"/>
    </xf>
    <xf numFmtId="173" fontId="130" fillId="0" borderId="258" xfId="65" applyNumberFormat="1" applyFont="1" applyFill="1" applyBorder="1" applyAlignment="1">
      <alignment horizontal="right" wrapText="1"/>
    </xf>
    <xf numFmtId="0" fontId="130" fillId="63" borderId="21" xfId="65" applyFont="1" applyFill="1" applyBorder="1" applyAlignment="1">
      <alignment horizontal="center"/>
    </xf>
    <xf numFmtId="0" fontId="130" fillId="0" borderId="114" xfId="65" applyFont="1" applyFill="1" applyBorder="1" applyAlignment="1">
      <alignment wrapText="1"/>
    </xf>
    <xf numFmtId="0" fontId="130" fillId="0" borderId="89" xfId="65" applyFont="1" applyFill="1" applyBorder="1" applyAlignment="1">
      <alignment wrapText="1"/>
    </xf>
    <xf numFmtId="0" fontId="130" fillId="0" borderId="249" xfId="65" applyFont="1" applyFill="1" applyBorder="1" applyAlignment="1">
      <alignment wrapText="1"/>
    </xf>
    <xf numFmtId="0" fontId="130" fillId="0" borderId="93" xfId="65" applyFont="1" applyFill="1" applyBorder="1" applyAlignment="1">
      <alignment wrapText="1"/>
    </xf>
    <xf numFmtId="0" fontId="130" fillId="0" borderId="259" xfId="65" applyFont="1" applyFill="1" applyBorder="1" applyAlignment="1">
      <alignment wrapText="1"/>
    </xf>
    <xf numFmtId="0" fontId="130" fillId="0" borderId="193" xfId="65" applyFont="1" applyFill="1" applyBorder="1" applyAlignment="1">
      <alignment wrapText="1"/>
    </xf>
    <xf numFmtId="0" fontId="130" fillId="0" borderId="190" xfId="65" applyFont="1" applyFill="1" applyBorder="1" applyAlignment="1">
      <alignment wrapText="1"/>
    </xf>
    <xf numFmtId="0" fontId="127" fillId="0" borderId="253" xfId="65" applyFont="1" applyFill="1" applyBorder="1" applyAlignment="1">
      <alignment horizontal="right" wrapText="1"/>
    </xf>
    <xf numFmtId="0" fontId="130" fillId="0" borderId="115" xfId="65" applyFont="1" applyFill="1" applyBorder="1" applyAlignment="1">
      <alignment horizontal="center" wrapText="1"/>
    </xf>
    <xf numFmtId="0" fontId="130" fillId="0" borderId="95" xfId="65" applyFont="1" applyFill="1" applyBorder="1" applyAlignment="1">
      <alignment horizontal="center" wrapText="1"/>
    </xf>
    <xf numFmtId="0" fontId="130" fillId="0" borderId="138" xfId="65" applyFont="1" applyFill="1" applyBorder="1" applyAlignment="1">
      <alignment horizontal="center" wrapText="1"/>
    </xf>
    <xf numFmtId="0" fontId="130" fillId="0" borderId="94" xfId="65" applyFont="1" applyFill="1" applyBorder="1" applyAlignment="1">
      <alignment horizontal="center" wrapText="1"/>
    </xf>
    <xf numFmtId="0" fontId="130" fillId="0" borderId="250" xfId="65" applyFont="1" applyFill="1" applyBorder="1" applyAlignment="1">
      <alignment horizontal="center" wrapText="1"/>
    </xf>
    <xf numFmtId="0" fontId="0" fillId="0" borderId="260" xfId="0" applyBorder="1" applyAlignment="1">
      <alignment horizontal="center"/>
    </xf>
    <xf numFmtId="0" fontId="103" fillId="0" borderId="0" xfId="0" applyFont="1" applyAlignment="1">
      <alignment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6" fontId="5" fillId="41" borderId="0" xfId="53" applyNumberFormat="1" applyFont="1" applyFill="1" applyAlignment="1">
      <alignment horizontal="center"/>
    </xf>
    <xf numFmtId="6" fontId="5" fillId="41" borderId="261" xfId="53" applyNumberFormat="1" applyFont="1" applyFill="1" applyBorder="1" applyAlignment="1" applyProtection="1">
      <alignment horizontal="right"/>
    </xf>
    <xf numFmtId="49" fontId="115" fillId="43" borderId="13" xfId="53" applyNumberFormat="1" applyFont="1" applyFill="1" applyBorder="1" applyAlignment="1">
      <alignment horizontal="center" vertical="center" wrapText="1"/>
    </xf>
    <xf numFmtId="10" fontId="0" fillId="0" borderId="0" xfId="48" applyNumberFormat="1" applyFont="1" applyBorder="1" applyAlignment="1">
      <alignment wrapText="1"/>
    </xf>
    <xf numFmtId="38" fontId="0" fillId="0" borderId="0" xfId="0" applyNumberFormat="1" applyAlignment="1">
      <alignment wrapText="1"/>
    </xf>
    <xf numFmtId="171" fontId="0" fillId="0" borderId="0" xfId="0" applyNumberFormat="1" applyBorder="1" applyAlignment="1">
      <alignment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165" fontId="0" fillId="0" borderId="0" xfId="28" applyNumberFormat="1" applyFont="1"/>
    <xf numFmtId="165" fontId="0" fillId="0" borderId="0" xfId="28" applyNumberFormat="1" applyFont="1" applyBorder="1" applyAlignment="1">
      <alignment wrapText="1"/>
    </xf>
    <xf numFmtId="5" fontId="9" fillId="69" borderId="11" xfId="0" applyNumberFormat="1" applyFont="1" applyFill="1" applyBorder="1" applyProtection="1"/>
    <xf numFmtId="0" fontId="98" fillId="49" borderId="0" xfId="0" applyFont="1" applyFill="1" applyBorder="1"/>
    <xf numFmtId="0" fontId="98" fillId="0" borderId="0" xfId="0" applyFont="1" applyBorder="1" applyAlignment="1">
      <alignment wrapText="1"/>
    </xf>
    <xf numFmtId="166" fontId="134" fillId="31" borderId="264" xfId="28" applyNumberFormat="1" applyFont="1" applyFill="1" applyBorder="1" applyAlignment="1">
      <alignment horizontal="center"/>
    </xf>
    <xf numFmtId="0" fontId="98" fillId="67" borderId="0" xfId="0" applyFont="1" applyFill="1" applyBorder="1"/>
    <xf numFmtId="0" fontId="24" fillId="25" borderId="26" xfId="0" applyFont="1" applyFill="1" applyBorder="1" applyAlignment="1">
      <alignment horizontal="center" vertical="center" wrapText="1"/>
    </xf>
    <xf numFmtId="0" fontId="145" fillId="0" borderId="0" xfId="0" applyFont="1" applyFill="1" applyBorder="1" applyAlignment="1">
      <alignment horizontal="center" vertical="center" wrapText="1"/>
    </xf>
    <xf numFmtId="0" fontId="145" fillId="0" borderId="14" xfId="0" applyFont="1" applyFill="1" applyBorder="1" applyAlignment="1">
      <alignment horizontal="center" vertical="center" wrapText="1"/>
    </xf>
    <xf numFmtId="5" fontId="0" fillId="0" borderId="0" xfId="0" applyNumberFormat="1" applyBorder="1" applyAlignment="1">
      <alignment vertical="center"/>
    </xf>
    <xf numFmtId="6" fontId="0" fillId="0" borderId="0" xfId="0" applyNumberFormat="1" applyBorder="1"/>
    <xf numFmtId="0" fontId="0" fillId="0" borderId="0" xfId="0" applyBorder="1" applyAlignment="1">
      <alignment horizontal="center"/>
    </xf>
    <xf numFmtId="0" fontId="130" fillId="63" borderId="21" xfId="65" applyFont="1" applyFill="1" applyBorder="1" applyAlignment="1">
      <alignment horizontal="center" wrapText="1"/>
    </xf>
    <xf numFmtId="0" fontId="130" fillId="0" borderId="89" xfId="65" applyFont="1" applyFill="1" applyBorder="1" applyAlignment="1">
      <alignment horizontal="right" wrapText="1"/>
    </xf>
    <xf numFmtId="0" fontId="130" fillId="63" borderId="0" xfId="65" applyFont="1" applyFill="1" applyBorder="1" applyAlignment="1">
      <alignment horizontal="center" wrapText="1"/>
    </xf>
    <xf numFmtId="0" fontId="130" fillId="0" borderId="0" xfId="65" applyBorder="1"/>
    <xf numFmtId="0" fontId="130" fillId="0" borderId="0" xfId="65" applyFont="1" applyFill="1" applyBorder="1" applyAlignment="1">
      <alignment horizontal="right" wrapText="1"/>
    </xf>
    <xf numFmtId="3" fontId="9" fillId="0" borderId="0" xfId="0" applyNumberFormat="1" applyFont="1" applyBorder="1"/>
    <xf numFmtId="0" fontId="0" fillId="0" borderId="0" xfId="0" applyBorder="1" applyAlignment="1">
      <alignment horizontal="right"/>
    </xf>
    <xf numFmtId="166" fontId="7" fillId="69" borderId="45" xfId="0" applyNumberFormat="1" applyFont="1" applyFill="1" applyBorder="1"/>
    <xf numFmtId="0" fontId="70" fillId="0" borderId="16" xfId="0" applyFont="1" applyBorder="1" applyAlignment="1">
      <alignment horizontal="left" vertical="top" wrapText="1"/>
    </xf>
    <xf numFmtId="0" fontId="10" fillId="0" borderId="149" xfId="0" applyFont="1" applyFill="1" applyBorder="1" applyAlignment="1">
      <alignment horizontal="left" vertical="top" wrapText="1"/>
    </xf>
    <xf numFmtId="0" fontId="10" fillId="0" borderId="150" xfId="0" applyFont="1" applyFill="1" applyBorder="1" applyAlignment="1">
      <alignment horizontal="left" vertical="top" wrapText="1"/>
    </xf>
    <xf numFmtId="0" fontId="20" fillId="0" borderId="143" xfId="0" quotePrefix="1" applyFont="1" applyFill="1" applyBorder="1" applyAlignment="1">
      <alignment horizontal="left" vertical="center" wrapText="1"/>
    </xf>
    <xf numFmtId="0" fontId="20" fillId="0" borderId="144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/>
    </xf>
    <xf numFmtId="0" fontId="17" fillId="27" borderId="62" xfId="0" applyFont="1" applyFill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7" fillId="27" borderId="148" xfId="0" applyFont="1" applyFill="1" applyBorder="1" applyAlignment="1">
      <alignment horizontal="left" vertical="center" wrapText="1"/>
    </xf>
    <xf numFmtId="0" fontId="17" fillId="27" borderId="118" xfId="0" applyFont="1" applyFill="1" applyBorder="1" applyAlignment="1">
      <alignment horizontal="left" vertical="center" wrapText="1"/>
    </xf>
    <xf numFmtId="0" fontId="122" fillId="0" borderId="0" xfId="0" applyFont="1" applyAlignment="1">
      <alignment horizontal="center"/>
    </xf>
    <xf numFmtId="0" fontId="60" fillId="0" borderId="0" xfId="0" applyFont="1" applyBorder="1" applyAlignment="1">
      <alignment horizontal="center" wrapText="1"/>
    </xf>
    <xf numFmtId="0" fontId="42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13" fillId="0" borderId="17" xfId="0" quotePrefix="1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55" fillId="27" borderId="142" xfId="0" applyFont="1" applyFill="1" applyBorder="1" applyAlignment="1">
      <alignment horizontal="center" vertical="center" wrapText="1"/>
    </xf>
    <xf numFmtId="0" fontId="21" fillId="27" borderId="50" xfId="0" applyFont="1" applyFill="1" applyBorder="1" applyAlignment="1">
      <alignment horizontal="center" vertical="center" wrapText="1"/>
    </xf>
    <xf numFmtId="0" fontId="21" fillId="27" borderId="23" xfId="0" applyFont="1" applyFill="1" applyBorder="1" applyAlignment="1">
      <alignment horizontal="center" vertical="center" wrapText="1"/>
    </xf>
    <xf numFmtId="0" fontId="20" fillId="27" borderId="142" xfId="0" quotePrefix="1" applyFont="1" applyFill="1" applyBorder="1" applyAlignment="1">
      <alignment horizontal="center" vertical="center" wrapText="1"/>
    </xf>
    <xf numFmtId="0" fontId="20" fillId="27" borderId="50" xfId="0" applyFont="1" applyFill="1" applyBorder="1" applyAlignment="1">
      <alignment horizontal="center" vertical="center" wrapText="1"/>
    </xf>
    <xf numFmtId="0" fontId="20" fillId="27" borderId="23" xfId="0" applyFont="1" applyFill="1" applyBorder="1" applyAlignment="1">
      <alignment horizontal="center" vertical="center" wrapText="1"/>
    </xf>
    <xf numFmtId="0" fontId="20" fillId="0" borderId="145" xfId="0" applyFont="1" applyFill="1" applyBorder="1" applyAlignment="1">
      <alignment horizontal="center" vertical="center" wrapText="1"/>
    </xf>
    <xf numFmtId="0" fontId="20" fillId="0" borderId="146" xfId="0" applyFont="1" applyFill="1" applyBorder="1" applyAlignment="1">
      <alignment horizontal="center" vertical="center"/>
    </xf>
    <xf numFmtId="0" fontId="20" fillId="0" borderId="113" xfId="0" applyFont="1" applyFill="1" applyBorder="1" applyAlignment="1">
      <alignment horizontal="center" vertical="center"/>
    </xf>
    <xf numFmtId="0" fontId="55" fillId="27" borderId="154" xfId="0" applyFont="1" applyFill="1" applyBorder="1" applyAlignment="1">
      <alignment horizontal="center" vertical="center" wrapText="1"/>
    </xf>
    <xf numFmtId="0" fontId="55" fillId="27" borderId="24" xfId="0" applyFont="1" applyFill="1" applyBorder="1" applyAlignment="1">
      <alignment horizontal="center" vertical="center" wrapText="1"/>
    </xf>
    <xf numFmtId="0" fontId="55" fillId="27" borderId="155" xfId="0" applyFont="1" applyFill="1" applyBorder="1" applyAlignment="1">
      <alignment horizontal="center" vertical="center" wrapText="1"/>
    </xf>
    <xf numFmtId="0" fontId="55" fillId="27" borderId="25" xfId="0" applyFont="1" applyFill="1" applyBorder="1" applyAlignment="1">
      <alignment horizontal="center" vertical="center" wrapText="1"/>
    </xf>
    <xf numFmtId="0" fontId="55" fillId="27" borderId="156" xfId="0" applyFont="1" applyFill="1" applyBorder="1" applyAlignment="1">
      <alignment horizontal="center" vertical="center" wrapText="1"/>
    </xf>
    <xf numFmtId="0" fontId="55" fillId="27" borderId="157" xfId="0" applyFont="1" applyFill="1" applyBorder="1" applyAlignment="1">
      <alignment horizontal="center" vertical="center" wrapText="1"/>
    </xf>
    <xf numFmtId="0" fontId="0" fillId="0" borderId="90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262" xfId="0" applyBorder="1" applyAlignment="1">
      <alignment horizontal="center" wrapText="1"/>
    </xf>
    <xf numFmtId="0" fontId="0" fillId="0" borderId="263" xfId="0" applyBorder="1" applyAlignment="1">
      <alignment horizontal="center" wrapText="1"/>
    </xf>
    <xf numFmtId="0" fontId="0" fillId="0" borderId="264" xfId="0" applyBorder="1" applyAlignment="1">
      <alignment horizontal="center" wrapText="1"/>
    </xf>
    <xf numFmtId="0" fontId="24" fillId="25" borderId="10" xfId="0" applyFont="1" applyFill="1" applyBorder="1" applyAlignment="1" applyProtection="1">
      <alignment horizontal="center" vertical="center" wrapText="1"/>
    </xf>
    <xf numFmtId="0" fontId="24" fillId="25" borderId="11" xfId="0" applyFont="1" applyFill="1" applyBorder="1" applyAlignment="1" applyProtection="1">
      <alignment horizontal="center" vertical="center"/>
    </xf>
    <xf numFmtId="0" fontId="24" fillId="25" borderId="13" xfId="0" applyFont="1" applyFill="1" applyBorder="1" applyAlignment="1" applyProtection="1">
      <alignment horizontal="center" vertical="center"/>
    </xf>
    <xf numFmtId="0" fontId="24" fillId="35" borderId="10" xfId="0" applyFont="1" applyFill="1" applyBorder="1" applyAlignment="1">
      <alignment horizontal="center" vertical="center" wrapText="1"/>
    </xf>
    <xf numFmtId="0" fontId="24" fillId="35" borderId="11" xfId="0" applyFont="1" applyFill="1" applyBorder="1" applyAlignment="1">
      <alignment horizontal="center" vertical="center" wrapText="1"/>
    </xf>
    <xf numFmtId="0" fontId="24" fillId="35" borderId="13" xfId="0" applyFont="1" applyFill="1" applyBorder="1" applyAlignment="1">
      <alignment horizontal="center" vertical="center" wrapText="1"/>
    </xf>
    <xf numFmtId="0" fontId="24" fillId="31" borderId="26" xfId="0" applyFont="1" applyFill="1" applyBorder="1" applyAlignment="1">
      <alignment horizontal="center" vertical="center" wrapText="1"/>
    </xf>
    <xf numFmtId="0" fontId="24" fillId="58" borderId="26" xfId="0" applyFont="1" applyFill="1" applyBorder="1" applyAlignment="1">
      <alignment horizontal="center" vertical="center" wrapText="1"/>
    </xf>
    <xf numFmtId="0" fontId="24" fillId="25" borderId="10" xfId="0" applyFont="1" applyFill="1" applyBorder="1" applyAlignment="1" applyProtection="1">
      <alignment horizontal="center" vertical="center"/>
    </xf>
    <xf numFmtId="0" fontId="9" fillId="25" borderId="26" xfId="0" applyFont="1" applyFill="1" applyBorder="1" applyAlignment="1">
      <alignment horizontal="center" vertical="center" wrapText="1"/>
    </xf>
    <xf numFmtId="0" fontId="24" fillId="27" borderId="10" xfId="0" applyFont="1" applyFill="1" applyBorder="1" applyAlignment="1">
      <alignment horizontal="center" vertical="center" wrapText="1"/>
    </xf>
    <xf numFmtId="0" fontId="24" fillId="27" borderId="11" xfId="0" applyFont="1" applyFill="1" applyBorder="1" applyAlignment="1">
      <alignment horizontal="center" vertical="center" wrapText="1"/>
    </xf>
    <xf numFmtId="0" fontId="24" fillId="27" borderId="13" xfId="0" applyFont="1" applyFill="1" applyBorder="1" applyAlignment="1">
      <alignment horizontal="center" vertical="center" wrapText="1"/>
    </xf>
    <xf numFmtId="0" fontId="24" fillId="25" borderId="10" xfId="0" applyFont="1" applyFill="1" applyBorder="1" applyAlignment="1">
      <alignment horizontal="center" vertical="center" wrapText="1"/>
    </xf>
    <xf numFmtId="0" fontId="24" fillId="25" borderId="11" xfId="0" applyFont="1" applyFill="1" applyBorder="1" applyAlignment="1">
      <alignment horizontal="center" vertical="center" wrapText="1"/>
    </xf>
    <xf numFmtId="0" fontId="24" fillId="25" borderId="1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5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24" fillId="27" borderId="26" xfId="0" applyFont="1" applyFill="1" applyBorder="1" applyAlignment="1">
      <alignment horizontal="center" vertical="center" wrapText="1"/>
    </xf>
    <xf numFmtId="0" fontId="72" fillId="25" borderId="36" xfId="0" applyFont="1" applyFill="1" applyBorder="1" applyAlignment="1">
      <alignment horizontal="center"/>
    </xf>
    <xf numFmtId="0" fontId="72" fillId="25" borderId="51" xfId="0" applyFont="1" applyFill="1" applyBorder="1" applyAlignment="1">
      <alignment horizontal="center"/>
    </xf>
    <xf numFmtId="0" fontId="72" fillId="25" borderId="42" xfId="0" applyFont="1" applyFill="1" applyBorder="1" applyAlignment="1">
      <alignment horizontal="center"/>
    </xf>
    <xf numFmtId="0" fontId="24" fillId="43" borderId="10" xfId="0" applyFont="1" applyFill="1" applyBorder="1" applyAlignment="1">
      <alignment horizontal="center" vertical="center" wrapText="1"/>
    </xf>
    <xf numFmtId="0" fontId="24" fillId="43" borderId="11" xfId="0" applyFont="1" applyFill="1" applyBorder="1" applyAlignment="1">
      <alignment horizontal="center" vertical="center" wrapText="1"/>
    </xf>
    <xf numFmtId="0" fontId="24" fillId="43" borderId="13" xfId="0" applyFont="1" applyFill="1" applyBorder="1" applyAlignment="1">
      <alignment horizontal="center" vertical="center" wrapText="1"/>
    </xf>
    <xf numFmtId="0" fontId="24" fillId="53" borderId="10" xfId="0" applyFont="1" applyFill="1" applyBorder="1" applyAlignment="1">
      <alignment horizontal="center" vertical="center" wrapText="1"/>
    </xf>
    <xf numFmtId="0" fontId="24" fillId="53" borderId="11" xfId="0" applyFont="1" applyFill="1" applyBorder="1" applyAlignment="1">
      <alignment horizontal="center" vertical="center" wrapText="1"/>
    </xf>
    <xf numFmtId="0" fontId="24" fillId="53" borderId="13" xfId="0" applyFont="1" applyFill="1" applyBorder="1" applyAlignment="1">
      <alignment horizontal="center" vertical="center" wrapText="1"/>
    </xf>
    <xf numFmtId="0" fontId="24" fillId="61" borderId="10" xfId="0" applyFont="1" applyFill="1" applyBorder="1" applyAlignment="1">
      <alignment horizontal="center" vertical="center" wrapText="1"/>
    </xf>
    <xf numFmtId="0" fontId="24" fillId="61" borderId="11" xfId="0" applyFont="1" applyFill="1" applyBorder="1" applyAlignment="1">
      <alignment horizontal="center" vertical="center" wrapText="1"/>
    </xf>
    <xf numFmtId="0" fontId="24" fillId="61" borderId="13" xfId="0" applyFont="1" applyFill="1" applyBorder="1" applyAlignment="1">
      <alignment horizontal="center" vertical="center" wrapText="1"/>
    </xf>
    <xf numFmtId="0" fontId="24" fillId="58" borderId="10" xfId="0" applyFont="1" applyFill="1" applyBorder="1" applyAlignment="1">
      <alignment horizontal="center" vertical="center" wrapText="1"/>
    </xf>
    <xf numFmtId="0" fontId="24" fillId="58" borderId="11" xfId="0" applyFont="1" applyFill="1" applyBorder="1" applyAlignment="1">
      <alignment horizontal="center" vertical="center" wrapText="1"/>
    </xf>
    <xf numFmtId="0" fontId="24" fillId="58" borderId="13" xfId="0" applyFont="1" applyFill="1" applyBorder="1" applyAlignment="1">
      <alignment horizontal="center" vertical="center" wrapText="1"/>
    </xf>
    <xf numFmtId="0" fontId="122" fillId="0" borderId="0" xfId="0" applyFont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0" fontId="8" fillId="31" borderId="36" xfId="0" applyFont="1" applyFill="1" applyBorder="1" applyAlignment="1">
      <alignment horizontal="center"/>
    </xf>
    <xf numFmtId="0" fontId="8" fillId="31" borderId="42" xfId="0" applyFont="1" applyFill="1" applyBorder="1" applyAlignment="1">
      <alignment horizontal="center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vertical="center" wrapText="1"/>
    </xf>
    <xf numFmtId="0" fontId="29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vertical="center" wrapText="1"/>
    </xf>
    <xf numFmtId="0" fontId="46" fillId="0" borderId="0" xfId="0" applyFont="1" applyAlignment="1">
      <alignment horizontal="left"/>
    </xf>
    <xf numFmtId="0" fontId="40" fillId="31" borderId="90" xfId="0" applyFont="1" applyFill="1" applyBorder="1" applyAlignment="1">
      <alignment horizontal="center"/>
    </xf>
    <xf numFmtId="0" fontId="40" fillId="31" borderId="37" xfId="0" applyFont="1" applyFill="1" applyBorder="1" applyAlignment="1">
      <alignment horizontal="center"/>
    </xf>
    <xf numFmtId="0" fontId="40" fillId="31" borderId="80" xfId="0" applyFont="1" applyFill="1" applyBorder="1" applyAlignment="1">
      <alignment horizontal="center"/>
    </xf>
    <xf numFmtId="7" fontId="56" fillId="0" borderId="0" xfId="32" applyNumberFormat="1" applyFont="1" applyAlignment="1">
      <alignment horizontal="center" wrapText="1"/>
    </xf>
    <xf numFmtId="0" fontId="30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vertical="center" wrapText="1"/>
    </xf>
    <xf numFmtId="0" fontId="40" fillId="36" borderId="90" xfId="0" applyFont="1" applyFill="1" applyBorder="1" applyAlignment="1">
      <alignment horizontal="center"/>
    </xf>
    <xf numFmtId="0" fontId="40" fillId="36" borderId="37" xfId="0" applyFont="1" applyFill="1" applyBorder="1" applyAlignment="1">
      <alignment horizontal="center"/>
    </xf>
    <xf numFmtId="0" fontId="40" fillId="36" borderId="80" xfId="0" applyFont="1" applyFill="1" applyBorder="1" applyAlignment="1">
      <alignment horizontal="center"/>
    </xf>
    <xf numFmtId="0" fontId="121" fillId="39" borderId="10" xfId="0" applyFont="1" applyFill="1" applyBorder="1" applyAlignment="1">
      <alignment horizontal="center" vertical="center" wrapText="1"/>
    </xf>
    <xf numFmtId="0" fontId="121" fillId="39" borderId="13" xfId="0" applyFont="1" applyFill="1" applyBorder="1" applyAlignment="1">
      <alignment horizontal="center" vertical="center"/>
    </xf>
    <xf numFmtId="0" fontId="121" fillId="39" borderId="13" xfId="0" applyFont="1" applyFill="1" applyBorder="1" applyAlignment="1">
      <alignment horizontal="center" vertical="center" wrapText="1"/>
    </xf>
    <xf numFmtId="0" fontId="122" fillId="54" borderId="36" xfId="0" applyFont="1" applyFill="1" applyBorder="1" applyAlignment="1">
      <alignment horizontal="center"/>
    </xf>
    <xf numFmtId="0" fontId="122" fillId="54" borderId="51" xfId="0" applyFont="1" applyFill="1" applyBorder="1" applyAlignment="1">
      <alignment horizontal="center"/>
    </xf>
    <xf numFmtId="0" fontId="122" fillId="54" borderId="42" xfId="0" applyFont="1" applyFill="1" applyBorder="1" applyAlignment="1">
      <alignment horizontal="center"/>
    </xf>
    <xf numFmtId="0" fontId="122" fillId="51" borderId="36" xfId="0" applyFont="1" applyFill="1" applyBorder="1" applyAlignment="1">
      <alignment horizontal="center"/>
    </xf>
    <xf numFmtId="0" fontId="122" fillId="51" borderId="51" xfId="0" applyFont="1" applyFill="1" applyBorder="1" applyAlignment="1">
      <alignment horizontal="center"/>
    </xf>
    <xf numFmtId="0" fontId="122" fillId="51" borderId="42" xfId="0" applyFont="1" applyFill="1" applyBorder="1" applyAlignment="1">
      <alignment horizontal="center"/>
    </xf>
    <xf numFmtId="0" fontId="121" fillId="42" borderId="10" xfId="0" applyFont="1" applyFill="1" applyBorder="1" applyAlignment="1">
      <alignment horizontal="center" vertical="center" wrapText="1"/>
    </xf>
    <xf numFmtId="0" fontId="121" fillId="42" borderId="13" xfId="0" applyFont="1" applyFill="1" applyBorder="1" applyAlignment="1">
      <alignment horizontal="center" vertical="center" wrapText="1"/>
    </xf>
    <xf numFmtId="0" fontId="72" fillId="39" borderId="10" xfId="0" applyFont="1" applyFill="1" applyBorder="1" applyAlignment="1">
      <alignment horizontal="center" vertical="center" wrapText="1"/>
    </xf>
    <xf numFmtId="0" fontId="72" fillId="39" borderId="13" xfId="0" applyFont="1" applyFill="1" applyBorder="1" applyAlignment="1">
      <alignment horizontal="center" vertical="center" wrapText="1"/>
    </xf>
    <xf numFmtId="0" fontId="121" fillId="43" borderId="10" xfId="0" applyFont="1" applyFill="1" applyBorder="1" applyAlignment="1">
      <alignment horizontal="center" vertical="center" wrapText="1"/>
    </xf>
    <xf numFmtId="0" fontId="121" fillId="43" borderId="13" xfId="0" applyFont="1" applyFill="1" applyBorder="1" applyAlignment="1">
      <alignment horizontal="center" vertical="center" wrapText="1"/>
    </xf>
    <xf numFmtId="0" fontId="121" fillId="25" borderId="26" xfId="44" applyFont="1" applyFill="1" applyBorder="1" applyAlignment="1">
      <alignment horizontal="center" vertical="center" wrapText="1"/>
    </xf>
    <xf numFmtId="0" fontId="121" fillId="25" borderId="26" xfId="44" applyFont="1" applyFill="1" applyBorder="1" applyAlignment="1">
      <alignment horizontal="center" vertical="center"/>
    </xf>
    <xf numFmtId="0" fontId="121" fillId="42" borderId="13" xfId="0" applyFont="1" applyFill="1" applyBorder="1" applyAlignment="1">
      <alignment horizontal="center" vertical="center"/>
    </xf>
    <xf numFmtId="6" fontId="95" fillId="0" borderId="141" xfId="0" applyNumberFormat="1" applyFont="1" applyFill="1" applyBorder="1" applyAlignment="1" applyProtection="1">
      <alignment horizontal="center" vertical="top" wrapText="1"/>
    </xf>
    <xf numFmtId="6" fontId="95" fillId="0" borderId="0" xfId="0" applyNumberFormat="1" applyFont="1" applyFill="1" applyBorder="1" applyAlignment="1" applyProtection="1">
      <alignment horizontal="center" vertical="top" wrapText="1"/>
    </xf>
    <xf numFmtId="6" fontId="95" fillId="0" borderId="14" xfId="0" applyNumberFormat="1" applyFont="1" applyFill="1" applyBorder="1" applyAlignment="1" applyProtection="1">
      <alignment horizontal="center" vertical="top" wrapText="1"/>
    </xf>
    <xf numFmtId="0" fontId="65" fillId="27" borderId="36" xfId="0" applyFont="1" applyFill="1" applyBorder="1" applyAlignment="1">
      <alignment horizontal="center" vertical="center" wrapText="1"/>
    </xf>
    <xf numFmtId="0" fontId="65" fillId="27" borderId="42" xfId="0" applyFont="1" applyFill="1" applyBorder="1" applyAlignment="1">
      <alignment horizontal="center" vertical="center" wrapText="1"/>
    </xf>
    <xf numFmtId="0" fontId="24" fillId="25" borderId="26" xfId="0" applyFont="1" applyFill="1" applyBorder="1" applyAlignment="1" applyProtection="1">
      <alignment horizontal="center" vertical="center" wrapText="1"/>
    </xf>
    <xf numFmtId="0" fontId="24" fillId="25" borderId="26" xfId="0" applyFont="1" applyFill="1" applyBorder="1" applyAlignment="1" applyProtection="1">
      <alignment horizontal="center" vertical="center"/>
    </xf>
    <xf numFmtId="0" fontId="24" fillId="25" borderId="36" xfId="0" applyFont="1" applyFill="1" applyBorder="1" applyAlignment="1" applyProtection="1">
      <alignment horizontal="center" vertical="center" wrapText="1"/>
    </xf>
    <xf numFmtId="0" fontId="45" fillId="25" borderId="10" xfId="0" applyFont="1" applyFill="1" applyBorder="1" applyAlignment="1">
      <alignment horizontal="center" vertical="center" wrapText="1"/>
    </xf>
    <xf numFmtId="0" fontId="45" fillId="25" borderId="13" xfId="0" applyFont="1" applyFill="1" applyBorder="1" applyAlignment="1">
      <alignment horizontal="center" vertical="center" wrapText="1"/>
    </xf>
    <xf numFmtId="0" fontId="24" fillId="25" borderId="13" xfId="0" quotePrefix="1" applyFont="1" applyFill="1" applyBorder="1" applyAlignment="1">
      <alignment horizontal="center" vertical="center" wrapText="1"/>
    </xf>
    <xf numFmtId="0" fontId="24" fillId="56" borderId="10" xfId="0" applyFont="1" applyFill="1" applyBorder="1" applyAlignment="1">
      <alignment horizontal="center" vertical="center" wrapText="1"/>
    </xf>
    <xf numFmtId="0" fontId="24" fillId="56" borderId="13" xfId="0" applyFont="1" applyFill="1" applyBorder="1" applyAlignment="1">
      <alignment horizontal="center" vertical="center" wrapText="1"/>
    </xf>
    <xf numFmtId="0" fontId="65" fillId="27" borderId="10" xfId="0" applyFont="1" applyFill="1" applyBorder="1" applyAlignment="1">
      <alignment horizontal="center" vertical="center" wrapText="1"/>
    </xf>
    <xf numFmtId="0" fontId="65" fillId="62" borderId="36" xfId="0" applyFont="1" applyFill="1" applyBorder="1" applyAlignment="1" applyProtection="1">
      <alignment horizontal="center" vertical="center" wrapText="1"/>
    </xf>
    <xf numFmtId="0" fontId="65" fillId="62" borderId="51" xfId="0" applyFont="1" applyFill="1" applyBorder="1" applyAlignment="1" applyProtection="1">
      <alignment horizontal="center" vertical="center" wrapText="1"/>
    </xf>
    <xf numFmtId="0" fontId="65" fillId="62" borderId="42" xfId="0" applyFont="1" applyFill="1" applyBorder="1" applyAlignment="1" applyProtection="1">
      <alignment horizontal="center" vertical="center" wrapText="1"/>
    </xf>
    <xf numFmtId="0" fontId="65" fillId="37" borderId="36" xfId="0" applyFont="1" applyFill="1" applyBorder="1" applyAlignment="1" applyProtection="1">
      <alignment horizontal="center" vertical="center" wrapText="1"/>
    </xf>
    <xf numFmtId="0" fontId="65" fillId="37" borderId="42" xfId="0" quotePrefix="1" applyFont="1" applyFill="1" applyBorder="1" applyAlignment="1" applyProtection="1">
      <alignment horizontal="center" vertical="center" wrapText="1"/>
    </xf>
    <xf numFmtId="0" fontId="66" fillId="27" borderId="42" xfId="0" applyFont="1" applyFill="1" applyBorder="1" applyAlignment="1">
      <alignment horizontal="center" vertical="center" wrapText="1"/>
    </xf>
    <xf numFmtId="0" fontId="24" fillId="25" borderId="10" xfId="0" quotePrefix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24" fillId="29" borderId="10" xfId="0" quotePrefix="1" applyFont="1" applyFill="1" applyBorder="1" applyAlignment="1">
      <alignment horizontal="center" vertical="center" wrapText="1"/>
    </xf>
    <xf numFmtId="0" fontId="24" fillId="29" borderId="13" xfId="0" quotePrefix="1" applyFont="1" applyFill="1" applyBorder="1" applyAlignment="1">
      <alignment horizontal="center" vertical="center" wrapText="1"/>
    </xf>
    <xf numFmtId="0" fontId="24" fillId="27" borderId="10" xfId="0" quotePrefix="1" applyFont="1" applyFill="1" applyBorder="1" applyAlignment="1">
      <alignment horizontal="center" vertical="center" wrapText="1"/>
    </xf>
    <xf numFmtId="0" fontId="24" fillId="27" borderId="13" xfId="0" quotePrefix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left"/>
    </xf>
    <xf numFmtId="0" fontId="24" fillId="57" borderId="10" xfId="0" applyFont="1" applyFill="1" applyBorder="1" applyAlignment="1">
      <alignment horizontal="center" vertical="center" wrapText="1"/>
    </xf>
    <xf numFmtId="0" fontId="24" fillId="57" borderId="13" xfId="0" applyFont="1" applyFill="1" applyBorder="1" applyAlignment="1">
      <alignment horizontal="center" vertical="center" wrapText="1"/>
    </xf>
    <xf numFmtId="0" fontId="60" fillId="0" borderId="0" xfId="0" applyFont="1" applyFill="1" applyAlignment="1">
      <alignment horizontal="left" vertical="top" wrapText="1"/>
    </xf>
    <xf numFmtId="0" fontId="24" fillId="29" borderId="10" xfId="0" applyFont="1" applyFill="1" applyBorder="1" applyAlignment="1">
      <alignment horizontal="center" vertical="center" wrapText="1"/>
    </xf>
    <xf numFmtId="0" fontId="24" fillId="29" borderId="13" xfId="0" applyFont="1" applyFill="1" applyBorder="1" applyAlignment="1">
      <alignment horizontal="center" vertical="center" wrapText="1"/>
    </xf>
    <xf numFmtId="49" fontId="24" fillId="44" borderId="10" xfId="53" applyNumberFormat="1" applyFont="1" applyFill="1" applyBorder="1" applyAlignment="1">
      <alignment horizontal="center" vertical="center" wrapText="1"/>
    </xf>
    <xf numFmtId="49" fontId="24" fillId="44" borderId="11" xfId="53" applyNumberFormat="1" applyFont="1" applyFill="1" applyBorder="1" applyAlignment="1">
      <alignment horizontal="center" vertical="center" wrapText="1"/>
    </xf>
    <xf numFmtId="49" fontId="24" fillId="44" borderId="13" xfId="53" applyNumberFormat="1" applyFont="1" applyFill="1" applyBorder="1" applyAlignment="1">
      <alignment horizontal="center" vertical="center" wrapText="1"/>
    </xf>
    <xf numFmtId="49" fontId="65" fillId="27" borderId="36" xfId="53" applyNumberFormat="1" applyFont="1" applyFill="1" applyBorder="1" applyAlignment="1">
      <alignment horizontal="center" vertical="center" wrapText="1"/>
    </xf>
    <xf numFmtId="49" fontId="65" fillId="27" borderId="51" xfId="53" applyNumberFormat="1" applyFont="1" applyFill="1" applyBorder="1" applyAlignment="1">
      <alignment horizontal="center" vertical="center" wrapText="1"/>
    </xf>
    <xf numFmtId="49" fontId="65" fillId="27" borderId="42" xfId="53" applyNumberFormat="1" applyFont="1" applyFill="1" applyBorder="1" applyAlignment="1">
      <alignment horizontal="center" vertical="center" wrapText="1"/>
    </xf>
    <xf numFmtId="49" fontId="65" fillId="54" borderId="36" xfId="53" applyNumberFormat="1" applyFont="1" applyFill="1" applyBorder="1" applyAlignment="1">
      <alignment horizontal="center" vertical="center" wrapText="1"/>
    </xf>
    <xf numFmtId="49" fontId="65" fillId="54" borderId="51" xfId="53" applyNumberFormat="1" applyFont="1" applyFill="1" applyBorder="1" applyAlignment="1">
      <alignment horizontal="center" vertical="center" wrapText="1"/>
    </xf>
    <xf numFmtId="49" fontId="65" fillId="54" borderId="42" xfId="53" applyNumberFormat="1" applyFont="1" applyFill="1" applyBorder="1" applyAlignment="1">
      <alignment horizontal="center" vertical="center" wrapText="1"/>
    </xf>
    <xf numFmtId="0" fontId="24" fillId="25" borderId="33" xfId="53" applyFont="1" applyFill="1" applyBorder="1" applyAlignment="1" applyProtection="1">
      <alignment horizontal="center" vertical="center" wrapText="1"/>
    </xf>
    <xf numFmtId="0" fontId="24" fillId="25" borderId="44" xfId="53" applyFont="1" applyFill="1" applyBorder="1" applyAlignment="1" applyProtection="1">
      <alignment horizontal="center" vertical="center" wrapText="1"/>
    </xf>
    <xf numFmtId="0" fontId="24" fillId="25" borderId="34" xfId="53" applyFont="1" applyFill="1" applyBorder="1" applyAlignment="1" applyProtection="1">
      <alignment horizontal="center" vertical="center" wrapText="1"/>
    </xf>
    <xf numFmtId="0" fontId="24" fillId="25" borderId="45" xfId="53" applyFont="1" applyFill="1" applyBorder="1" applyAlignment="1" applyProtection="1">
      <alignment horizontal="center" vertical="center" wrapText="1"/>
    </xf>
    <xf numFmtId="0" fontId="24" fillId="25" borderId="35" xfId="53" applyFont="1" applyFill="1" applyBorder="1" applyAlignment="1" applyProtection="1">
      <alignment horizontal="center" vertical="center" wrapText="1"/>
    </xf>
    <xf numFmtId="0" fontId="24" fillId="25" borderId="83" xfId="53" applyFont="1" applyFill="1" applyBorder="1" applyAlignment="1" applyProtection="1">
      <alignment horizontal="center" vertical="center" wrapText="1"/>
    </xf>
    <xf numFmtId="49" fontId="24" fillId="42" borderId="10" xfId="53" applyNumberFormat="1" applyFont="1" applyFill="1" applyBorder="1" applyAlignment="1">
      <alignment horizontal="center" vertical="center" wrapText="1"/>
    </xf>
    <xf numFmtId="49" fontId="24" fillId="42" borderId="13" xfId="53" applyNumberFormat="1" applyFont="1" applyFill="1" applyBorder="1" applyAlignment="1">
      <alignment horizontal="center" vertical="center" wrapText="1"/>
    </xf>
    <xf numFmtId="49" fontId="24" fillId="42" borderId="26" xfId="53" applyNumberFormat="1" applyFont="1" applyFill="1" applyBorder="1" applyAlignment="1">
      <alignment horizontal="center" vertical="center" wrapText="1"/>
    </xf>
    <xf numFmtId="49" fontId="24" fillId="42" borderId="10" xfId="53" applyNumberFormat="1" applyFont="1" applyFill="1" applyBorder="1" applyAlignment="1">
      <alignment horizontal="center" wrapText="1"/>
    </xf>
    <xf numFmtId="49" fontId="24" fillId="42" borderId="13" xfId="53" applyNumberFormat="1" applyFont="1" applyFill="1" applyBorder="1" applyAlignment="1">
      <alignment horizontal="center" wrapText="1"/>
    </xf>
    <xf numFmtId="49" fontId="24" fillId="43" borderId="11" xfId="53" applyNumberFormat="1" applyFont="1" applyFill="1" applyBorder="1" applyAlignment="1">
      <alignment horizontal="center" wrapText="1"/>
    </xf>
    <xf numFmtId="49" fontId="24" fillId="43" borderId="13" xfId="53" applyNumberFormat="1" applyFont="1" applyFill="1" applyBorder="1" applyAlignment="1">
      <alignment horizontal="center" wrapText="1"/>
    </xf>
    <xf numFmtId="49" fontId="24" fillId="43" borderId="11" xfId="53" applyNumberFormat="1" applyFont="1" applyFill="1" applyBorder="1" applyAlignment="1">
      <alignment horizontal="center" vertical="center" wrapText="1"/>
    </xf>
    <xf numFmtId="49" fontId="24" fillId="43" borderId="13" xfId="53" applyNumberFormat="1" applyFont="1" applyFill="1" applyBorder="1" applyAlignment="1">
      <alignment horizontal="center" vertical="center" wrapText="1"/>
    </xf>
    <xf numFmtId="49" fontId="24" fillId="64" borderId="10" xfId="53" applyNumberFormat="1" applyFont="1" applyFill="1" applyBorder="1" applyAlignment="1">
      <alignment horizontal="center" vertical="center" wrapText="1"/>
    </xf>
    <xf numFmtId="49" fontId="24" fillId="64" borderId="13" xfId="53" applyNumberFormat="1" applyFont="1" applyFill="1" applyBorder="1" applyAlignment="1">
      <alignment horizontal="center" vertical="center" wrapText="1"/>
    </xf>
    <xf numFmtId="49" fontId="24" fillId="64" borderId="26" xfId="53" applyNumberFormat="1" applyFont="1" applyFill="1" applyBorder="1" applyAlignment="1">
      <alignment horizontal="center" vertical="center" wrapText="1"/>
    </xf>
    <xf numFmtId="49" fontId="65" fillId="27" borderId="0" xfId="53" applyNumberFormat="1" applyFont="1" applyFill="1" applyBorder="1" applyAlignment="1">
      <alignment horizontal="center" vertical="center" wrapText="1"/>
    </xf>
    <xf numFmtId="49" fontId="65" fillId="27" borderId="45" xfId="53" applyNumberFormat="1" applyFont="1" applyFill="1" applyBorder="1" applyAlignment="1">
      <alignment horizontal="center" vertical="center" wrapText="1"/>
    </xf>
    <xf numFmtId="49" fontId="24" fillId="43" borderId="44" xfId="53" applyNumberFormat="1" applyFont="1" applyFill="1" applyBorder="1" applyAlignment="1">
      <alignment horizontal="center" vertical="center" wrapText="1"/>
    </xf>
    <xf numFmtId="49" fontId="24" fillId="43" borderId="83" xfId="53" applyNumberFormat="1" applyFont="1" applyFill="1" applyBorder="1" applyAlignment="1">
      <alignment horizontal="center" vertical="center"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0" fontId="145" fillId="50" borderId="36" xfId="0" applyFont="1" applyFill="1" applyBorder="1" applyAlignment="1">
      <alignment horizontal="center" vertical="center" wrapText="1"/>
    </xf>
    <xf numFmtId="0" fontId="145" fillId="50" borderId="51" xfId="0" applyFont="1" applyFill="1" applyBorder="1" applyAlignment="1">
      <alignment horizontal="center" vertical="center" wrapText="1"/>
    </xf>
    <xf numFmtId="0" fontId="145" fillId="50" borderId="42" xfId="0" applyFont="1" applyFill="1" applyBorder="1" applyAlignment="1">
      <alignment horizontal="center" vertical="center" wrapText="1"/>
    </xf>
    <xf numFmtId="0" fontId="132" fillId="28" borderId="36" xfId="0" applyFont="1" applyFill="1" applyBorder="1" applyAlignment="1">
      <alignment horizontal="center" wrapText="1"/>
    </xf>
    <xf numFmtId="0" fontId="132" fillId="28" borderId="51" xfId="0" applyFont="1" applyFill="1" applyBorder="1" applyAlignment="1">
      <alignment horizontal="center" wrapText="1"/>
    </xf>
    <xf numFmtId="0" fontId="102" fillId="0" borderId="0" xfId="0" applyFont="1" applyBorder="1" applyAlignment="1">
      <alignment horizontal="left" wrapText="1"/>
    </xf>
    <xf numFmtId="0" fontId="136" fillId="51" borderId="10" xfId="0" applyFont="1" applyFill="1" applyBorder="1" applyAlignment="1">
      <alignment horizontal="center" vertical="center" wrapText="1"/>
    </xf>
    <xf numFmtId="0" fontId="136" fillId="51" borderId="13" xfId="0" applyFont="1" applyFill="1" applyBorder="1" applyAlignment="1">
      <alignment horizontal="center" vertical="center" wrapText="1"/>
    </xf>
    <xf numFmtId="0" fontId="140" fillId="29" borderId="10" xfId="0" applyFont="1" applyFill="1" applyBorder="1" applyAlignment="1">
      <alignment horizontal="center" vertical="center" wrapText="1"/>
    </xf>
    <xf numFmtId="0" fontId="140" fillId="29" borderId="13" xfId="0" applyFont="1" applyFill="1" applyBorder="1" applyAlignment="1">
      <alignment horizontal="center" vertical="center" wrapText="1"/>
    </xf>
    <xf numFmtId="0" fontId="136" fillId="42" borderId="10" xfId="0" applyFont="1" applyFill="1" applyBorder="1" applyAlignment="1">
      <alignment horizontal="center" vertical="center" wrapText="1"/>
    </xf>
    <xf numFmtId="0" fontId="136" fillId="42" borderId="13" xfId="0" applyFont="1" applyFill="1" applyBorder="1" applyAlignment="1">
      <alignment horizontal="center" vertical="center" wrapText="1"/>
    </xf>
    <xf numFmtId="0" fontId="136" fillId="53" borderId="10" xfId="0" applyFont="1" applyFill="1" applyBorder="1" applyAlignment="1">
      <alignment horizontal="center" vertical="center" wrapText="1"/>
    </xf>
    <xf numFmtId="0" fontId="136" fillId="53" borderId="13" xfId="0" applyFont="1" applyFill="1" applyBorder="1" applyAlignment="1">
      <alignment horizontal="center" vertical="center" wrapText="1"/>
    </xf>
    <xf numFmtId="0" fontId="136" fillId="27" borderId="10" xfId="0" applyFont="1" applyFill="1" applyBorder="1" applyAlignment="1">
      <alignment horizontal="center" vertical="center" wrapText="1"/>
    </xf>
    <xf numFmtId="0" fontId="136" fillId="27" borderId="13" xfId="0" applyFont="1" applyFill="1" applyBorder="1" applyAlignment="1">
      <alignment horizontal="center" vertical="center" wrapText="1"/>
    </xf>
    <xf numFmtId="0" fontId="135" fillId="37" borderId="35" xfId="0" applyFont="1" applyFill="1" applyBorder="1" applyAlignment="1" applyProtection="1">
      <alignment horizontal="center" vertical="center" wrapText="1"/>
    </xf>
    <xf numFmtId="0" fontId="135" fillId="37" borderId="83" xfId="0" quotePrefix="1" applyFont="1" applyFill="1" applyBorder="1" applyAlignment="1" applyProtection="1">
      <alignment horizontal="center" vertical="center" wrapText="1"/>
    </xf>
    <xf numFmtId="0" fontId="136" fillId="25" borderId="10" xfId="0" applyFont="1" applyFill="1" applyBorder="1" applyAlignment="1">
      <alignment horizontal="center" vertical="center" wrapText="1"/>
    </xf>
    <xf numFmtId="0" fontId="136" fillId="25" borderId="13" xfId="0" applyFont="1" applyFill="1" applyBorder="1" applyAlignment="1">
      <alignment horizontal="center" vertical="center" wrapText="1"/>
    </xf>
    <xf numFmtId="0" fontId="136" fillId="29" borderId="10" xfId="0" applyFont="1" applyFill="1" applyBorder="1" applyAlignment="1">
      <alignment horizontal="center" vertical="center" wrapText="1"/>
    </xf>
    <xf numFmtId="0" fontId="136" fillId="29" borderId="13" xfId="0" applyFont="1" applyFill="1" applyBorder="1" applyAlignment="1">
      <alignment horizontal="center" vertical="center" wrapText="1"/>
    </xf>
    <xf numFmtId="0" fontId="143" fillId="0" borderId="0" xfId="0" applyFont="1" applyBorder="1" applyAlignment="1">
      <alignment horizontal="left" wrapText="1"/>
    </xf>
    <xf numFmtId="0" fontId="98" fillId="41" borderId="10" xfId="0" applyFont="1" applyFill="1" applyBorder="1" applyAlignment="1">
      <alignment horizontal="center" vertical="center" wrapText="1"/>
    </xf>
    <xf numFmtId="0" fontId="98" fillId="41" borderId="13" xfId="0" applyFont="1" applyFill="1" applyBorder="1" applyAlignment="1">
      <alignment horizontal="center" vertical="center" wrapText="1"/>
    </xf>
    <xf numFmtId="0" fontId="141" fillId="0" borderId="0" xfId="0" applyFont="1" applyAlignment="1">
      <alignment horizontal="left" wrapText="1"/>
    </xf>
    <xf numFmtId="0" fontId="141" fillId="0" borderId="0" xfId="0" applyFont="1" applyAlignment="1">
      <alignment horizontal="left"/>
    </xf>
    <xf numFmtId="0" fontId="24" fillId="28" borderId="10" xfId="0" applyFont="1" applyFill="1" applyBorder="1" applyAlignment="1">
      <alignment horizontal="center" vertical="center" wrapText="1"/>
    </xf>
    <xf numFmtId="0" fontId="24" fillId="28" borderId="13" xfId="0" applyFont="1" applyFill="1" applyBorder="1" applyAlignment="1">
      <alignment horizontal="center" vertical="center" wrapText="1"/>
    </xf>
    <xf numFmtId="0" fontId="24" fillId="55" borderId="10" xfId="0" applyFont="1" applyFill="1" applyBorder="1" applyAlignment="1">
      <alignment horizontal="center" vertical="center" wrapText="1"/>
    </xf>
    <xf numFmtId="0" fontId="24" fillId="55" borderId="13" xfId="0" applyFont="1" applyFill="1" applyBorder="1" applyAlignment="1">
      <alignment horizontal="center" vertical="center" wrapText="1"/>
    </xf>
    <xf numFmtId="0" fontId="16" fillId="52" borderId="0" xfId="0" applyFont="1" applyFill="1" applyAlignment="1">
      <alignment horizontal="center" vertical="center" wrapText="1"/>
    </xf>
    <xf numFmtId="0" fontId="65" fillId="38" borderId="36" xfId="0" applyFont="1" applyFill="1" applyBorder="1" applyAlignment="1" applyProtection="1">
      <alignment horizontal="center" vertical="center" wrapText="1"/>
    </xf>
    <xf numFmtId="0" fontId="65" fillId="38" borderId="42" xfId="0" quotePrefix="1" applyFont="1" applyFill="1" applyBorder="1" applyAlignment="1" applyProtection="1">
      <alignment horizontal="center" vertical="center" wrapText="1"/>
    </xf>
    <xf numFmtId="0" fontId="47" fillId="54" borderId="26" xfId="0" applyFont="1" applyFill="1" applyBorder="1" applyAlignment="1">
      <alignment horizontal="center" vertical="center"/>
    </xf>
    <xf numFmtId="15" fontId="24" fillId="25" borderId="10" xfId="0" applyNumberFormat="1" applyFont="1" applyFill="1" applyBorder="1" applyAlignment="1">
      <alignment horizontal="center" vertical="center" wrapText="1"/>
    </xf>
    <xf numFmtId="15" fontId="24" fillId="25" borderId="13" xfId="0" applyNumberFormat="1" applyFont="1" applyFill="1" applyBorder="1" applyAlignment="1">
      <alignment horizontal="center" vertical="center" wrapText="1"/>
    </xf>
    <xf numFmtId="0" fontId="24" fillId="54" borderId="10" xfId="0" applyFont="1" applyFill="1" applyBorder="1" applyAlignment="1">
      <alignment horizontal="center" vertical="center" wrapText="1"/>
    </xf>
    <xf numFmtId="0" fontId="24" fillId="54" borderId="13" xfId="0" applyFont="1" applyFill="1" applyBorder="1" applyAlignment="1">
      <alignment horizontal="center" vertical="center" wrapText="1"/>
    </xf>
    <xf numFmtId="0" fontId="110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left" vertical="top" wrapText="1"/>
    </xf>
    <xf numFmtId="0" fontId="99" fillId="25" borderId="33" xfId="0" applyFont="1" applyFill="1" applyBorder="1" applyAlignment="1">
      <alignment horizontal="center" vertical="center" wrapText="1"/>
    </xf>
    <xf numFmtId="0" fontId="99" fillId="25" borderId="44" xfId="0" applyFont="1" applyFill="1" applyBorder="1" applyAlignment="1">
      <alignment horizontal="center" vertical="center" wrapText="1"/>
    </xf>
    <xf numFmtId="0" fontId="99" fillId="25" borderId="34" xfId="0" applyFont="1" applyFill="1" applyBorder="1" applyAlignment="1">
      <alignment horizontal="center" vertical="center" wrapText="1"/>
    </xf>
    <xf numFmtId="0" fontId="99" fillId="25" borderId="45" xfId="0" applyFont="1" applyFill="1" applyBorder="1" applyAlignment="1">
      <alignment horizontal="center" vertical="center" wrapText="1"/>
    </xf>
    <xf numFmtId="0" fontId="99" fillId="25" borderId="35" xfId="0" applyFont="1" applyFill="1" applyBorder="1" applyAlignment="1">
      <alignment horizontal="center" vertical="center" wrapText="1"/>
    </xf>
    <xf numFmtId="0" fontId="99" fillId="25" borderId="83" xfId="0" applyFont="1" applyFill="1" applyBorder="1" applyAlignment="1">
      <alignment horizontal="center" vertical="center" wrapText="1"/>
    </xf>
    <xf numFmtId="49" fontId="65" fillId="27" borderId="34" xfId="53" applyNumberFormat="1" applyFont="1" applyFill="1" applyBorder="1" applyAlignment="1">
      <alignment horizontal="center" vertical="center" wrapText="1"/>
    </xf>
    <xf numFmtId="0" fontId="99" fillId="43" borderId="33" xfId="0" applyFont="1" applyFill="1" applyBorder="1" applyAlignment="1">
      <alignment horizontal="center" vertical="center" wrapText="1"/>
    </xf>
    <xf numFmtId="0" fontId="99" fillId="43" borderId="44" xfId="0" applyFont="1" applyFill="1" applyBorder="1" applyAlignment="1">
      <alignment horizontal="center" vertical="center" wrapText="1"/>
    </xf>
    <xf numFmtId="0" fontId="99" fillId="43" borderId="34" xfId="0" applyFont="1" applyFill="1" applyBorder="1" applyAlignment="1">
      <alignment horizontal="center" vertical="center" wrapText="1"/>
    </xf>
    <xf numFmtId="0" fontId="99" fillId="43" borderId="45" xfId="0" applyFont="1" applyFill="1" applyBorder="1" applyAlignment="1">
      <alignment horizontal="center" vertical="center" wrapText="1"/>
    </xf>
    <xf numFmtId="0" fontId="99" fillId="43" borderId="35" xfId="0" applyFont="1" applyFill="1" applyBorder="1" applyAlignment="1">
      <alignment horizontal="center" vertical="center" wrapText="1"/>
    </xf>
    <xf numFmtId="0" fontId="99" fillId="43" borderId="83" xfId="0" applyFont="1" applyFill="1" applyBorder="1" applyAlignment="1">
      <alignment horizontal="center" vertical="center" wrapText="1"/>
    </xf>
    <xf numFmtId="0" fontId="99" fillId="56" borderId="33" xfId="0" applyFont="1" applyFill="1" applyBorder="1" applyAlignment="1">
      <alignment horizontal="center" vertical="center" wrapText="1"/>
    </xf>
    <xf numFmtId="0" fontId="99" fillId="56" borderId="44" xfId="0" applyFont="1" applyFill="1" applyBorder="1" applyAlignment="1">
      <alignment horizontal="center" vertical="center" wrapText="1"/>
    </xf>
    <xf numFmtId="0" fontId="99" fillId="56" borderId="34" xfId="0" applyFont="1" applyFill="1" applyBorder="1" applyAlignment="1">
      <alignment horizontal="center" vertical="center" wrapText="1"/>
    </xf>
    <xf numFmtId="0" fontId="99" fillId="56" borderId="45" xfId="0" applyFont="1" applyFill="1" applyBorder="1" applyAlignment="1">
      <alignment horizontal="center" vertical="center" wrapText="1"/>
    </xf>
    <xf numFmtId="0" fontId="99" fillId="56" borderId="35" xfId="0" applyFont="1" applyFill="1" applyBorder="1" applyAlignment="1">
      <alignment horizontal="center" vertical="center" wrapText="1"/>
    </xf>
    <xf numFmtId="0" fontId="99" fillId="56" borderId="83" xfId="0" applyFont="1" applyFill="1" applyBorder="1" applyAlignment="1">
      <alignment horizontal="center" vertical="center" wrapText="1"/>
    </xf>
    <xf numFmtId="0" fontId="99" fillId="25" borderId="26" xfId="0" applyFont="1" applyFill="1" applyBorder="1" applyAlignment="1">
      <alignment horizontal="center" vertical="center" wrapText="1"/>
    </xf>
    <xf numFmtId="0" fontId="99" fillId="25" borderId="26" xfId="0" applyFont="1" applyFill="1" applyBorder="1" applyAlignment="1">
      <alignment horizontal="center" vertical="center"/>
    </xf>
    <xf numFmtId="0" fontId="112" fillId="29" borderId="11" xfId="0" applyFont="1" applyFill="1" applyBorder="1" applyAlignment="1">
      <alignment horizontal="center" vertical="center" wrapText="1"/>
    </xf>
    <xf numFmtId="0" fontId="112" fillId="29" borderId="13" xfId="0" applyFont="1" applyFill="1" applyBorder="1" applyAlignment="1">
      <alignment horizontal="center" vertical="center" wrapText="1"/>
    </xf>
    <xf numFmtId="6" fontId="100" fillId="0" borderId="0" xfId="0" applyNumberFormat="1" applyFont="1" applyBorder="1" applyAlignment="1">
      <alignment horizontal="left" wrapText="1"/>
    </xf>
    <xf numFmtId="0" fontId="24" fillId="51" borderId="10" xfId="0" applyFont="1" applyFill="1" applyBorder="1" applyAlignment="1">
      <alignment horizontal="center" vertical="center" wrapText="1"/>
    </xf>
    <xf numFmtId="0" fontId="24" fillId="51" borderId="13" xfId="0" applyFont="1" applyFill="1" applyBorder="1" applyAlignment="1">
      <alignment horizontal="center" vertical="center" wrapText="1"/>
    </xf>
    <xf numFmtId="0" fontId="24" fillId="39" borderId="26" xfId="0" quotePrefix="1" applyFont="1" applyFill="1" applyBorder="1" applyAlignment="1">
      <alignment horizontal="center" vertical="center" wrapText="1"/>
    </xf>
    <xf numFmtId="0" fontId="24" fillId="39" borderId="10" xfId="0" applyFont="1" applyFill="1" applyBorder="1" applyAlignment="1">
      <alignment horizontal="center" vertical="center" wrapText="1"/>
    </xf>
    <xf numFmtId="0" fontId="24" fillId="39" borderId="13" xfId="0" quotePrefix="1" applyFont="1" applyFill="1" applyBorder="1" applyAlignment="1">
      <alignment horizontal="center" vertical="center" wrapText="1"/>
    </xf>
    <xf numFmtId="0" fontId="112" fillId="29" borderId="10" xfId="0" applyFont="1" applyFill="1" applyBorder="1" applyAlignment="1">
      <alignment horizontal="center" vertical="center" wrapText="1"/>
    </xf>
    <xf numFmtId="0" fontId="24" fillId="25" borderId="26" xfId="0" applyFont="1" applyFill="1" applyBorder="1" applyAlignment="1">
      <alignment horizontal="center" vertical="center" wrapText="1"/>
    </xf>
    <xf numFmtId="0" fontId="24" fillId="54" borderId="26" xfId="0" applyFont="1" applyFill="1" applyBorder="1" applyAlignment="1">
      <alignment horizontal="center" vertical="center" wrapText="1"/>
    </xf>
    <xf numFmtId="0" fontId="45" fillId="29" borderId="10" xfId="0" applyFont="1" applyFill="1" applyBorder="1" applyAlignment="1">
      <alignment horizontal="center" vertical="center" wrapText="1"/>
    </xf>
    <xf numFmtId="0" fontId="112" fillId="59" borderId="10" xfId="0" applyFont="1" applyFill="1" applyBorder="1" applyAlignment="1">
      <alignment horizontal="center" vertical="center" wrapText="1"/>
    </xf>
    <xf numFmtId="0" fontId="112" fillId="59" borderId="13" xfId="0" applyFont="1" applyFill="1" applyBorder="1" applyAlignment="1">
      <alignment horizontal="center" vertical="center" wrapText="1"/>
    </xf>
    <xf numFmtId="0" fontId="24" fillId="59" borderId="10" xfId="0" applyFont="1" applyFill="1" applyBorder="1" applyAlignment="1">
      <alignment horizontal="center" vertical="center" wrapText="1"/>
    </xf>
    <xf numFmtId="0" fontId="24" fillId="59" borderId="13" xfId="0" applyFont="1" applyFill="1" applyBorder="1" applyAlignment="1">
      <alignment horizontal="center" vertical="center" wrapText="1"/>
    </xf>
    <xf numFmtId="0" fontId="24" fillId="54" borderId="33" xfId="53" applyFont="1" applyFill="1" applyBorder="1" applyAlignment="1" applyProtection="1">
      <alignment horizontal="center" vertical="center" wrapText="1"/>
    </xf>
    <xf numFmtId="0" fontId="24" fillId="54" borderId="44" xfId="53" applyFont="1" applyFill="1" applyBorder="1" applyAlignment="1" applyProtection="1">
      <alignment horizontal="center" vertical="center" wrapText="1"/>
    </xf>
    <xf numFmtId="0" fontId="24" fillId="54" borderId="34" xfId="53" applyFont="1" applyFill="1" applyBorder="1" applyAlignment="1" applyProtection="1">
      <alignment horizontal="center" vertical="center" wrapText="1"/>
    </xf>
    <xf numFmtId="0" fontId="24" fillId="54" borderId="45" xfId="53" applyFont="1" applyFill="1" applyBorder="1" applyAlignment="1" applyProtection="1">
      <alignment horizontal="center" vertical="center" wrapText="1"/>
    </xf>
    <xf numFmtId="0" fontId="24" fillId="54" borderId="35" xfId="53" applyFont="1" applyFill="1" applyBorder="1" applyAlignment="1" applyProtection="1">
      <alignment horizontal="center" vertical="center" wrapText="1"/>
    </xf>
    <xf numFmtId="0" fontId="24" fillId="54" borderId="83" xfId="53" applyFont="1" applyFill="1" applyBorder="1" applyAlignment="1" applyProtection="1">
      <alignment horizontal="center" vertical="center" wrapText="1"/>
    </xf>
    <xf numFmtId="49" fontId="24" fillId="44" borderId="10" xfId="0" applyNumberFormat="1" applyFont="1" applyFill="1" applyBorder="1" applyAlignment="1">
      <alignment horizontal="center" vertical="center" wrapText="1"/>
    </xf>
    <xf numFmtId="49" fontId="24" fillId="44" borderId="11" xfId="0" applyNumberFormat="1" applyFont="1" applyFill="1" applyBorder="1" applyAlignment="1">
      <alignment horizontal="center" vertical="center" wrapText="1"/>
    </xf>
    <xf numFmtId="49" fontId="24" fillId="44" borderId="13" xfId="0" applyNumberFormat="1" applyFont="1" applyFill="1" applyBorder="1" applyAlignment="1">
      <alignment horizontal="center" vertical="center" wrapText="1"/>
    </xf>
    <xf numFmtId="166" fontId="7" fillId="41" borderId="0" xfId="30" applyNumberFormat="1" applyFont="1" applyFill="1" applyBorder="1" applyAlignment="1" applyProtection="1">
      <alignment horizontal="left" vertical="top" wrapText="1"/>
    </xf>
    <xf numFmtId="49" fontId="24" fillId="43" borderId="44" xfId="0" applyNumberFormat="1" applyFont="1" applyFill="1" applyBorder="1" applyAlignment="1">
      <alignment horizontal="center" vertical="center" wrapText="1"/>
    </xf>
    <xf numFmtId="49" fontId="24" fillId="43" borderId="83" xfId="0" applyNumberFormat="1" applyFont="1" applyFill="1" applyBorder="1" applyAlignment="1">
      <alignment horizontal="center" vertical="center" wrapText="1"/>
    </xf>
    <xf numFmtId="49" fontId="24" fillId="43" borderId="10" xfId="0" applyNumberFormat="1" applyFont="1" applyFill="1" applyBorder="1" applyAlignment="1">
      <alignment horizontal="center" vertical="center" wrapText="1"/>
    </xf>
    <xf numFmtId="49" fontId="24" fillId="43" borderId="13" xfId="0" applyNumberFormat="1" applyFont="1" applyFill="1" applyBorder="1" applyAlignment="1">
      <alignment horizontal="center" vertical="center" wrapText="1"/>
    </xf>
    <xf numFmtId="166" fontId="7" fillId="41" borderId="0" xfId="30" applyNumberFormat="1" applyFont="1" applyFill="1" applyBorder="1" applyAlignment="1" applyProtection="1">
      <alignment horizontal="left" wrapText="1"/>
    </xf>
    <xf numFmtId="0" fontId="24" fillId="25" borderId="33" xfId="0" applyFont="1" applyFill="1" applyBorder="1" applyAlignment="1" applyProtection="1">
      <alignment horizontal="center" vertical="center" wrapText="1"/>
    </xf>
    <xf numFmtId="0" fontId="24" fillId="25" borderId="44" xfId="0" applyFont="1" applyFill="1" applyBorder="1" applyAlignment="1" applyProtection="1">
      <alignment horizontal="center" vertical="center" wrapText="1"/>
    </xf>
    <xf numFmtId="0" fontId="24" fillId="25" borderId="34" xfId="0" applyFont="1" applyFill="1" applyBorder="1" applyAlignment="1" applyProtection="1">
      <alignment horizontal="center" vertical="center" wrapText="1"/>
    </xf>
    <xf numFmtId="0" fontId="24" fillId="25" borderId="45" xfId="0" applyFont="1" applyFill="1" applyBorder="1" applyAlignment="1" applyProtection="1">
      <alignment horizontal="center" vertical="center" wrapText="1"/>
    </xf>
    <xf numFmtId="0" fontId="24" fillId="25" borderId="35" xfId="0" applyFont="1" applyFill="1" applyBorder="1" applyAlignment="1" applyProtection="1">
      <alignment horizontal="center" vertical="center" wrapText="1"/>
    </xf>
    <xf numFmtId="0" fontId="24" fillId="25" borderId="83" xfId="0" applyFont="1" applyFill="1" applyBorder="1" applyAlignment="1" applyProtection="1">
      <alignment horizontal="center" vertical="center" wrapText="1"/>
    </xf>
    <xf numFmtId="49" fontId="24" fillId="42" borderId="10" xfId="0" applyNumberFormat="1" applyFont="1" applyFill="1" applyBorder="1" applyAlignment="1">
      <alignment horizontal="center" vertical="center" wrapText="1"/>
    </xf>
    <xf numFmtId="49" fontId="24" fillId="42" borderId="13" xfId="0" applyNumberFormat="1" applyFont="1" applyFill="1" applyBorder="1" applyAlignment="1">
      <alignment horizontal="center" vertical="center" wrapText="1"/>
    </xf>
    <xf numFmtId="49" fontId="24" fillId="42" borderId="26" xfId="0" applyNumberFormat="1" applyFont="1" applyFill="1" applyBorder="1" applyAlignment="1">
      <alignment horizontal="center" vertical="center" wrapText="1"/>
    </xf>
    <xf numFmtId="49" fontId="65" fillId="27" borderId="34" xfId="0" applyNumberFormat="1" applyFont="1" applyFill="1" applyBorder="1" applyAlignment="1">
      <alignment horizontal="center" vertical="center" wrapText="1"/>
    </xf>
    <xf numFmtId="49" fontId="65" fillId="27" borderId="0" xfId="0" applyNumberFormat="1" applyFont="1" applyFill="1" applyBorder="1" applyAlignment="1">
      <alignment horizontal="center" vertical="center" wrapText="1"/>
    </xf>
    <xf numFmtId="49" fontId="65" fillId="27" borderId="45" xfId="0" applyNumberFormat="1" applyFont="1" applyFill="1" applyBorder="1" applyAlignment="1">
      <alignment horizontal="center" vertical="center" wrapText="1"/>
    </xf>
    <xf numFmtId="49" fontId="65" fillId="54" borderId="36" xfId="0" applyNumberFormat="1" applyFont="1" applyFill="1" applyBorder="1" applyAlignment="1">
      <alignment horizontal="center" vertical="center" wrapText="1"/>
    </xf>
    <xf numFmtId="49" fontId="65" fillId="54" borderId="51" xfId="0" applyNumberFormat="1" applyFont="1" applyFill="1" applyBorder="1" applyAlignment="1">
      <alignment horizontal="center" vertical="center" wrapText="1"/>
    </xf>
    <xf numFmtId="49" fontId="65" fillId="54" borderId="42" xfId="0" applyNumberFormat="1" applyFont="1" applyFill="1" applyBorder="1" applyAlignment="1">
      <alignment horizontal="center" vertical="center" wrapText="1"/>
    </xf>
    <xf numFmtId="0" fontId="131" fillId="56" borderId="10" xfId="0" applyFont="1" applyFill="1" applyBorder="1" applyAlignment="1">
      <alignment horizontal="center" vertical="center" wrapText="1"/>
    </xf>
    <xf numFmtId="0" fontId="131" fillId="56" borderId="13" xfId="0" applyFont="1" applyFill="1" applyBorder="1" applyAlignment="1">
      <alignment horizontal="center" vertical="center"/>
    </xf>
    <xf numFmtId="0" fontId="24" fillId="42" borderId="26" xfId="0" applyFont="1" applyFill="1" applyBorder="1" applyAlignment="1">
      <alignment horizontal="center" vertical="center" wrapText="1"/>
    </xf>
    <xf numFmtId="0" fontId="24" fillId="39" borderId="26" xfId="0" applyFont="1" applyFill="1" applyBorder="1" applyAlignment="1">
      <alignment horizontal="center" vertical="center" wrapText="1"/>
    </xf>
    <xf numFmtId="8" fontId="24" fillId="39" borderId="36" xfId="0" applyNumberFormat="1" applyFont="1" applyFill="1" applyBorder="1" applyAlignment="1">
      <alignment horizontal="center"/>
    </xf>
    <xf numFmtId="8" fontId="24" fillId="39" borderId="51" xfId="0" applyNumberFormat="1" applyFont="1" applyFill="1" applyBorder="1" applyAlignment="1">
      <alignment horizontal="center"/>
    </xf>
    <xf numFmtId="0" fontId="9" fillId="58" borderId="36" xfId="0" applyFont="1" applyFill="1" applyBorder="1" applyAlignment="1">
      <alignment horizontal="center"/>
    </xf>
    <xf numFmtId="0" fontId="9" fillId="58" borderId="51" xfId="0" applyFont="1" applyFill="1" applyBorder="1" applyAlignment="1">
      <alignment horizontal="center"/>
    </xf>
    <xf numFmtId="0" fontId="9" fillId="58" borderId="42" xfId="0" applyFont="1" applyFill="1" applyBorder="1" applyAlignment="1">
      <alignment horizontal="center"/>
    </xf>
    <xf numFmtId="0" fontId="24" fillId="42" borderId="10" xfId="0" applyFont="1" applyFill="1" applyBorder="1" applyAlignment="1">
      <alignment horizontal="center" vertical="center" wrapText="1"/>
    </xf>
    <xf numFmtId="0" fontId="24" fillId="42" borderId="13" xfId="0" applyFont="1" applyFill="1" applyBorder="1" applyAlignment="1">
      <alignment horizontal="center" vertical="center" wrapText="1"/>
    </xf>
    <xf numFmtId="8" fontId="24" fillId="54" borderId="36" xfId="0" applyNumberFormat="1" applyFont="1" applyFill="1" applyBorder="1" applyAlignment="1">
      <alignment horizontal="center"/>
    </xf>
    <xf numFmtId="8" fontId="24" fillId="54" borderId="51" xfId="0" applyNumberFormat="1" applyFont="1" applyFill="1" applyBorder="1" applyAlignment="1">
      <alignment horizontal="center"/>
    </xf>
    <xf numFmtId="8" fontId="24" fillId="54" borderId="42" xfId="0" applyNumberFormat="1" applyFont="1" applyFill="1" applyBorder="1" applyAlignment="1">
      <alignment horizontal="center"/>
    </xf>
    <xf numFmtId="0" fontId="24" fillId="56" borderId="26" xfId="0" applyFont="1" applyFill="1" applyBorder="1" applyAlignment="1">
      <alignment horizontal="center" vertical="center" wrapText="1"/>
    </xf>
    <xf numFmtId="0" fontId="24" fillId="25" borderId="11" xfId="0" applyFont="1" applyFill="1" applyBorder="1" applyAlignment="1">
      <alignment horizontal="center" vertical="center"/>
    </xf>
    <xf numFmtId="0" fontId="24" fillId="25" borderId="13" xfId="0" applyFont="1" applyFill="1" applyBorder="1" applyAlignment="1">
      <alignment horizontal="center" vertical="center"/>
    </xf>
    <xf numFmtId="0" fontId="46" fillId="27" borderId="36" xfId="0" applyFont="1" applyFill="1" applyBorder="1" applyAlignment="1">
      <alignment horizontal="center" vertical="center" wrapText="1"/>
    </xf>
    <xf numFmtId="0" fontId="46" fillId="27" borderId="51" xfId="0" applyFont="1" applyFill="1" applyBorder="1" applyAlignment="1">
      <alignment horizontal="center" vertical="center" wrapText="1"/>
    </xf>
    <xf numFmtId="0" fontId="46" fillId="27" borderId="42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0" fontId="63" fillId="27" borderId="11" xfId="0" applyFont="1" applyFill="1" applyBorder="1" applyAlignment="1">
      <alignment vertical="center"/>
    </xf>
    <xf numFmtId="0" fontId="63" fillId="27" borderId="13" xfId="0" applyFont="1" applyFill="1" applyBorder="1" applyAlignment="1">
      <alignment vertical="center"/>
    </xf>
    <xf numFmtId="0" fontId="41" fillId="27" borderId="10" xfId="0" quotePrefix="1" applyFont="1" applyFill="1" applyBorder="1" applyAlignment="1">
      <alignment horizontal="center" vertical="center" wrapText="1"/>
    </xf>
    <xf numFmtId="0" fontId="18" fillId="25" borderId="10" xfId="0" applyFont="1" applyFill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 wrapText="1"/>
    </xf>
    <xf numFmtId="0" fontId="18" fillId="25" borderId="13" xfId="0" applyFont="1" applyFill="1" applyBorder="1" applyAlignment="1">
      <alignment horizontal="center" vertical="center"/>
    </xf>
    <xf numFmtId="0" fontId="41" fillId="25" borderId="26" xfId="0" applyFont="1" applyFill="1" applyBorder="1" applyAlignment="1">
      <alignment horizontal="center" vertical="center" wrapText="1"/>
    </xf>
    <xf numFmtId="0" fontId="41" fillId="25" borderId="26" xfId="0" applyFont="1" applyFill="1" applyBorder="1" applyAlignment="1">
      <alignment horizontal="center" wrapText="1"/>
    </xf>
    <xf numFmtId="0" fontId="19" fillId="25" borderId="10" xfId="0" applyFont="1" applyFill="1" applyBorder="1" applyAlignment="1">
      <alignment horizontal="center" wrapText="1"/>
    </xf>
    <xf numFmtId="0" fontId="19" fillId="25" borderId="11" xfId="0" applyFont="1" applyFill="1" applyBorder="1" applyAlignment="1">
      <alignment horizontal="center" wrapText="1"/>
    </xf>
    <xf numFmtId="0" fontId="33" fillId="25" borderId="13" xfId="0" applyFont="1" applyFill="1" applyBorder="1" applyAlignment="1">
      <alignment horizontal="center" wrapText="1"/>
    </xf>
    <xf numFmtId="0" fontId="46" fillId="27" borderId="36" xfId="0" applyFont="1" applyFill="1" applyBorder="1" applyAlignment="1">
      <alignment horizontal="center" vertical="center"/>
    </xf>
    <xf numFmtId="0" fontId="46" fillId="27" borderId="51" xfId="0" applyFont="1" applyFill="1" applyBorder="1" applyAlignment="1">
      <alignment horizontal="center" vertical="center"/>
    </xf>
    <xf numFmtId="0" fontId="24" fillId="25" borderId="26" xfId="0" applyFont="1" applyFill="1" applyBorder="1" applyAlignment="1">
      <alignment horizontal="center" wrapText="1"/>
    </xf>
    <xf numFmtId="0" fontId="34" fillId="0" borderId="36" xfId="0" applyFont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46" fillId="27" borderId="42" xfId="0" applyFont="1" applyFill="1" applyBorder="1" applyAlignment="1">
      <alignment horizontal="center" vertical="center"/>
    </xf>
    <xf numFmtId="0" fontId="67" fillId="27" borderId="36" xfId="0" quotePrefix="1" applyFont="1" applyFill="1" applyBorder="1" applyAlignment="1">
      <alignment horizontal="center" vertical="center"/>
    </xf>
    <xf numFmtId="0" fontId="67" fillId="27" borderId="51" xfId="0" quotePrefix="1" applyFont="1" applyFill="1" applyBorder="1" applyAlignment="1">
      <alignment horizontal="center" vertical="center"/>
    </xf>
    <xf numFmtId="0" fontId="59" fillId="0" borderId="51" xfId="0" applyFont="1" applyBorder="1" applyAlignment="1">
      <alignment horizontal="center" vertical="center"/>
    </xf>
    <xf numFmtId="0" fontId="59" fillId="0" borderId="42" xfId="0" applyFont="1" applyBorder="1" applyAlignment="1">
      <alignment horizontal="center" vertical="center"/>
    </xf>
  </cellXfs>
  <cellStyles count="6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3" xfId="30"/>
    <cellStyle name="Comma 3 2" xfId="54"/>
    <cellStyle name="Comma 4" xfId="31"/>
    <cellStyle name="Comma 5" xfId="57"/>
    <cellStyle name="Comma 6" xfId="63"/>
    <cellStyle name="Currency" xfId="32" builtinId="4"/>
    <cellStyle name="Currency 2" xfId="33"/>
    <cellStyle name="Currency 3" xfId="34"/>
    <cellStyle name="Currency 3 2" xfId="56"/>
    <cellStyle name="Explanatory Text" xfId="35" builtinId="53" customBuiltin="1"/>
    <cellStyle name="Good" xfId="36" builtinId="26" customBuiltin="1"/>
    <cellStyle name="Heading 1" xfId="37" builtinId="16" customBuiltin="1"/>
    <cellStyle name="Heading 2" xfId="38" builtinId="17" customBuiltin="1"/>
    <cellStyle name="Heading 3" xfId="39" builtinId="18" customBuiltin="1"/>
    <cellStyle name="Heading 4" xfId="40" builtinId="19" customBuiltin="1"/>
    <cellStyle name="Input" xfId="41" builtinId="20" customBuiltin="1"/>
    <cellStyle name="Linked Cell" xfId="42" builtinId="24" customBuiltin="1"/>
    <cellStyle name="Neutral" xfId="43" builtinId="28" customBuiltin="1"/>
    <cellStyle name="Normal" xfId="0" builtinId="0"/>
    <cellStyle name="Normal 2" xfId="44"/>
    <cellStyle name="Normal 3" xfId="53"/>
    <cellStyle name="Normal 4" xfId="60"/>
    <cellStyle name="Normal 5" xfId="61"/>
    <cellStyle name="Normal 6" xfId="62"/>
    <cellStyle name="Normal 8" xfId="58"/>
    <cellStyle name="Normal 9" xfId="59"/>
    <cellStyle name="Normal_Sheet1" xfId="45"/>
    <cellStyle name="Normal_Sheet1 3" xfId="65"/>
    <cellStyle name="Normal_Sheet2" xfId="64"/>
    <cellStyle name="Note" xfId="46" builtinId="10" customBuiltin="1"/>
    <cellStyle name="Output" xfId="47" builtinId="21" customBuiltin="1"/>
    <cellStyle name="Percent" xfId="48" builtinId="5"/>
    <cellStyle name="Percent 2" xfId="49"/>
    <cellStyle name="Percent 2 2" xfId="55"/>
    <cellStyle name="Title" xfId="50" builtinId="15" customBuiltin="1"/>
    <cellStyle name="Total" xfId="51" builtinId="25" customBuiltin="1"/>
    <cellStyle name="Warning Text" xfId="52" builtinId="11" customBuiltin="1"/>
  </cellStyles>
  <dxfs count="0"/>
  <tableStyles count="0" defaultTableStyle="TableStyleMedium9" defaultPivotStyle="PivotStyleLight16"/>
  <colors>
    <mruColors>
      <color rgb="FFCCFFFF"/>
      <color rgb="FFCCFFCC"/>
      <color rgb="FFFF99CC"/>
      <color rgb="FF000066"/>
      <color rgb="FFFFFF99"/>
      <color rgb="FFB7DEE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externalLink" Target="externalLinks/externalLink1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ouisianaschools.net/mf/EFS/MFPAdm/MFP%20Budget%20Letter/2012-2013_being%20developed/RSD%20Orleans%20Allocations/JULY%202012_RSD%20ORLEANS%20ALLOCATION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ouisianaschools.net/mf/EFS/MFPAdm/MFP%20Budget%20Letter/2012-2013_being%20developed/Student%20Data/OJJ/004908AdmForOjj_11-12%20ADM_Final%20for%2012-13%20MFP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ouisianaschools.net/mf/EFS/MFPAdm/MFP%20Budget%20Letter/2012-2013_being%20developed/Student%20Data/SSD/SSD%202-1-12%20MFP%20WEighted%20coun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ouisianaschools.net/mf/EFS/MFPAdm/MFP%20Budget%20Letter/2012-2013_being%20developed/Student%20Data/SIS/February%202012/Feb%201,%202012%20MFP%20At-Risk%20Counts%20using%20Updated%20Address%20Da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ouisianaschools.net/mf/EFS/MFPAdm/MFP%20Budget%20Letter/2012-2013_being%20developed/Student%20Data/CTE_LEADS/Career%20and%20Tech%20Ed_10-1-11_corrected_address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ouisianaschools.net/mf/EFS/MFPAdm/MFP%20Budget%20Letter/2012-2013_being%20developed/Student%20Data/SER/Feb%202012%20SER%20Data_MFP%202012%20w%20AddressFix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ouisianaschools.net/mf/EFS/MFPAdm/MFP%20Budget%20Letter/2011-2012/Budget%20Letters/July/FY2011-12%20MFP%20Budget%20Letter_July%202011_T2A%20Revise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S01\doe\mf\EFS\MFPAdm\MFP%20Budget%20Letter\2009-2010\Final%20Budget%20Letter\July%202009\FY2009-10%20MFP%20BUDGET%20LETTER_JULY%202009_Revised%20RSD%20&amp;%20OPSB%20&amp;%20EB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ouisianaschools.net/mf/EFS/MFPAdm/MFP%20Budget%20Letter/2011-2012/Student%20Data/OJJ/Preliminary%2010-11%20ADM%20for%2011-12%20MFP_Jul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ouisianaschools.net/mf/EFS/EDFIN_AC/Charters/2012-13/Per%20Pupil%20Calculations/Copy%20of%20FY2012-13%20Initial%20Per%20Pupil%20Amounts_July%20201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ouisianaschools.net/mf/EFS/MFPAdm/MFP%20Budget%20Letter/2012-2013_being%20developed/Prior%20Year%20Adjusted%20Budget%20Letters/FY2011-12%20Adjusted%20BL_CAFR,%20Base%20and%20October%20midyear/October%20Midyear%20Adjustment_FY2011-1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 Sheet"/>
      <sheetName val="July 2012-13 Allocation"/>
    </sheetNames>
    <sheetDataSet>
      <sheetData sheetId="0"/>
      <sheetData sheetId="1">
        <row r="66">
          <cell r="U66">
            <v>-245832.33749999991</v>
          </cell>
          <cell r="Y66">
            <v>9735629.9718750007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etail"/>
      <sheetName val="Summary"/>
      <sheetName val="Summary for MFP"/>
    </sheetNames>
    <sheetDataSet>
      <sheetData sheetId="0"/>
      <sheetData sheetId="1"/>
      <sheetData sheetId="2">
        <row r="7">
          <cell r="E7">
            <v>2.2890630000000001</v>
          </cell>
        </row>
        <row r="9">
          <cell r="E9">
            <v>2</v>
          </cell>
        </row>
        <row r="10">
          <cell r="E10">
            <v>0.86</v>
          </cell>
        </row>
        <row r="11">
          <cell r="E11">
            <v>4.1400430000000004</v>
          </cell>
        </row>
        <row r="12">
          <cell r="E12">
            <v>1.6027</v>
          </cell>
        </row>
        <row r="14">
          <cell r="E14">
            <v>5.3072299999999997</v>
          </cell>
        </row>
        <row r="15">
          <cell r="E15">
            <v>32.452984000000001</v>
          </cell>
        </row>
        <row r="16">
          <cell r="E16">
            <v>7.8530309999999997</v>
          </cell>
        </row>
        <row r="21">
          <cell r="E21">
            <v>2.3279999999999998</v>
          </cell>
        </row>
        <row r="22">
          <cell r="E22">
            <v>2.242569</v>
          </cell>
        </row>
        <row r="23">
          <cell r="E23">
            <v>39.355055</v>
          </cell>
        </row>
        <row r="24">
          <cell r="E24">
            <v>1.629084</v>
          </cell>
        </row>
        <row r="25">
          <cell r="E25">
            <v>0.31707299999999999</v>
          </cell>
        </row>
        <row r="26">
          <cell r="E26">
            <v>4.6866770000000004</v>
          </cell>
        </row>
        <row r="27">
          <cell r="E27">
            <v>4.0270669999999997</v>
          </cell>
        </row>
        <row r="28">
          <cell r="E28">
            <v>0.22764200000000001</v>
          </cell>
        </row>
        <row r="29">
          <cell r="E29">
            <v>6.0642379999999996</v>
          </cell>
        </row>
        <row r="30">
          <cell r="E30">
            <v>1.872987</v>
          </cell>
        </row>
        <row r="31">
          <cell r="E31">
            <v>0.39566400000000002</v>
          </cell>
        </row>
        <row r="32">
          <cell r="E32">
            <v>34.762673999999997</v>
          </cell>
        </row>
        <row r="33">
          <cell r="E33">
            <v>2.64</v>
          </cell>
        </row>
        <row r="34">
          <cell r="E34">
            <v>7.5385470000000003</v>
          </cell>
        </row>
        <row r="35">
          <cell r="E35">
            <v>18.863023999999999</v>
          </cell>
        </row>
        <row r="37">
          <cell r="E37">
            <v>1.496</v>
          </cell>
        </row>
        <row r="38">
          <cell r="E38">
            <v>3.2524009999999999</v>
          </cell>
        </row>
        <row r="39">
          <cell r="E39">
            <v>5.1424180000000002</v>
          </cell>
        </row>
        <row r="40">
          <cell r="E40">
            <v>2.077636</v>
          </cell>
        </row>
        <row r="41">
          <cell r="E41">
            <v>1.296</v>
          </cell>
        </row>
        <row r="42">
          <cell r="E42">
            <v>33.180213000000002</v>
          </cell>
        </row>
        <row r="43">
          <cell r="E43">
            <v>2.6449859999999998</v>
          </cell>
        </row>
        <row r="44">
          <cell r="E44">
            <v>0.49322500000000002</v>
          </cell>
        </row>
        <row r="45">
          <cell r="E45">
            <v>1.88697</v>
          </cell>
        </row>
        <row r="46">
          <cell r="E46">
            <v>3.7218420000000001</v>
          </cell>
        </row>
        <row r="47">
          <cell r="E47">
            <v>0.752</v>
          </cell>
        </row>
        <row r="48">
          <cell r="E48">
            <v>2.6233050000000002</v>
          </cell>
        </row>
        <row r="49">
          <cell r="E49">
            <v>0.22026000000000001</v>
          </cell>
        </row>
        <row r="50">
          <cell r="E50">
            <v>0.79735500000000004</v>
          </cell>
        </row>
        <row r="51">
          <cell r="E51">
            <v>2.4873289999999999</v>
          </cell>
        </row>
        <row r="54">
          <cell r="E54">
            <v>0</v>
          </cell>
        </row>
        <row r="55">
          <cell r="E55">
            <v>5.3381990000000004</v>
          </cell>
        </row>
        <row r="56">
          <cell r="E56">
            <v>4.3232080000000002</v>
          </cell>
        </row>
        <row r="57">
          <cell r="E57">
            <v>1.831979</v>
          </cell>
        </row>
        <row r="58">
          <cell r="E58">
            <v>13.215285</v>
          </cell>
        </row>
        <row r="59">
          <cell r="E59">
            <v>8.5482180000000003</v>
          </cell>
        </row>
        <row r="60">
          <cell r="E60">
            <v>2.1395119999999999</v>
          </cell>
        </row>
        <row r="61">
          <cell r="E61">
            <v>13.236518</v>
          </cell>
        </row>
        <row r="63">
          <cell r="E63">
            <v>2.748532</v>
          </cell>
        </row>
        <row r="64">
          <cell r="E64">
            <v>0.54800000000000004</v>
          </cell>
        </row>
        <row r="65">
          <cell r="E65">
            <v>3.8155779999999999</v>
          </cell>
        </row>
        <row r="66">
          <cell r="E66">
            <v>3.513636</v>
          </cell>
        </row>
        <row r="67">
          <cell r="E67">
            <v>2.7744490000000002</v>
          </cell>
        </row>
        <row r="68">
          <cell r="E68">
            <v>0.346883</v>
          </cell>
        </row>
        <row r="69">
          <cell r="E69">
            <v>1.487805</v>
          </cell>
        </row>
        <row r="71">
          <cell r="E71">
            <v>1.232</v>
          </cell>
        </row>
        <row r="73">
          <cell r="E73">
            <v>7.1999999999999995E-2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Table 5A4_LSDVI"/>
      <sheetName val="Table 5A5_SSD"/>
    </sheetNames>
    <sheetDataSet>
      <sheetData sheetId="0"/>
      <sheetData sheetId="1">
        <row r="5">
          <cell r="C5">
            <v>2</v>
          </cell>
        </row>
        <row r="6">
          <cell r="C6">
            <v>1</v>
          </cell>
        </row>
        <row r="7">
          <cell r="C7">
            <v>6</v>
          </cell>
        </row>
        <row r="8">
          <cell r="C8">
            <v>3</v>
          </cell>
        </row>
        <row r="9">
          <cell r="C9">
            <v>4</v>
          </cell>
        </row>
        <row r="10">
          <cell r="C10">
            <v>2</v>
          </cell>
        </row>
        <row r="11">
          <cell r="C11">
            <v>0</v>
          </cell>
        </row>
        <row r="12">
          <cell r="C12">
            <v>2</v>
          </cell>
        </row>
        <row r="13">
          <cell r="C13">
            <v>7</v>
          </cell>
        </row>
        <row r="14">
          <cell r="C14">
            <v>7</v>
          </cell>
        </row>
        <row r="15">
          <cell r="C15">
            <v>0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17</v>
          </cell>
        </row>
        <row r="22">
          <cell r="C22">
            <v>0</v>
          </cell>
        </row>
        <row r="23">
          <cell r="C23">
            <v>14</v>
          </cell>
        </row>
        <row r="24">
          <cell r="C24">
            <v>4</v>
          </cell>
        </row>
        <row r="25">
          <cell r="C25">
            <v>1</v>
          </cell>
        </row>
        <row r="26">
          <cell r="C26">
            <v>4</v>
          </cell>
        </row>
        <row r="27">
          <cell r="C27">
            <v>7</v>
          </cell>
        </row>
        <row r="28">
          <cell r="C28">
            <v>1</v>
          </cell>
        </row>
        <row r="29">
          <cell r="C29">
            <v>0</v>
          </cell>
        </row>
        <row r="30">
          <cell r="C30">
            <v>27</v>
          </cell>
        </row>
        <row r="31">
          <cell r="C31">
            <v>1</v>
          </cell>
        </row>
        <row r="32">
          <cell r="C32">
            <v>7</v>
          </cell>
        </row>
        <row r="33">
          <cell r="C33">
            <v>3</v>
          </cell>
        </row>
        <row r="34">
          <cell r="C34">
            <v>1</v>
          </cell>
        </row>
        <row r="35">
          <cell r="C35">
            <v>5</v>
          </cell>
        </row>
        <row r="36">
          <cell r="C36">
            <v>13</v>
          </cell>
        </row>
        <row r="37">
          <cell r="C37">
            <v>2</v>
          </cell>
        </row>
        <row r="38">
          <cell r="C38">
            <v>0</v>
          </cell>
        </row>
        <row r="39">
          <cell r="C39">
            <v>1</v>
          </cell>
        </row>
        <row r="40">
          <cell r="C40">
            <v>39</v>
          </cell>
        </row>
        <row r="41">
          <cell r="C41">
            <v>7</v>
          </cell>
        </row>
        <row r="42">
          <cell r="C42">
            <v>0</v>
          </cell>
        </row>
        <row r="43">
          <cell r="C43">
            <v>1</v>
          </cell>
        </row>
        <row r="44">
          <cell r="C44">
            <v>24</v>
          </cell>
        </row>
        <row r="45">
          <cell r="C45">
            <v>2</v>
          </cell>
        </row>
        <row r="46">
          <cell r="C46">
            <v>1</v>
          </cell>
        </row>
        <row r="47">
          <cell r="C47">
            <v>0</v>
          </cell>
        </row>
        <row r="48">
          <cell r="C48">
            <v>2</v>
          </cell>
        </row>
        <row r="49">
          <cell r="C49">
            <v>4</v>
          </cell>
        </row>
        <row r="50">
          <cell r="C50">
            <v>0</v>
          </cell>
        </row>
        <row r="51">
          <cell r="C51">
            <v>0</v>
          </cell>
        </row>
        <row r="52">
          <cell r="C52">
            <v>0</v>
          </cell>
        </row>
        <row r="53">
          <cell r="C53">
            <v>2</v>
          </cell>
        </row>
        <row r="54">
          <cell r="C54">
            <v>0</v>
          </cell>
        </row>
        <row r="55">
          <cell r="C55">
            <v>5</v>
          </cell>
        </row>
        <row r="56">
          <cell r="C56">
            <v>17</v>
          </cell>
        </row>
        <row r="57">
          <cell r="C57">
            <v>7</v>
          </cell>
        </row>
        <row r="58">
          <cell r="C58">
            <v>0</v>
          </cell>
        </row>
        <row r="59">
          <cell r="C59">
            <v>7</v>
          </cell>
        </row>
        <row r="60">
          <cell r="C60">
            <v>0</v>
          </cell>
        </row>
        <row r="61">
          <cell r="C61">
            <v>2</v>
          </cell>
        </row>
        <row r="62">
          <cell r="C62">
            <v>2</v>
          </cell>
        </row>
        <row r="63">
          <cell r="C63">
            <v>7</v>
          </cell>
        </row>
        <row r="64">
          <cell r="C64">
            <v>3</v>
          </cell>
        </row>
        <row r="65">
          <cell r="C65">
            <v>3</v>
          </cell>
        </row>
        <row r="66">
          <cell r="C66">
            <v>2</v>
          </cell>
        </row>
        <row r="67">
          <cell r="C67">
            <v>1</v>
          </cell>
        </row>
        <row r="68">
          <cell r="C68">
            <v>1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2</v>
          </cell>
        </row>
        <row r="72">
          <cell r="C72">
            <v>0</v>
          </cell>
        </row>
        <row r="73">
          <cell r="C73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otalled for Table 3"/>
      <sheetName val="Orig"/>
    </sheetNames>
    <sheetDataSet>
      <sheetData sheetId="0">
        <row r="4">
          <cell r="AD4">
            <v>6585</v>
          </cell>
        </row>
        <row r="5">
          <cell r="AD5">
            <v>2645</v>
          </cell>
        </row>
        <row r="6">
          <cell r="AD6">
            <v>9763</v>
          </cell>
        </row>
        <row r="7">
          <cell r="AD7">
            <v>2496</v>
          </cell>
        </row>
        <row r="8">
          <cell r="AD8">
            <v>5285</v>
          </cell>
        </row>
        <row r="9">
          <cell r="AD9">
            <v>3259</v>
          </cell>
        </row>
        <row r="10">
          <cell r="AD10">
            <v>1572</v>
          </cell>
        </row>
        <row r="11">
          <cell r="AD11">
            <v>9575</v>
          </cell>
        </row>
        <row r="12">
          <cell r="AD12">
            <v>27542</v>
          </cell>
        </row>
        <row r="13">
          <cell r="AD13">
            <v>19223</v>
          </cell>
        </row>
        <row r="14">
          <cell r="AD14">
            <v>1099</v>
          </cell>
        </row>
        <row r="15">
          <cell r="AD15">
            <v>570</v>
          </cell>
        </row>
        <row r="16">
          <cell r="AD16">
            <v>1144</v>
          </cell>
        </row>
        <row r="17">
          <cell r="AD17">
            <v>1448</v>
          </cell>
        </row>
        <row r="18">
          <cell r="AD18">
            <v>2820</v>
          </cell>
        </row>
        <row r="19">
          <cell r="AD19">
            <v>3020</v>
          </cell>
        </row>
        <row r="20">
          <cell r="AD20">
            <v>36815</v>
          </cell>
        </row>
        <row r="21">
          <cell r="AD21">
            <v>1089</v>
          </cell>
        </row>
        <row r="22">
          <cell r="AD22">
            <v>1692</v>
          </cell>
        </row>
        <row r="23">
          <cell r="AD23">
            <v>4677</v>
          </cell>
        </row>
        <row r="24">
          <cell r="AD24">
            <v>2461</v>
          </cell>
        </row>
        <row r="25">
          <cell r="AD25">
            <v>2177</v>
          </cell>
        </row>
        <row r="26">
          <cell r="AD26">
            <v>9731</v>
          </cell>
        </row>
        <row r="27">
          <cell r="AD27">
            <v>3666</v>
          </cell>
        </row>
        <row r="28">
          <cell r="AD28">
            <v>1398</v>
          </cell>
        </row>
        <row r="29">
          <cell r="AD29">
            <v>34901</v>
          </cell>
        </row>
        <row r="30">
          <cell r="AD30">
            <v>3309</v>
          </cell>
        </row>
        <row r="31">
          <cell r="AD31">
            <v>18105</v>
          </cell>
        </row>
        <row r="32">
          <cell r="AD32">
            <v>8274</v>
          </cell>
        </row>
        <row r="33">
          <cell r="AD33">
            <v>1318</v>
          </cell>
        </row>
        <row r="34">
          <cell r="AD34">
            <v>3881</v>
          </cell>
        </row>
        <row r="35">
          <cell r="AD35">
            <v>12254</v>
          </cell>
        </row>
        <row r="36">
          <cell r="AD36">
            <v>1806</v>
          </cell>
        </row>
        <row r="37">
          <cell r="AD37">
            <v>3719</v>
          </cell>
        </row>
        <row r="38">
          <cell r="AD38">
            <v>4796</v>
          </cell>
        </row>
        <row r="39">
          <cell r="AD39">
            <v>37270</v>
          </cell>
        </row>
        <row r="40">
          <cell r="AD40">
            <v>11428</v>
          </cell>
        </row>
        <row r="41">
          <cell r="AD41">
            <v>2669</v>
          </cell>
        </row>
        <row r="42">
          <cell r="AD42">
            <v>2444</v>
          </cell>
        </row>
        <row r="43">
          <cell r="AD43">
            <v>16259</v>
          </cell>
        </row>
        <row r="44">
          <cell r="AD44">
            <v>1229</v>
          </cell>
        </row>
        <row r="45">
          <cell r="AD45">
            <v>3078</v>
          </cell>
        </row>
        <row r="46">
          <cell r="AD46">
            <v>2762</v>
          </cell>
        </row>
        <row r="47">
          <cell r="AD47">
            <v>4460</v>
          </cell>
        </row>
        <row r="48">
          <cell r="AD48">
            <v>4849</v>
          </cell>
        </row>
        <row r="49">
          <cell r="AD49">
            <v>1023</v>
          </cell>
        </row>
        <row r="50">
          <cell r="AD50">
            <v>2586</v>
          </cell>
        </row>
        <row r="51">
          <cell r="AD51">
            <v>5314</v>
          </cell>
        </row>
        <row r="52">
          <cell r="AD52">
            <v>11393</v>
          </cell>
        </row>
        <row r="53">
          <cell r="AD53">
            <v>6062</v>
          </cell>
        </row>
        <row r="54">
          <cell r="AD54">
            <v>6834</v>
          </cell>
        </row>
        <row r="55">
          <cell r="AD55">
            <v>16991</v>
          </cell>
        </row>
        <row r="56">
          <cell r="AD56">
            <v>14422</v>
          </cell>
        </row>
        <row r="57">
          <cell r="AD57">
            <v>669</v>
          </cell>
        </row>
        <row r="58">
          <cell r="AD58">
            <v>11833</v>
          </cell>
        </row>
        <row r="59">
          <cell r="AD59">
            <v>2107</v>
          </cell>
        </row>
        <row r="60">
          <cell r="AD60">
            <v>5208</v>
          </cell>
        </row>
        <row r="61">
          <cell r="AD61">
            <v>5588</v>
          </cell>
        </row>
        <row r="62">
          <cell r="AD62">
            <v>4353</v>
          </cell>
        </row>
        <row r="63">
          <cell r="AD63">
            <v>3939</v>
          </cell>
        </row>
        <row r="64">
          <cell r="AD64">
            <v>2505</v>
          </cell>
        </row>
        <row r="65">
          <cell r="AD65">
            <v>1617</v>
          </cell>
        </row>
        <row r="66">
          <cell r="AD66">
            <v>1045</v>
          </cell>
        </row>
        <row r="67">
          <cell r="AD67">
            <v>1759</v>
          </cell>
        </row>
        <row r="68">
          <cell r="AD68">
            <v>7034</v>
          </cell>
        </row>
        <row r="69">
          <cell r="AD69">
            <v>1926</v>
          </cell>
        </row>
        <row r="70">
          <cell r="AD70">
            <v>2272</v>
          </cell>
        </row>
        <row r="71">
          <cell r="AD71">
            <v>1405</v>
          </cell>
        </row>
        <row r="72">
          <cell r="AD72">
            <v>1984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Units-Corrected_for Table 3"/>
      <sheetName val="Units-Corrected_orig"/>
      <sheetName val="Units-Original-old don't use"/>
    </sheetNames>
    <sheetDataSet>
      <sheetData sheetId="0">
        <row r="12">
          <cell r="T12">
            <v>2695</v>
          </cell>
        </row>
        <row r="13">
          <cell r="T13">
            <v>1201</v>
          </cell>
        </row>
        <row r="14">
          <cell r="T14">
            <v>6719</v>
          </cell>
        </row>
        <row r="15">
          <cell r="T15">
            <v>1958.5</v>
          </cell>
        </row>
        <row r="16">
          <cell r="T16">
            <v>2272</v>
          </cell>
        </row>
        <row r="17">
          <cell r="T17">
            <v>1772.5</v>
          </cell>
        </row>
        <row r="18">
          <cell r="T18">
            <v>824</v>
          </cell>
        </row>
        <row r="19">
          <cell r="T19">
            <v>5752</v>
          </cell>
        </row>
        <row r="20">
          <cell r="T20">
            <v>10910</v>
          </cell>
        </row>
        <row r="21">
          <cell r="T21">
            <v>7918.5</v>
          </cell>
        </row>
        <row r="22">
          <cell r="T22">
            <v>641.5</v>
          </cell>
        </row>
        <row r="23">
          <cell r="T23">
            <v>432.5</v>
          </cell>
        </row>
        <row r="24">
          <cell r="T24">
            <v>701.5</v>
          </cell>
        </row>
        <row r="25">
          <cell r="T25">
            <v>523.5</v>
          </cell>
        </row>
        <row r="26">
          <cell r="T26">
            <v>1159</v>
          </cell>
        </row>
        <row r="27">
          <cell r="T27">
            <v>1342.5</v>
          </cell>
        </row>
        <row r="28">
          <cell r="T28">
            <v>13831.5</v>
          </cell>
        </row>
        <row r="29">
          <cell r="T29">
            <v>451.5</v>
          </cell>
        </row>
        <row r="30">
          <cell r="T30">
            <v>674</v>
          </cell>
        </row>
        <row r="31">
          <cell r="T31">
            <v>1941</v>
          </cell>
        </row>
        <row r="32">
          <cell r="T32">
            <v>1214.5</v>
          </cell>
        </row>
        <row r="33">
          <cell r="T33">
            <v>839.5</v>
          </cell>
        </row>
        <row r="34">
          <cell r="T34">
            <v>5556</v>
          </cell>
        </row>
        <row r="35">
          <cell r="T35">
            <v>1206.5</v>
          </cell>
        </row>
        <row r="36">
          <cell r="T36">
            <v>1195</v>
          </cell>
        </row>
        <row r="37">
          <cell r="T37">
            <v>12296.5</v>
          </cell>
        </row>
        <row r="38">
          <cell r="T38">
            <v>1877.5</v>
          </cell>
        </row>
        <row r="39">
          <cell r="T39">
            <v>7350.5</v>
          </cell>
        </row>
        <row r="40">
          <cell r="T40">
            <v>6266.5</v>
          </cell>
        </row>
        <row r="41">
          <cell r="T41">
            <v>854</v>
          </cell>
        </row>
        <row r="42">
          <cell r="T42">
            <v>2066.5</v>
          </cell>
        </row>
        <row r="43">
          <cell r="T43">
            <v>10252.5</v>
          </cell>
        </row>
        <row r="44">
          <cell r="T44">
            <v>721</v>
          </cell>
        </row>
        <row r="45">
          <cell r="T45">
            <v>1388.5</v>
          </cell>
        </row>
        <row r="46">
          <cell r="T46">
            <v>1794</v>
          </cell>
        </row>
        <row r="47">
          <cell r="T47">
            <v>6354.5</v>
          </cell>
        </row>
        <row r="48">
          <cell r="T48">
            <v>4203</v>
          </cell>
        </row>
        <row r="49">
          <cell r="T49">
            <v>807</v>
          </cell>
        </row>
        <row r="50">
          <cell r="T50">
            <v>842</v>
          </cell>
        </row>
        <row r="51">
          <cell r="T51">
            <v>9892</v>
          </cell>
        </row>
        <row r="52">
          <cell r="T52">
            <v>777.5</v>
          </cell>
        </row>
        <row r="53">
          <cell r="T53">
            <v>1049</v>
          </cell>
        </row>
        <row r="54">
          <cell r="T54">
            <v>1659</v>
          </cell>
        </row>
        <row r="55">
          <cell r="T55">
            <v>1615.5</v>
          </cell>
        </row>
        <row r="56">
          <cell r="T56">
            <v>3795</v>
          </cell>
        </row>
        <row r="57">
          <cell r="T57">
            <v>515.5</v>
          </cell>
        </row>
        <row r="58">
          <cell r="T58">
            <v>1659.5</v>
          </cell>
        </row>
        <row r="59">
          <cell r="T59">
            <v>1964.5</v>
          </cell>
        </row>
        <row r="60">
          <cell r="T60">
            <v>4464.5</v>
          </cell>
        </row>
        <row r="61">
          <cell r="T61">
            <v>3204</v>
          </cell>
        </row>
        <row r="62">
          <cell r="T62">
            <v>2989.5</v>
          </cell>
        </row>
        <row r="63">
          <cell r="T63">
            <v>15923.5</v>
          </cell>
        </row>
        <row r="64">
          <cell r="T64">
            <v>6985.5</v>
          </cell>
        </row>
        <row r="65">
          <cell r="T65">
            <v>258</v>
          </cell>
        </row>
        <row r="66">
          <cell r="T66">
            <v>6451.5</v>
          </cell>
        </row>
        <row r="67">
          <cell r="T67">
            <v>798.5</v>
          </cell>
        </row>
        <row r="68">
          <cell r="T68">
            <v>3017.5</v>
          </cell>
        </row>
        <row r="69">
          <cell r="T69">
            <v>2853</v>
          </cell>
        </row>
        <row r="70">
          <cell r="T70">
            <v>1955.5</v>
          </cell>
        </row>
        <row r="71">
          <cell r="T71">
            <v>2789</v>
          </cell>
        </row>
        <row r="72">
          <cell r="T72">
            <v>1081.5</v>
          </cell>
        </row>
        <row r="73">
          <cell r="T73">
            <v>697</v>
          </cell>
        </row>
        <row r="74">
          <cell r="T74">
            <v>718.5</v>
          </cell>
        </row>
        <row r="75">
          <cell r="T75">
            <v>1166</v>
          </cell>
        </row>
        <row r="76">
          <cell r="T76">
            <v>1953.5</v>
          </cell>
        </row>
        <row r="77">
          <cell r="T77">
            <v>479</v>
          </cell>
        </row>
        <row r="78">
          <cell r="T78">
            <v>1419</v>
          </cell>
        </row>
        <row r="79">
          <cell r="T79">
            <v>607</v>
          </cell>
        </row>
        <row r="80">
          <cell r="T80">
            <v>1304.5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isabling_Exceptionalities"/>
      <sheetName val="GiftedTalented"/>
      <sheetName val="Sheet3"/>
    </sheetNames>
    <sheetDataSet>
      <sheetData sheetId="0">
        <row r="6">
          <cell r="Z6">
            <v>1003</v>
          </cell>
        </row>
        <row r="7">
          <cell r="Z7">
            <v>428</v>
          </cell>
        </row>
        <row r="8">
          <cell r="Z8">
            <v>2298</v>
          </cell>
        </row>
        <row r="9">
          <cell r="Z9">
            <v>464</v>
          </cell>
        </row>
        <row r="10">
          <cell r="Z10">
            <v>573</v>
          </cell>
        </row>
        <row r="11">
          <cell r="Z11">
            <v>959</v>
          </cell>
        </row>
        <row r="12">
          <cell r="Z12">
            <v>201</v>
          </cell>
        </row>
        <row r="13">
          <cell r="Z13">
            <v>2365</v>
          </cell>
        </row>
        <row r="14">
          <cell r="Z14">
            <v>4171</v>
          </cell>
        </row>
        <row r="15">
          <cell r="Z15">
            <v>4904</v>
          </cell>
        </row>
        <row r="16">
          <cell r="Z16">
            <v>283</v>
          </cell>
        </row>
        <row r="17">
          <cell r="Z17">
            <v>153</v>
          </cell>
        </row>
        <row r="18">
          <cell r="Z18">
            <v>167</v>
          </cell>
        </row>
        <row r="19">
          <cell r="Z19">
            <v>356</v>
          </cell>
        </row>
        <row r="20">
          <cell r="Z20">
            <v>369</v>
          </cell>
        </row>
        <row r="21">
          <cell r="Z21">
            <v>505</v>
          </cell>
        </row>
        <row r="22">
          <cell r="Z22">
            <v>4734</v>
          </cell>
        </row>
        <row r="23">
          <cell r="Z23">
            <v>135</v>
          </cell>
        </row>
        <row r="24">
          <cell r="Z24">
            <v>284</v>
          </cell>
        </row>
        <row r="25">
          <cell r="Z25">
            <v>829</v>
          </cell>
        </row>
        <row r="26">
          <cell r="Z26">
            <v>405</v>
          </cell>
        </row>
        <row r="27">
          <cell r="Z27">
            <v>520</v>
          </cell>
        </row>
        <row r="28">
          <cell r="Z28">
            <v>1585</v>
          </cell>
        </row>
        <row r="29">
          <cell r="Z29">
            <v>458</v>
          </cell>
        </row>
        <row r="30">
          <cell r="Z30">
            <v>201</v>
          </cell>
        </row>
        <row r="31">
          <cell r="Z31">
            <v>5536</v>
          </cell>
        </row>
        <row r="32">
          <cell r="Z32">
            <v>840</v>
          </cell>
        </row>
        <row r="33">
          <cell r="Z33">
            <v>2890</v>
          </cell>
        </row>
        <row r="34">
          <cell r="Z34">
            <v>1231</v>
          </cell>
        </row>
        <row r="35">
          <cell r="Z35">
            <v>206</v>
          </cell>
        </row>
        <row r="36">
          <cell r="Z36">
            <v>722</v>
          </cell>
        </row>
        <row r="37">
          <cell r="Z37">
            <v>3214</v>
          </cell>
        </row>
        <row r="38">
          <cell r="Z38">
            <v>217</v>
          </cell>
        </row>
        <row r="39">
          <cell r="Z39">
            <v>704</v>
          </cell>
        </row>
        <row r="40">
          <cell r="Z40">
            <v>781</v>
          </cell>
        </row>
        <row r="41">
          <cell r="Z41">
            <v>4570</v>
          </cell>
        </row>
        <row r="42">
          <cell r="Z42">
            <v>2499</v>
          </cell>
        </row>
        <row r="43">
          <cell r="Z43">
            <v>497</v>
          </cell>
        </row>
        <row r="44">
          <cell r="Z44">
            <v>514</v>
          </cell>
        </row>
        <row r="45">
          <cell r="Z45">
            <v>2616</v>
          </cell>
        </row>
        <row r="46">
          <cell r="Z46">
            <v>130</v>
          </cell>
        </row>
        <row r="47">
          <cell r="Z47">
            <v>429</v>
          </cell>
        </row>
        <row r="48">
          <cell r="Z48">
            <v>542</v>
          </cell>
        </row>
        <row r="49">
          <cell r="Z49">
            <v>659</v>
          </cell>
        </row>
        <row r="50">
          <cell r="Z50">
            <v>908</v>
          </cell>
        </row>
        <row r="51">
          <cell r="Z51">
            <v>160</v>
          </cell>
        </row>
        <row r="52">
          <cell r="Z52">
            <v>506</v>
          </cell>
        </row>
        <row r="53">
          <cell r="Z53">
            <v>829</v>
          </cell>
        </row>
        <row r="54">
          <cell r="Z54">
            <v>1807</v>
          </cell>
        </row>
        <row r="55">
          <cell r="Z55">
            <v>907</v>
          </cell>
        </row>
        <row r="56">
          <cell r="Z56">
            <v>1389</v>
          </cell>
        </row>
        <row r="57">
          <cell r="Z57">
            <v>6221</v>
          </cell>
        </row>
        <row r="58">
          <cell r="Z58">
            <v>2258</v>
          </cell>
        </row>
        <row r="59">
          <cell r="Z59">
            <v>121</v>
          </cell>
        </row>
        <row r="60">
          <cell r="Z60">
            <v>2138</v>
          </cell>
        </row>
        <row r="61">
          <cell r="Z61">
            <v>398</v>
          </cell>
        </row>
        <row r="62">
          <cell r="Z62">
            <v>1084</v>
          </cell>
        </row>
        <row r="63">
          <cell r="Z63">
            <v>1049</v>
          </cell>
        </row>
        <row r="64">
          <cell r="Z64">
            <v>836</v>
          </cell>
        </row>
        <row r="65">
          <cell r="Z65">
            <v>720</v>
          </cell>
        </row>
        <row r="66">
          <cell r="Z66">
            <v>360</v>
          </cell>
        </row>
        <row r="67">
          <cell r="Z67">
            <v>228</v>
          </cell>
        </row>
        <row r="68">
          <cell r="Z68">
            <v>249</v>
          </cell>
        </row>
        <row r="69">
          <cell r="Z69">
            <v>321</v>
          </cell>
        </row>
        <row r="70">
          <cell r="Z70">
            <v>1315</v>
          </cell>
        </row>
        <row r="71">
          <cell r="Z71">
            <v>508</v>
          </cell>
        </row>
        <row r="72">
          <cell r="Z72">
            <v>429</v>
          </cell>
        </row>
        <row r="73">
          <cell r="Z73">
            <v>219</v>
          </cell>
        </row>
        <row r="74">
          <cell r="Z74">
            <v>268</v>
          </cell>
        </row>
        <row r="75">
          <cell r="Z75">
            <v>1</v>
          </cell>
        </row>
      </sheetData>
      <sheetData sheetId="1">
        <row r="6">
          <cell r="AA6">
            <v>84</v>
          </cell>
        </row>
        <row r="7">
          <cell r="AA7">
            <v>59</v>
          </cell>
        </row>
        <row r="8">
          <cell r="AA8">
            <v>529</v>
          </cell>
        </row>
        <row r="9">
          <cell r="AA9">
            <v>98</v>
          </cell>
        </row>
        <row r="10">
          <cell r="AA10">
            <v>9</v>
          </cell>
        </row>
        <row r="11">
          <cell r="AA11">
            <v>70</v>
          </cell>
        </row>
        <row r="12">
          <cell r="AA12">
            <v>21</v>
          </cell>
        </row>
        <row r="13">
          <cell r="AA13">
            <v>873</v>
          </cell>
        </row>
        <row r="14">
          <cell r="AA14">
            <v>1719</v>
          </cell>
        </row>
        <row r="15">
          <cell r="AA15">
            <v>1253</v>
          </cell>
        </row>
        <row r="16">
          <cell r="AA16">
            <v>30</v>
          </cell>
        </row>
        <row r="17">
          <cell r="AA17">
            <v>99</v>
          </cell>
        </row>
        <row r="18">
          <cell r="AA18">
            <v>31</v>
          </cell>
        </row>
        <row r="19">
          <cell r="AA19">
            <v>96</v>
          </cell>
        </row>
        <row r="20">
          <cell r="AA20">
            <v>70</v>
          </cell>
        </row>
        <row r="21">
          <cell r="AA21">
            <v>175</v>
          </cell>
        </row>
        <row r="22">
          <cell r="AA22">
            <v>1746</v>
          </cell>
        </row>
        <row r="23">
          <cell r="AA23">
            <v>0</v>
          </cell>
        </row>
        <row r="24">
          <cell r="AA24">
            <v>19</v>
          </cell>
        </row>
        <row r="25">
          <cell r="AA25">
            <v>68</v>
          </cell>
        </row>
        <row r="26">
          <cell r="AA26">
            <v>34</v>
          </cell>
        </row>
        <row r="27">
          <cell r="AA27">
            <v>25</v>
          </cell>
        </row>
        <row r="28">
          <cell r="AA28">
            <v>430</v>
          </cell>
        </row>
        <row r="29">
          <cell r="AA29">
            <v>111</v>
          </cell>
        </row>
        <row r="30">
          <cell r="AA30">
            <v>77</v>
          </cell>
        </row>
        <row r="31">
          <cell r="AA31">
            <v>3344</v>
          </cell>
        </row>
        <row r="32">
          <cell r="AA32">
            <v>147</v>
          </cell>
        </row>
        <row r="33">
          <cell r="AA33">
            <v>1309</v>
          </cell>
        </row>
        <row r="34">
          <cell r="AA34">
            <v>215</v>
          </cell>
        </row>
        <row r="35">
          <cell r="AA35">
            <v>29</v>
          </cell>
        </row>
        <row r="36">
          <cell r="AA36">
            <v>326</v>
          </cell>
        </row>
        <row r="37">
          <cell r="AA37">
            <v>1125</v>
          </cell>
        </row>
        <row r="38">
          <cell r="AA38">
            <v>11</v>
          </cell>
        </row>
        <row r="39">
          <cell r="AA39">
            <v>43</v>
          </cell>
        </row>
        <row r="40">
          <cell r="AA40">
            <v>234</v>
          </cell>
        </row>
        <row r="41">
          <cell r="AA41">
            <v>2772</v>
          </cell>
        </row>
        <row r="42">
          <cell r="AA42">
            <v>932</v>
          </cell>
        </row>
        <row r="43">
          <cell r="AA43">
            <v>221</v>
          </cell>
        </row>
        <row r="44">
          <cell r="AA44">
            <v>34</v>
          </cell>
        </row>
        <row r="45">
          <cell r="AA45">
            <v>637</v>
          </cell>
        </row>
        <row r="46">
          <cell r="AA46">
            <v>3</v>
          </cell>
        </row>
        <row r="47">
          <cell r="AA47">
            <v>63</v>
          </cell>
        </row>
        <row r="48">
          <cell r="AA48">
            <v>84</v>
          </cell>
        </row>
        <row r="49">
          <cell r="AA49">
            <v>144</v>
          </cell>
        </row>
        <row r="50">
          <cell r="AA50">
            <v>503</v>
          </cell>
        </row>
        <row r="51">
          <cell r="AA51">
            <v>29</v>
          </cell>
        </row>
        <row r="52">
          <cell r="AA52">
            <v>67</v>
          </cell>
        </row>
        <row r="53">
          <cell r="AA53">
            <v>130</v>
          </cell>
        </row>
        <row r="54">
          <cell r="AA54">
            <v>321</v>
          </cell>
        </row>
        <row r="55">
          <cell r="AA55">
            <v>152</v>
          </cell>
        </row>
        <row r="56">
          <cell r="AA56">
            <v>548</v>
          </cell>
        </row>
        <row r="57">
          <cell r="AA57">
            <v>3464</v>
          </cell>
        </row>
        <row r="58">
          <cell r="AA58">
            <v>385</v>
          </cell>
        </row>
        <row r="59">
          <cell r="AA59">
            <v>25</v>
          </cell>
        </row>
        <row r="60">
          <cell r="AA60">
            <v>718</v>
          </cell>
        </row>
        <row r="61">
          <cell r="AA61">
            <v>20</v>
          </cell>
        </row>
        <row r="62">
          <cell r="AA62">
            <v>171</v>
          </cell>
        </row>
        <row r="63">
          <cell r="AA63">
            <v>232</v>
          </cell>
        </row>
        <row r="64">
          <cell r="AA64">
            <v>302</v>
          </cell>
        </row>
        <row r="65">
          <cell r="AA65">
            <v>316</v>
          </cell>
        </row>
        <row r="66">
          <cell r="AA66">
            <v>131</v>
          </cell>
        </row>
        <row r="67">
          <cell r="AA67">
            <v>22</v>
          </cell>
        </row>
        <row r="68">
          <cell r="AA68">
            <v>129</v>
          </cell>
        </row>
        <row r="69">
          <cell r="AA69">
            <v>75</v>
          </cell>
        </row>
        <row r="70">
          <cell r="AA70">
            <v>565</v>
          </cell>
        </row>
        <row r="71">
          <cell r="AA71">
            <v>112</v>
          </cell>
        </row>
        <row r="72">
          <cell r="AA72">
            <v>380</v>
          </cell>
        </row>
        <row r="73">
          <cell r="AA73">
            <v>1</v>
          </cell>
        </row>
        <row r="74">
          <cell r="AA74">
            <v>218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actors"/>
      <sheetName val="Summary of Simulation "/>
      <sheetName val="Table 1 State Summary "/>
      <sheetName val="Table 2 Distributions &amp; Adjust"/>
      <sheetName val="Table 2A EFTs"/>
      <sheetName val="Table 3 Levels 1&amp;2"/>
      <sheetName val="Table 4 Level 3"/>
      <sheetName val="Table 4A Stipends"/>
      <sheetName val="Table 5A1 Labs NOCCA LSMSA"/>
      <sheetName val="Table 5B1_RSD_Orleans"/>
      <sheetName val="Table 5B2_RSD_LA"/>
      <sheetName val="Table 5C1 - Type 2s"/>
      <sheetName val="Table 5C2 - LA Virtual Admy"/>
      <sheetName val="Table 5C3 - LA Connections EBR"/>
      <sheetName val="Table 5D - Legacy Type 2"/>
      <sheetName val="Table 5E_OJJ"/>
      <sheetName val="Table 6 (Local Deduct Calc.)"/>
      <sheetName val="Table 7 Local Revenue"/>
      <sheetName val="Table 8   2-1-10 Membershi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1">
          <cell r="C41">
            <v>3378793</v>
          </cell>
        </row>
      </sheetData>
      <sheetData sheetId="5">
        <row r="8">
          <cell r="C8">
            <v>9154</v>
          </cell>
        </row>
      </sheetData>
      <sheetData sheetId="6">
        <row r="6">
          <cell r="F6">
            <v>0</v>
          </cell>
          <cell r="H6">
            <v>0</v>
          </cell>
        </row>
        <row r="7">
          <cell r="F7">
            <v>0</v>
          </cell>
          <cell r="H7">
            <v>0</v>
          </cell>
        </row>
        <row r="8">
          <cell r="F8">
            <v>0</v>
          </cell>
          <cell r="H8">
            <v>0</v>
          </cell>
        </row>
        <row r="9">
          <cell r="F9">
            <v>0</v>
          </cell>
          <cell r="H9">
            <v>0</v>
          </cell>
        </row>
        <row r="10">
          <cell r="F10">
            <v>0</v>
          </cell>
          <cell r="H10">
            <v>0</v>
          </cell>
        </row>
        <row r="11">
          <cell r="F11">
            <v>0</v>
          </cell>
          <cell r="H11">
            <v>0</v>
          </cell>
        </row>
        <row r="12">
          <cell r="F12">
            <v>0</v>
          </cell>
          <cell r="H12">
            <v>0</v>
          </cell>
        </row>
        <row r="13">
          <cell r="F13">
            <v>0</v>
          </cell>
          <cell r="H13">
            <v>0</v>
          </cell>
        </row>
        <row r="14">
          <cell r="F14">
            <v>0</v>
          </cell>
          <cell r="H14">
            <v>0</v>
          </cell>
        </row>
        <row r="15">
          <cell r="F15">
            <v>0</v>
          </cell>
          <cell r="H15">
            <v>0</v>
          </cell>
        </row>
        <row r="16">
          <cell r="F16">
            <v>0</v>
          </cell>
          <cell r="H16">
            <v>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0</v>
          </cell>
          <cell r="H19">
            <v>0</v>
          </cell>
        </row>
        <row r="20">
          <cell r="F20">
            <v>-89768</v>
          </cell>
          <cell r="H20">
            <v>-22442</v>
          </cell>
        </row>
        <row r="21">
          <cell r="F21">
            <v>0</v>
          </cell>
          <cell r="H21">
            <v>0</v>
          </cell>
        </row>
        <row r="22">
          <cell r="F22">
            <v>-4805928</v>
          </cell>
          <cell r="H22">
            <v>-1201482</v>
          </cell>
        </row>
        <row r="23">
          <cell r="F23">
            <v>0</v>
          </cell>
          <cell r="H23">
            <v>0</v>
          </cell>
        </row>
        <row r="24">
          <cell r="F24">
            <v>0</v>
          </cell>
          <cell r="H24">
            <v>0</v>
          </cell>
        </row>
        <row r="25">
          <cell r="F25">
            <v>-70248</v>
          </cell>
          <cell r="H25">
            <v>-17562</v>
          </cell>
        </row>
        <row r="26">
          <cell r="F26">
            <v>0</v>
          </cell>
          <cell r="H26">
            <v>0</v>
          </cell>
        </row>
        <row r="27">
          <cell r="F27">
            <v>0</v>
          </cell>
          <cell r="H27">
            <v>0</v>
          </cell>
        </row>
        <row r="28">
          <cell r="F28">
            <v>0</v>
          </cell>
          <cell r="H28">
            <v>0</v>
          </cell>
        </row>
        <row r="29">
          <cell r="F29">
            <v>-306881</v>
          </cell>
          <cell r="H29">
            <v>-76721</v>
          </cell>
        </row>
        <row r="30">
          <cell r="F30">
            <v>0</v>
          </cell>
          <cell r="H30">
            <v>0</v>
          </cell>
        </row>
        <row r="31">
          <cell r="F31">
            <v>-3395697</v>
          </cell>
          <cell r="H31">
            <v>-848925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0</v>
          </cell>
          <cell r="H34">
            <v>0</v>
          </cell>
        </row>
        <row r="35">
          <cell r="F35">
            <v>0</v>
          </cell>
          <cell r="H35">
            <v>0</v>
          </cell>
        </row>
        <row r="36">
          <cell r="F36">
            <v>0</v>
          </cell>
          <cell r="H36">
            <v>0</v>
          </cell>
        </row>
        <row r="37">
          <cell r="F37">
            <v>0</v>
          </cell>
          <cell r="H37">
            <v>0</v>
          </cell>
        </row>
        <row r="38">
          <cell r="F38">
            <v>0</v>
          </cell>
          <cell r="H38">
            <v>0</v>
          </cell>
        </row>
        <row r="39">
          <cell r="F39">
            <v>0</v>
          </cell>
          <cell r="H39">
            <v>0</v>
          </cell>
        </row>
        <row r="40">
          <cell r="F40">
            <v>0</v>
          </cell>
          <cell r="H40">
            <v>0</v>
          </cell>
        </row>
        <row r="41">
          <cell r="F41">
            <v>0</v>
          </cell>
          <cell r="H41">
            <v>0</v>
          </cell>
        </row>
        <row r="42">
          <cell r="F42">
            <v>0</v>
          </cell>
          <cell r="H42">
            <v>0</v>
          </cell>
        </row>
        <row r="43">
          <cell r="F43">
            <v>-1651872</v>
          </cell>
          <cell r="H43">
            <v>-412968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0</v>
          </cell>
          <cell r="H46">
            <v>0</v>
          </cell>
        </row>
        <row r="47">
          <cell r="F47">
            <v>0</v>
          </cell>
          <cell r="H47">
            <v>0</v>
          </cell>
        </row>
        <row r="48">
          <cell r="F48">
            <v>0</v>
          </cell>
          <cell r="H48">
            <v>0</v>
          </cell>
        </row>
        <row r="49">
          <cell r="F49">
            <v>0</v>
          </cell>
          <cell r="H49">
            <v>0</v>
          </cell>
        </row>
        <row r="50">
          <cell r="F50">
            <v>-3410177</v>
          </cell>
          <cell r="H50">
            <v>-537734</v>
          </cell>
        </row>
        <row r="51">
          <cell r="F51">
            <v>0</v>
          </cell>
          <cell r="H51">
            <v>0</v>
          </cell>
        </row>
        <row r="52">
          <cell r="F52">
            <v>-316180</v>
          </cell>
          <cell r="H52">
            <v>-79045</v>
          </cell>
        </row>
        <row r="53">
          <cell r="F53">
            <v>0</v>
          </cell>
          <cell r="H53">
            <v>0</v>
          </cell>
        </row>
        <row r="54">
          <cell r="F54">
            <v>0</v>
          </cell>
          <cell r="H54">
            <v>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0</v>
          </cell>
          <cell r="H67">
            <v>0</v>
          </cell>
        </row>
        <row r="68">
          <cell r="F68">
            <v>-2091280</v>
          </cell>
          <cell r="H68">
            <v>-522820</v>
          </cell>
        </row>
        <row r="69">
          <cell r="F69">
            <v>0</v>
          </cell>
          <cell r="H69">
            <v>0</v>
          </cell>
        </row>
        <row r="70">
          <cell r="F70">
            <v>0</v>
          </cell>
          <cell r="H70">
            <v>0</v>
          </cell>
        </row>
        <row r="71">
          <cell r="F71">
            <v>0</v>
          </cell>
          <cell r="H71">
            <v>0</v>
          </cell>
        </row>
        <row r="72">
          <cell r="F72">
            <v>0</v>
          </cell>
          <cell r="H72">
            <v>0</v>
          </cell>
        </row>
        <row r="73">
          <cell r="F73">
            <v>0</v>
          </cell>
          <cell r="H73">
            <v>0</v>
          </cell>
        </row>
        <row r="74">
          <cell r="F74">
            <v>0</v>
          </cell>
          <cell r="H7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actors"/>
      <sheetName val="Summary of Simulation 1"/>
      <sheetName val="Table 1 State Summary"/>
      <sheetName val="Table 2 Distributions &amp; Adjust"/>
      <sheetName val="Table 3 Levels 1&amp;2"/>
      <sheetName val="Table 4 Level 3"/>
      <sheetName val="Table 4A Stipends"/>
      <sheetName val="Table 5A Lab Schools"/>
      <sheetName val="Table 5B1_RSD_Orleans"/>
      <sheetName val="Table 5B2_RSD_LA"/>
      <sheetName val="Table 5C_Type 2"/>
      <sheetName val="Table 6 (Local Deduct Calc.)"/>
      <sheetName val="Table 7 Local Revenue"/>
      <sheetName val="Table 8 Membership, 2.1.09"/>
      <sheetName val="Table 3A Cert Pay Req"/>
    </sheetNames>
    <sheetDataSet>
      <sheetData sheetId="0"/>
      <sheetData sheetId="1"/>
      <sheetData sheetId="2"/>
      <sheetData sheetId="3"/>
      <sheetData sheetId="4" refreshError="1"/>
      <sheetData sheetId="5" refreshError="1">
        <row r="6">
          <cell r="C6">
            <v>364.58000000000004</v>
          </cell>
        </row>
        <row r="75">
          <cell r="C75">
            <v>303.87</v>
          </cell>
        </row>
      </sheetData>
      <sheetData sheetId="6"/>
      <sheetData sheetId="7" refreshError="1">
        <row r="8">
          <cell r="B8">
            <v>1344</v>
          </cell>
          <cell r="G8">
            <v>196</v>
          </cell>
          <cell r="K8">
            <v>23</v>
          </cell>
        </row>
        <row r="9">
          <cell r="G9">
            <v>217</v>
          </cell>
          <cell r="K9">
            <v>59</v>
          </cell>
        </row>
        <row r="17">
          <cell r="D17">
            <v>83.101858736059484</v>
          </cell>
        </row>
        <row r="18">
          <cell r="D18">
            <v>120.02832861189802</v>
          </cell>
        </row>
      </sheetData>
      <sheetData sheetId="8">
        <row r="6">
          <cell r="C6">
            <v>9827</v>
          </cell>
        </row>
      </sheetData>
      <sheetData sheetId="9" refreshError="1"/>
      <sheetData sheetId="10" refreshError="1"/>
      <sheetData sheetId="11"/>
      <sheetData sheetId="12" refreshError="1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oster"/>
      <sheetName val="Summary by Parish"/>
      <sheetName val="Sheet3"/>
    </sheetNames>
    <sheetDataSet>
      <sheetData sheetId="0"/>
      <sheetData sheetId="1">
        <row r="7">
          <cell r="E7">
            <v>1.4683200000000001</v>
          </cell>
        </row>
        <row r="18">
          <cell r="E18">
            <v>0</v>
          </cell>
        </row>
        <row r="19">
          <cell r="E19">
            <v>0</v>
          </cell>
        </row>
        <row r="31">
          <cell r="E31">
            <v>0</v>
          </cell>
        </row>
        <row r="40">
          <cell r="E40">
            <v>0</v>
          </cell>
        </row>
        <row r="52">
          <cell r="E52">
            <v>0</v>
          </cell>
        </row>
        <row r="69">
          <cell r="E69">
            <v>1.994429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rocedures"/>
      <sheetName val="FY2012-13 Initial"/>
      <sheetName val="Detail Calculation exclude debt"/>
      <sheetName val="Detail Calculation for debt"/>
      <sheetName val="Detail"/>
      <sheetName val="2.1.12 SIS"/>
      <sheetName val="AFR Revenues"/>
      <sheetName val="AFR Expenditures"/>
    </sheetNames>
    <sheetDataSet>
      <sheetData sheetId="0" refreshError="1"/>
      <sheetData sheetId="1">
        <row r="8">
          <cell r="D8">
            <v>2022</v>
          </cell>
          <cell r="K8">
            <v>2094</v>
          </cell>
        </row>
        <row r="9">
          <cell r="D9">
            <v>2170</v>
          </cell>
          <cell r="K9">
            <v>2554</v>
          </cell>
        </row>
        <row r="10">
          <cell r="D10">
            <v>4272</v>
          </cell>
          <cell r="K10">
            <v>4995</v>
          </cell>
        </row>
        <row r="11">
          <cell r="D11">
            <v>3361</v>
          </cell>
          <cell r="K11">
            <v>3361</v>
          </cell>
        </row>
        <row r="12">
          <cell r="D12">
            <v>1146</v>
          </cell>
          <cell r="K12">
            <v>1146</v>
          </cell>
        </row>
        <row r="13">
          <cell r="D13">
            <v>2828</v>
          </cell>
          <cell r="K13">
            <v>3431</v>
          </cell>
        </row>
        <row r="14">
          <cell r="D14">
            <v>12271</v>
          </cell>
          <cell r="K14">
            <v>12974</v>
          </cell>
        </row>
        <row r="15">
          <cell r="D15">
            <v>3686</v>
          </cell>
          <cell r="K15">
            <v>4234</v>
          </cell>
        </row>
        <row r="16">
          <cell r="D16">
            <v>3866</v>
          </cell>
          <cell r="K16">
            <v>4539</v>
          </cell>
        </row>
        <row r="17">
          <cell r="D17">
            <v>3611</v>
          </cell>
          <cell r="K17">
            <v>4312</v>
          </cell>
        </row>
        <row r="18">
          <cell r="D18">
            <v>2086</v>
          </cell>
          <cell r="K18">
            <v>3004</v>
          </cell>
        </row>
        <row r="19">
          <cell r="D19">
            <v>11799</v>
          </cell>
          <cell r="K19">
            <v>12439</v>
          </cell>
        </row>
        <row r="20">
          <cell r="D20">
            <v>2391</v>
          </cell>
          <cell r="K20">
            <v>2518</v>
          </cell>
        </row>
        <row r="21">
          <cell r="D21">
            <v>3066</v>
          </cell>
          <cell r="K21">
            <v>3605</v>
          </cell>
        </row>
        <row r="22">
          <cell r="D22">
            <v>2614</v>
          </cell>
          <cell r="K22">
            <v>2614</v>
          </cell>
        </row>
        <row r="23">
          <cell r="D23">
            <v>13903</v>
          </cell>
          <cell r="K23">
            <v>16006</v>
          </cell>
        </row>
        <row r="24">
          <cell r="D24">
            <v>5654</v>
          </cell>
          <cell r="K24">
            <v>6493</v>
          </cell>
        </row>
        <row r="25">
          <cell r="D25">
            <v>2088</v>
          </cell>
          <cell r="K25">
            <v>2088</v>
          </cell>
        </row>
        <row r="26">
          <cell r="D26">
            <v>2275</v>
          </cell>
          <cell r="K26">
            <v>2275</v>
          </cell>
        </row>
        <row r="27">
          <cell r="D27">
            <v>2236</v>
          </cell>
          <cell r="K27">
            <v>2308</v>
          </cell>
        </row>
        <row r="28">
          <cell r="D28">
            <v>1552</v>
          </cell>
          <cell r="K28">
            <v>2245</v>
          </cell>
        </row>
        <row r="29">
          <cell r="D29">
            <v>784</v>
          </cell>
          <cell r="K29">
            <v>1445</v>
          </cell>
        </row>
        <row r="30">
          <cell r="D30">
            <v>2505</v>
          </cell>
          <cell r="K30">
            <v>3295</v>
          </cell>
        </row>
        <row r="31">
          <cell r="D31">
            <v>8076</v>
          </cell>
          <cell r="K31">
            <v>8769</v>
          </cell>
        </row>
        <row r="32">
          <cell r="D32">
            <v>5030</v>
          </cell>
          <cell r="K32">
            <v>5187</v>
          </cell>
        </row>
        <row r="33">
          <cell r="D33">
            <v>4594</v>
          </cell>
          <cell r="K33">
            <v>5197</v>
          </cell>
        </row>
        <row r="34">
          <cell r="D34">
            <v>2479</v>
          </cell>
          <cell r="K34">
            <v>3073</v>
          </cell>
        </row>
        <row r="35">
          <cell r="D35">
            <v>4560</v>
          </cell>
          <cell r="K35">
            <v>5082</v>
          </cell>
        </row>
        <row r="36">
          <cell r="D36">
            <v>3427</v>
          </cell>
          <cell r="K36">
            <v>4295</v>
          </cell>
        </row>
        <row r="37">
          <cell r="D37">
            <v>2638</v>
          </cell>
          <cell r="K37">
            <v>3553</v>
          </cell>
        </row>
        <row r="38">
          <cell r="D38">
            <v>4179</v>
          </cell>
          <cell r="K38">
            <v>4719</v>
          </cell>
        </row>
        <row r="39">
          <cell r="D39">
            <v>1640</v>
          </cell>
          <cell r="K39">
            <v>1979</v>
          </cell>
        </row>
        <row r="40">
          <cell r="D40">
            <v>1601</v>
          </cell>
          <cell r="K40">
            <v>3055</v>
          </cell>
        </row>
        <row r="41">
          <cell r="D41">
            <v>2326</v>
          </cell>
          <cell r="K41">
            <v>2782</v>
          </cell>
        </row>
        <row r="42">
          <cell r="D42">
            <v>2745</v>
          </cell>
          <cell r="K42">
            <v>3175</v>
          </cell>
        </row>
        <row r="43">
          <cell r="D43">
            <v>4110</v>
          </cell>
          <cell r="K43">
            <v>4785</v>
          </cell>
        </row>
        <row r="44">
          <cell r="D44">
            <v>2362</v>
          </cell>
          <cell r="K44">
            <v>3112</v>
          </cell>
        </row>
        <row r="45">
          <cell r="D45">
            <v>9771</v>
          </cell>
          <cell r="K45">
            <v>9771</v>
          </cell>
        </row>
        <row r="46">
          <cell r="D46">
            <v>4060</v>
          </cell>
          <cell r="K46">
            <v>4190</v>
          </cell>
        </row>
        <row r="47">
          <cell r="D47">
            <v>2531</v>
          </cell>
          <cell r="K47">
            <v>2887</v>
          </cell>
        </row>
        <row r="48">
          <cell r="D48">
            <v>11954</v>
          </cell>
          <cell r="K48">
            <v>12470</v>
          </cell>
        </row>
        <row r="49">
          <cell r="D49">
            <v>2026</v>
          </cell>
          <cell r="K49">
            <v>2353</v>
          </cell>
        </row>
        <row r="50">
          <cell r="D50">
            <v>5089</v>
          </cell>
          <cell r="K50">
            <v>5599</v>
          </cell>
        </row>
        <row r="51">
          <cell r="D51">
            <v>4166</v>
          </cell>
          <cell r="K51">
            <v>4661</v>
          </cell>
        </row>
        <row r="52">
          <cell r="D52">
            <v>10324</v>
          </cell>
          <cell r="K52">
            <v>11650</v>
          </cell>
        </row>
        <row r="53">
          <cell r="D53">
            <v>973</v>
          </cell>
          <cell r="K53">
            <v>1789</v>
          </cell>
        </row>
        <row r="54">
          <cell r="D54">
            <v>8858</v>
          </cell>
          <cell r="K54">
            <v>9947</v>
          </cell>
        </row>
        <row r="55">
          <cell r="D55">
            <v>4300</v>
          </cell>
          <cell r="K55">
            <v>5325</v>
          </cell>
        </row>
        <row r="56">
          <cell r="D56">
            <v>2326</v>
          </cell>
          <cell r="K56">
            <v>2326</v>
          </cell>
        </row>
        <row r="57">
          <cell r="D57">
            <v>1905</v>
          </cell>
          <cell r="K57">
            <v>2574</v>
          </cell>
        </row>
        <row r="58">
          <cell r="D58">
            <v>3704</v>
          </cell>
          <cell r="K58">
            <v>3943</v>
          </cell>
        </row>
        <row r="59">
          <cell r="D59">
            <v>3930</v>
          </cell>
          <cell r="K59">
            <v>4750</v>
          </cell>
        </row>
        <row r="60">
          <cell r="D60">
            <v>1405</v>
          </cell>
          <cell r="K60">
            <v>1913</v>
          </cell>
        </row>
        <row r="61">
          <cell r="D61">
            <v>3264</v>
          </cell>
          <cell r="K61">
            <v>3264</v>
          </cell>
        </row>
        <row r="62">
          <cell r="D62">
            <v>3071</v>
          </cell>
          <cell r="K62">
            <v>3071</v>
          </cell>
        </row>
        <row r="63">
          <cell r="D63">
            <v>2630</v>
          </cell>
          <cell r="K63">
            <v>2630</v>
          </cell>
        </row>
        <row r="64">
          <cell r="D64">
            <v>3053</v>
          </cell>
          <cell r="K64">
            <v>3053</v>
          </cell>
        </row>
        <row r="65">
          <cell r="D65">
            <v>1533</v>
          </cell>
          <cell r="K65">
            <v>1917</v>
          </cell>
        </row>
        <row r="66">
          <cell r="D66">
            <v>1104</v>
          </cell>
          <cell r="K66">
            <v>1553</v>
          </cell>
        </row>
        <row r="67">
          <cell r="D67">
            <v>2713</v>
          </cell>
          <cell r="K67">
            <v>3798</v>
          </cell>
        </row>
        <row r="68">
          <cell r="D68">
            <v>6344</v>
          </cell>
          <cell r="K68">
            <v>6727</v>
          </cell>
        </row>
        <row r="69">
          <cell r="D69">
            <v>1678</v>
          </cell>
          <cell r="K69">
            <v>1678</v>
          </cell>
        </row>
        <row r="70">
          <cell r="D70">
            <v>6011</v>
          </cell>
          <cell r="K70">
            <v>6524</v>
          </cell>
        </row>
        <row r="71">
          <cell r="D71">
            <v>2072</v>
          </cell>
          <cell r="K71">
            <v>2658</v>
          </cell>
        </row>
        <row r="72">
          <cell r="D72">
            <v>3985</v>
          </cell>
          <cell r="K72">
            <v>4631</v>
          </cell>
        </row>
        <row r="73">
          <cell r="D73">
            <v>3443</v>
          </cell>
          <cell r="K73">
            <v>3443</v>
          </cell>
        </row>
        <row r="74">
          <cell r="D74">
            <v>3135</v>
          </cell>
          <cell r="K74">
            <v>4502</v>
          </cell>
        </row>
        <row r="75">
          <cell r="D75">
            <v>2587</v>
          </cell>
          <cell r="K75">
            <v>2587</v>
          </cell>
        </row>
        <row r="76">
          <cell r="D76">
            <v>2371</v>
          </cell>
          <cell r="K76">
            <v>3233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October midyear adj"/>
      <sheetName val="Oct midyear adj_LA virtual"/>
      <sheetName val="Oct midyear adj_Connections"/>
      <sheetName val="Oct midyear adj_OJJ"/>
    </sheetNames>
    <sheetDataSet>
      <sheetData sheetId="0" refreshError="1"/>
      <sheetData sheetId="1">
        <row r="6">
          <cell r="M6">
            <v>-4909.0320000000065</v>
          </cell>
          <cell r="P6">
            <v>-1824.3</v>
          </cell>
        </row>
        <row r="7">
          <cell r="M7">
            <v>0</v>
          </cell>
          <cell r="P7">
            <v>0</v>
          </cell>
        </row>
        <row r="8">
          <cell r="M8">
            <v>0</v>
          </cell>
          <cell r="P8">
            <v>0</v>
          </cell>
        </row>
        <row r="9">
          <cell r="M9">
            <v>0</v>
          </cell>
          <cell r="P9">
            <v>0</v>
          </cell>
        </row>
        <row r="10">
          <cell r="M10">
            <v>0</v>
          </cell>
          <cell r="P10">
            <v>0</v>
          </cell>
        </row>
        <row r="11">
          <cell r="M11">
            <v>0</v>
          </cell>
          <cell r="P11">
            <v>0</v>
          </cell>
        </row>
        <row r="12">
          <cell r="M12">
            <v>0</v>
          </cell>
          <cell r="P12">
            <v>0</v>
          </cell>
        </row>
        <row r="13">
          <cell r="M13">
            <v>-4254.3896558252454</v>
          </cell>
          <cell r="P13">
            <v>-3858.3</v>
          </cell>
        </row>
        <row r="14">
          <cell r="M14">
            <v>-4616.7041542979059</v>
          </cell>
          <cell r="P14">
            <v>-4122</v>
          </cell>
        </row>
        <row r="15">
          <cell r="M15">
            <v>0</v>
          </cell>
          <cell r="P15">
            <v>0</v>
          </cell>
        </row>
        <row r="16">
          <cell r="M16">
            <v>0</v>
          </cell>
          <cell r="P16">
            <v>0</v>
          </cell>
        </row>
        <row r="17">
          <cell r="M17">
            <v>0</v>
          </cell>
          <cell r="P17">
            <v>0</v>
          </cell>
        </row>
        <row r="18">
          <cell r="M18">
            <v>0</v>
          </cell>
          <cell r="P18">
            <v>0</v>
          </cell>
        </row>
        <row r="19">
          <cell r="M19">
            <v>0</v>
          </cell>
          <cell r="P19">
            <v>0</v>
          </cell>
        </row>
        <row r="20">
          <cell r="M20">
            <v>0</v>
          </cell>
          <cell r="P20">
            <v>0</v>
          </cell>
        </row>
        <row r="21">
          <cell r="M21">
            <v>0</v>
          </cell>
          <cell r="P21">
            <v>0</v>
          </cell>
        </row>
        <row r="22">
          <cell r="M22">
            <v>0</v>
          </cell>
          <cell r="P22">
            <v>0</v>
          </cell>
        </row>
        <row r="23">
          <cell r="M23">
            <v>0</v>
          </cell>
          <cell r="P23">
            <v>0</v>
          </cell>
        </row>
        <row r="24">
          <cell r="M24">
            <v>0</v>
          </cell>
          <cell r="P24">
            <v>0</v>
          </cell>
        </row>
        <row r="25">
          <cell r="M25">
            <v>0</v>
          </cell>
          <cell r="P25">
            <v>0</v>
          </cell>
        </row>
        <row r="26">
          <cell r="M26">
            <v>0</v>
          </cell>
          <cell r="P26">
            <v>0</v>
          </cell>
        </row>
        <row r="27">
          <cell r="M27">
            <v>0</v>
          </cell>
          <cell r="P27">
            <v>0</v>
          </cell>
        </row>
        <row r="28">
          <cell r="M28">
            <v>0</v>
          </cell>
          <cell r="P28">
            <v>0</v>
          </cell>
        </row>
        <row r="29">
          <cell r="M29">
            <v>0</v>
          </cell>
          <cell r="P29">
            <v>0</v>
          </cell>
        </row>
        <row r="30">
          <cell r="M30">
            <v>0</v>
          </cell>
          <cell r="P30">
            <v>0</v>
          </cell>
        </row>
        <row r="31">
          <cell r="M31">
            <v>0</v>
          </cell>
          <cell r="P31">
            <v>0</v>
          </cell>
        </row>
        <row r="32">
          <cell r="M32">
            <v>0</v>
          </cell>
          <cell r="P32">
            <v>0</v>
          </cell>
        </row>
        <row r="33">
          <cell r="M33">
            <v>-3655.5709760091704</v>
          </cell>
          <cell r="P33">
            <v>-4530.6000000000004</v>
          </cell>
        </row>
        <row r="34">
          <cell r="M34">
            <v>0</v>
          </cell>
          <cell r="P34">
            <v>0</v>
          </cell>
        </row>
        <row r="35">
          <cell r="M35">
            <v>0</v>
          </cell>
          <cell r="P35">
            <v>0</v>
          </cell>
        </row>
        <row r="36">
          <cell r="M36">
            <v>0</v>
          </cell>
          <cell r="P36">
            <v>0</v>
          </cell>
        </row>
        <row r="37">
          <cell r="M37">
            <v>-5381.8986037962932</v>
          </cell>
          <cell r="P37">
            <v>-1687.5</v>
          </cell>
        </row>
        <row r="38">
          <cell r="M38">
            <v>-5740.4614273781681</v>
          </cell>
          <cell r="P38">
            <v>-2740.5</v>
          </cell>
        </row>
        <row r="39">
          <cell r="M39">
            <v>0</v>
          </cell>
          <cell r="P39">
            <v>0</v>
          </cell>
        </row>
        <row r="40">
          <cell r="M40">
            <v>0</v>
          </cell>
          <cell r="P40">
            <v>0</v>
          </cell>
        </row>
        <row r="41">
          <cell r="M41">
            <v>-3598.2545918539108</v>
          </cell>
          <cell r="P41">
            <v>-4365.9000000000005</v>
          </cell>
        </row>
        <row r="42">
          <cell r="M42">
            <v>0</v>
          </cell>
          <cell r="P42">
            <v>0</v>
          </cell>
        </row>
        <row r="43">
          <cell r="M43">
            <v>0</v>
          </cell>
          <cell r="P43">
            <v>0</v>
          </cell>
        </row>
        <row r="44">
          <cell r="M44">
            <v>0</v>
          </cell>
          <cell r="P44">
            <v>0</v>
          </cell>
        </row>
        <row r="45">
          <cell r="M45">
            <v>0</v>
          </cell>
          <cell r="P45">
            <v>0</v>
          </cell>
        </row>
        <row r="46">
          <cell r="M46">
            <v>0</v>
          </cell>
          <cell r="P46">
            <v>0</v>
          </cell>
        </row>
        <row r="47">
          <cell r="M47">
            <v>0</v>
          </cell>
          <cell r="P47">
            <v>0</v>
          </cell>
        </row>
        <row r="48">
          <cell r="M48">
            <v>0</v>
          </cell>
          <cell r="P48">
            <v>0</v>
          </cell>
        </row>
        <row r="49">
          <cell r="M49">
            <v>0</v>
          </cell>
          <cell r="P49">
            <v>0</v>
          </cell>
        </row>
        <row r="50">
          <cell r="M50">
            <v>0</v>
          </cell>
          <cell r="P50">
            <v>0</v>
          </cell>
        </row>
        <row r="51">
          <cell r="M51">
            <v>0</v>
          </cell>
          <cell r="P51">
            <v>0</v>
          </cell>
        </row>
        <row r="52">
          <cell r="M52">
            <v>0</v>
          </cell>
          <cell r="P52">
            <v>0</v>
          </cell>
        </row>
        <row r="53">
          <cell r="M53">
            <v>0</v>
          </cell>
          <cell r="P53">
            <v>0</v>
          </cell>
        </row>
        <row r="54">
          <cell r="M54">
            <v>0</v>
          </cell>
          <cell r="P54">
            <v>0</v>
          </cell>
        </row>
        <row r="55">
          <cell r="M55">
            <v>0</v>
          </cell>
          <cell r="P55">
            <v>0</v>
          </cell>
        </row>
        <row r="56">
          <cell r="M56">
            <v>0</v>
          </cell>
          <cell r="P56">
            <v>0</v>
          </cell>
        </row>
        <row r="57">
          <cell r="M57">
            <v>-5080.1043534373293</v>
          </cell>
          <cell r="P57">
            <v>-4339.8</v>
          </cell>
        </row>
        <row r="58">
          <cell r="M58">
            <v>0</v>
          </cell>
          <cell r="P58">
            <v>0</v>
          </cell>
        </row>
        <row r="59">
          <cell r="M59">
            <v>0</v>
          </cell>
          <cell r="P59">
            <v>0</v>
          </cell>
        </row>
        <row r="60">
          <cell r="M60">
            <v>0</v>
          </cell>
          <cell r="P60">
            <v>0</v>
          </cell>
        </row>
        <row r="61">
          <cell r="M61">
            <v>0</v>
          </cell>
          <cell r="P61">
            <v>0</v>
          </cell>
        </row>
        <row r="62">
          <cell r="M62">
            <v>0</v>
          </cell>
          <cell r="P62">
            <v>0</v>
          </cell>
        </row>
        <row r="63">
          <cell r="M63">
            <v>0</v>
          </cell>
          <cell r="P63">
            <v>0</v>
          </cell>
        </row>
        <row r="64">
          <cell r="M64">
            <v>0</v>
          </cell>
          <cell r="P64">
            <v>0</v>
          </cell>
        </row>
        <row r="65">
          <cell r="M65">
            <v>0</v>
          </cell>
          <cell r="P65">
            <v>0</v>
          </cell>
        </row>
        <row r="66">
          <cell r="M66">
            <v>-3381.8045293498144</v>
          </cell>
          <cell r="P66">
            <v>-5440.5</v>
          </cell>
        </row>
        <row r="67">
          <cell r="M67">
            <v>0</v>
          </cell>
          <cell r="P67">
            <v>0</v>
          </cell>
        </row>
        <row r="68">
          <cell r="M68">
            <v>0</v>
          </cell>
          <cell r="P68">
            <v>0</v>
          </cell>
        </row>
        <row r="69">
          <cell r="M69">
            <v>0</v>
          </cell>
          <cell r="P69">
            <v>0</v>
          </cell>
        </row>
        <row r="70">
          <cell r="M70">
            <v>0</v>
          </cell>
          <cell r="P70">
            <v>0</v>
          </cell>
        </row>
        <row r="71">
          <cell r="M71">
            <v>0</v>
          </cell>
          <cell r="P71">
            <v>0</v>
          </cell>
        </row>
        <row r="72">
          <cell r="M72">
            <v>0</v>
          </cell>
          <cell r="P72">
            <v>0</v>
          </cell>
        </row>
        <row r="73">
          <cell r="M73">
            <v>0</v>
          </cell>
          <cell r="P73">
            <v>0</v>
          </cell>
        </row>
        <row r="74">
          <cell r="M74">
            <v>0</v>
          </cell>
          <cell r="P74">
            <v>0</v>
          </cell>
        </row>
      </sheetData>
      <sheetData sheetId="2" refreshError="1"/>
      <sheetData sheetId="3">
        <row r="6">
          <cell r="I6">
            <v>0</v>
          </cell>
          <cell r="K6">
            <v>0</v>
          </cell>
        </row>
        <row r="7">
          <cell r="I7">
            <v>0</v>
          </cell>
          <cell r="K7">
            <v>0</v>
          </cell>
        </row>
        <row r="8">
          <cell r="I8">
            <v>0</v>
          </cell>
          <cell r="K8">
            <v>0</v>
          </cell>
        </row>
        <row r="9">
          <cell r="I9">
            <v>0</v>
          </cell>
          <cell r="K9">
            <v>0</v>
          </cell>
        </row>
        <row r="10">
          <cell r="I10">
            <v>0</v>
          </cell>
          <cell r="K10">
            <v>0</v>
          </cell>
        </row>
        <row r="11">
          <cell r="I11">
            <v>0</v>
          </cell>
          <cell r="K11">
            <v>0</v>
          </cell>
        </row>
        <row r="12">
          <cell r="I12">
            <v>0</v>
          </cell>
          <cell r="K12">
            <v>0</v>
          </cell>
        </row>
        <row r="13">
          <cell r="I13">
            <v>0</v>
          </cell>
          <cell r="K13">
            <v>0</v>
          </cell>
        </row>
        <row r="14">
          <cell r="I14">
            <v>-1785.4483345036369</v>
          </cell>
          <cell r="K14">
            <v>-753.35776342977704</v>
          </cell>
        </row>
        <row r="15">
          <cell r="I15">
            <v>44.273852237876717</v>
          </cell>
          <cell r="K15">
            <v>21.194332043496722</v>
          </cell>
        </row>
        <row r="16">
          <cell r="I16">
            <v>0</v>
          </cell>
          <cell r="K16">
            <v>0</v>
          </cell>
        </row>
        <row r="17">
          <cell r="I17">
            <v>0</v>
          </cell>
          <cell r="K17">
            <v>0</v>
          </cell>
        </row>
        <row r="18">
          <cell r="I18">
            <v>0</v>
          </cell>
          <cell r="K18">
            <v>0</v>
          </cell>
        </row>
        <row r="19">
          <cell r="I19">
            <v>0</v>
          </cell>
          <cell r="K19">
            <v>0</v>
          </cell>
        </row>
        <row r="20">
          <cell r="I20">
            <v>0</v>
          </cell>
          <cell r="K20">
            <v>0</v>
          </cell>
        </row>
        <row r="21">
          <cell r="I21">
            <v>0</v>
          </cell>
          <cell r="K21">
            <v>0</v>
          </cell>
        </row>
        <row r="22">
          <cell r="I22">
            <v>249.81926343778414</v>
          </cell>
          <cell r="K22">
            <v>169.18272097607019</v>
          </cell>
        </row>
        <row r="23">
          <cell r="I23">
            <v>0</v>
          </cell>
          <cell r="K23">
            <v>0</v>
          </cell>
        </row>
        <row r="24">
          <cell r="I24">
            <v>0</v>
          </cell>
          <cell r="K24">
            <v>0</v>
          </cell>
        </row>
        <row r="25">
          <cell r="I25">
            <v>-909.54763781475037</v>
          </cell>
          <cell r="K25">
            <v>-216.87780754017336</v>
          </cell>
        </row>
        <row r="26">
          <cell r="I26">
            <v>0</v>
          </cell>
          <cell r="K26">
            <v>0</v>
          </cell>
        </row>
        <row r="27">
          <cell r="I27">
            <v>0</v>
          </cell>
          <cell r="K27">
            <v>0</v>
          </cell>
        </row>
        <row r="28">
          <cell r="I28">
            <v>-26.321677658678428</v>
          </cell>
          <cell r="K28">
            <v>-9.2579137328713692</v>
          </cell>
        </row>
        <row r="29">
          <cell r="I29">
            <v>0</v>
          </cell>
          <cell r="K29">
            <v>0</v>
          </cell>
        </row>
        <row r="30">
          <cell r="I30">
            <v>0</v>
          </cell>
          <cell r="K30">
            <v>0</v>
          </cell>
        </row>
        <row r="31">
          <cell r="I31">
            <v>1750.7460820959707</v>
          </cell>
          <cell r="K31">
            <v>1273.2061128002128</v>
          </cell>
        </row>
        <row r="32">
          <cell r="I32">
            <v>0</v>
          </cell>
          <cell r="K32">
            <v>0</v>
          </cell>
        </row>
        <row r="33">
          <cell r="I33">
            <v>0</v>
          </cell>
          <cell r="K33">
            <v>0</v>
          </cell>
        </row>
        <row r="34">
          <cell r="I34">
            <v>-306.57326769710357</v>
          </cell>
          <cell r="K34">
            <v>-132.57561638622104</v>
          </cell>
        </row>
        <row r="35">
          <cell r="I35">
            <v>0</v>
          </cell>
          <cell r="K35">
            <v>0</v>
          </cell>
        </row>
        <row r="36">
          <cell r="I36">
            <v>-712.28452504350162</v>
          </cell>
          <cell r="K36">
            <v>-337.6427002562337</v>
          </cell>
        </row>
        <row r="37">
          <cell r="I37">
            <v>0</v>
          </cell>
          <cell r="K37">
            <v>0</v>
          </cell>
        </row>
        <row r="38">
          <cell r="I38">
            <v>0</v>
          </cell>
          <cell r="K38">
            <v>0</v>
          </cell>
        </row>
        <row r="39">
          <cell r="I39">
            <v>0</v>
          </cell>
          <cell r="K39">
            <v>0</v>
          </cell>
        </row>
        <row r="40">
          <cell r="I40">
            <v>0</v>
          </cell>
          <cell r="K40">
            <v>0</v>
          </cell>
        </row>
        <row r="41">
          <cell r="I41">
            <v>-202.58416683958689</v>
          </cell>
          <cell r="K41">
            <v>-134.68491346585924</v>
          </cell>
        </row>
        <row r="42">
          <cell r="I42">
            <v>-359.43545318330757</v>
          </cell>
          <cell r="K42">
            <v>-106.74967995699511</v>
          </cell>
        </row>
        <row r="43">
          <cell r="I43">
            <v>0</v>
          </cell>
          <cell r="K43">
            <v>0</v>
          </cell>
        </row>
        <row r="44">
          <cell r="I44">
            <v>0</v>
          </cell>
          <cell r="K44">
            <v>0</v>
          </cell>
        </row>
        <row r="45">
          <cell r="I45">
            <v>-5180.8949039852941</v>
          </cell>
          <cell r="K45">
            <v>-1691.485293720702</v>
          </cell>
        </row>
        <row r="46">
          <cell r="I46">
            <v>0</v>
          </cell>
          <cell r="K46">
            <v>0</v>
          </cell>
        </row>
        <row r="47">
          <cell r="I47">
            <v>0</v>
          </cell>
          <cell r="K47">
            <v>0</v>
          </cell>
        </row>
        <row r="48">
          <cell r="I48">
            <v>0</v>
          </cell>
          <cell r="K48">
            <v>0</v>
          </cell>
        </row>
        <row r="49">
          <cell r="I49">
            <v>0</v>
          </cell>
          <cell r="K49">
            <v>0</v>
          </cell>
        </row>
        <row r="50">
          <cell r="I50">
            <v>0</v>
          </cell>
          <cell r="K50">
            <v>0</v>
          </cell>
        </row>
        <row r="51">
          <cell r="I51">
            <v>0</v>
          </cell>
          <cell r="K51">
            <v>0</v>
          </cell>
        </row>
        <row r="52">
          <cell r="I52">
            <v>0</v>
          </cell>
          <cell r="K52">
            <v>0</v>
          </cell>
        </row>
        <row r="53">
          <cell r="I53">
            <v>0</v>
          </cell>
          <cell r="K53">
            <v>0</v>
          </cell>
        </row>
        <row r="54">
          <cell r="I54">
            <v>-34.074981241392067</v>
          </cell>
          <cell r="K54">
            <v>-8.674640545172922</v>
          </cell>
        </row>
        <row r="55">
          <cell r="I55">
            <v>0</v>
          </cell>
          <cell r="K55">
            <v>0</v>
          </cell>
        </row>
        <row r="56">
          <cell r="I56">
            <v>0</v>
          </cell>
          <cell r="K56">
            <v>0</v>
          </cell>
        </row>
        <row r="57">
          <cell r="I57">
            <v>0</v>
          </cell>
          <cell r="K57">
            <v>0</v>
          </cell>
        </row>
        <row r="58">
          <cell r="I58">
            <v>0</v>
          </cell>
          <cell r="K58">
            <v>0</v>
          </cell>
        </row>
        <row r="59">
          <cell r="I59">
            <v>0</v>
          </cell>
          <cell r="K59">
            <v>0</v>
          </cell>
        </row>
        <row r="60">
          <cell r="I60">
            <v>1465.887995964496</v>
          </cell>
          <cell r="K60">
            <v>535.61649182238727</v>
          </cell>
        </row>
        <row r="61">
          <cell r="I61">
            <v>0</v>
          </cell>
          <cell r="K61">
            <v>0</v>
          </cell>
        </row>
        <row r="62">
          <cell r="I62">
            <v>0</v>
          </cell>
          <cell r="K62">
            <v>0</v>
          </cell>
        </row>
        <row r="63">
          <cell r="I63">
            <v>0</v>
          </cell>
          <cell r="K63">
            <v>0</v>
          </cell>
        </row>
        <row r="64">
          <cell r="I64">
            <v>0</v>
          </cell>
          <cell r="K64">
            <v>0</v>
          </cell>
        </row>
        <row r="65">
          <cell r="I65">
            <v>0</v>
          </cell>
          <cell r="K65">
            <v>0</v>
          </cell>
        </row>
        <row r="66">
          <cell r="I66">
            <v>0</v>
          </cell>
          <cell r="K66">
            <v>0</v>
          </cell>
        </row>
        <row r="67">
          <cell r="I67">
            <v>0</v>
          </cell>
          <cell r="K67">
            <v>0</v>
          </cell>
        </row>
        <row r="68">
          <cell r="I68">
            <v>0</v>
          </cell>
          <cell r="K68">
            <v>0</v>
          </cell>
        </row>
        <row r="69">
          <cell r="I69">
            <v>0</v>
          </cell>
          <cell r="K69">
            <v>0</v>
          </cell>
        </row>
        <row r="70">
          <cell r="I70">
            <v>0</v>
          </cell>
          <cell r="K70">
            <v>0</v>
          </cell>
        </row>
        <row r="71">
          <cell r="I71">
            <v>78.017407702758362</v>
          </cell>
          <cell r="K71">
            <v>24.927967259920109</v>
          </cell>
        </row>
        <row r="72">
          <cell r="I72">
            <v>0</v>
          </cell>
          <cell r="K72">
            <v>0</v>
          </cell>
        </row>
        <row r="73">
          <cell r="I73">
            <v>0</v>
          </cell>
          <cell r="K73">
            <v>0</v>
          </cell>
        </row>
        <row r="74">
          <cell r="I74">
            <v>0</v>
          </cell>
          <cell r="K7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04"/>
  <sheetViews>
    <sheetView showGridLines="0" tabSelected="1" view="pageBreakPreview" zoomScale="80" zoomScaleNormal="80" zoomScaleSheetLayoutView="80" workbookViewId="0">
      <pane xSplit="3" ySplit="9" topLeftCell="D10" activePane="bottomRight" state="frozen"/>
      <selection activeCell="A8" sqref="A8:A9"/>
      <selection pane="topRight" activeCell="A8" sqref="A8:A9"/>
      <selection pane="bottomLeft" activeCell="A8" sqref="A8:A9"/>
      <selection pane="bottomRight" activeCell="E90" sqref="E90"/>
    </sheetView>
  </sheetViews>
  <sheetFormatPr defaultRowHeight="12.75"/>
  <cols>
    <col min="1" max="1" width="4.28515625" customWidth="1"/>
    <col min="2" max="2" width="6.42578125" customWidth="1"/>
    <col min="3" max="3" width="63.7109375" customWidth="1"/>
    <col min="4" max="5" width="20" bestFit="1" customWidth="1"/>
    <col min="6" max="6" width="1.7109375" customWidth="1"/>
    <col min="7" max="7" width="19.85546875" customWidth="1"/>
    <col min="8" max="8" width="10.85546875" customWidth="1"/>
    <col min="9" max="9" width="3" customWidth="1"/>
    <col min="10" max="10" width="11.7109375" bestFit="1" customWidth="1"/>
  </cols>
  <sheetData>
    <row r="1" spans="1:10" ht="24.75" customHeight="1">
      <c r="G1" s="1630" t="s">
        <v>1456</v>
      </c>
      <c r="H1" s="1630"/>
    </row>
    <row r="2" spans="1:10" ht="24" customHeight="1">
      <c r="A2" s="1631" t="s">
        <v>1299</v>
      </c>
      <c r="B2" s="1632"/>
      <c r="C2" s="1632"/>
      <c r="D2" s="1632"/>
      <c r="E2" s="1632"/>
      <c r="F2" s="1632"/>
      <c r="G2" s="1632"/>
      <c r="H2" s="1632"/>
    </row>
    <row r="3" spans="1:10" ht="29.25" customHeight="1">
      <c r="A3" s="1633" t="s">
        <v>229</v>
      </c>
      <c r="B3" s="1633"/>
      <c r="C3" s="1633"/>
      <c r="D3" s="1633"/>
      <c r="E3" s="1633"/>
      <c r="F3" s="1633"/>
      <c r="G3" s="1633"/>
      <c r="H3" s="1633"/>
    </row>
    <row r="4" spans="1:10" ht="6.75" customHeight="1" thickBot="1">
      <c r="A4" s="1634"/>
      <c r="B4" s="1635"/>
      <c r="C4" s="1635"/>
      <c r="D4" s="1635"/>
      <c r="E4" s="1635"/>
      <c r="F4" s="1635"/>
      <c r="G4" s="1635"/>
      <c r="H4" s="1635"/>
      <c r="J4" s="833"/>
    </row>
    <row r="5" spans="1:10" s="35" customFormat="1" ht="12" customHeight="1" thickTop="1">
      <c r="A5" s="24"/>
      <c r="B5" s="25"/>
      <c r="C5" s="41"/>
      <c r="D5" s="1636" t="s">
        <v>740</v>
      </c>
      <c r="E5" s="1645" t="s">
        <v>1303</v>
      </c>
      <c r="F5" s="1646"/>
      <c r="G5" s="1639" t="s">
        <v>1304</v>
      </c>
      <c r="H5" s="1642" t="s">
        <v>21</v>
      </c>
    </row>
    <row r="6" spans="1:10" ht="24" customHeight="1">
      <c r="A6" s="184"/>
      <c r="B6" s="178"/>
      <c r="C6" s="179"/>
      <c r="D6" s="1637"/>
      <c r="E6" s="1647"/>
      <c r="F6" s="1648"/>
      <c r="G6" s="1640"/>
      <c r="H6" s="1643"/>
    </row>
    <row r="7" spans="1:10" s="35" customFormat="1" ht="20.100000000000001" customHeight="1">
      <c r="A7" s="184"/>
      <c r="B7" s="178"/>
      <c r="C7" s="42"/>
      <c r="D7" s="1637"/>
      <c r="E7" s="1647"/>
      <c r="F7" s="1648"/>
      <c r="G7" s="1640"/>
      <c r="H7" s="1643"/>
    </row>
    <row r="8" spans="1:10" s="35" customFormat="1" ht="27.75" customHeight="1" thickBot="1">
      <c r="A8" s="185"/>
      <c r="B8" s="26"/>
      <c r="C8" s="113" t="s">
        <v>194</v>
      </c>
      <c r="D8" s="1638"/>
      <c r="E8" s="1649"/>
      <c r="F8" s="1650"/>
      <c r="G8" s="1641"/>
      <c r="H8" s="1644"/>
    </row>
    <row r="9" spans="1:10" s="35" customFormat="1" ht="18.75" customHeight="1" thickTop="1" thickBot="1">
      <c r="A9" s="186" t="s">
        <v>183</v>
      </c>
      <c r="B9" s="50" t="s">
        <v>172</v>
      </c>
      <c r="C9" s="51"/>
      <c r="D9" s="901">
        <v>3855</v>
      </c>
      <c r="E9" s="901">
        <f>'Table 3 Levels 1&amp;2'!Q77</f>
        <v>3855</v>
      </c>
      <c r="F9" s="902"/>
      <c r="G9" s="223">
        <f>E9-D9</f>
        <v>0</v>
      </c>
      <c r="H9" s="536">
        <f t="shared" ref="H9:H24" si="0">ROUND((E9/D9)-1,4)</f>
        <v>0</v>
      </c>
    </row>
    <row r="10" spans="1:10" s="35" customFormat="1" ht="48" customHeight="1">
      <c r="A10" s="821" t="s">
        <v>184</v>
      </c>
      <c r="B10" s="1621" t="s">
        <v>1009</v>
      </c>
      <c r="C10" s="1622"/>
      <c r="D10" s="1259">
        <v>924654</v>
      </c>
      <c r="E10" s="1259">
        <f>E12+E20+E21+E22+E23+E24</f>
        <v>944883</v>
      </c>
      <c r="F10" s="1260"/>
      <c r="G10" s="1261">
        <f>E10-D10</f>
        <v>20229</v>
      </c>
      <c r="H10" s="537">
        <f t="shared" si="0"/>
        <v>2.1899999999999999E-2</v>
      </c>
    </row>
    <row r="11" spans="1:10" s="35" customFormat="1" ht="21.75" customHeight="1">
      <c r="A11" s="187"/>
      <c r="B11" s="30" t="s">
        <v>173</v>
      </c>
      <c r="C11" s="29" t="s">
        <v>1001</v>
      </c>
      <c r="D11" s="903"/>
      <c r="E11" s="903"/>
      <c r="F11" s="904"/>
      <c r="G11" s="141"/>
      <c r="H11" s="538"/>
    </row>
    <row r="12" spans="1:10" s="35" customFormat="1" ht="52.5" customHeight="1">
      <c r="A12" s="187"/>
      <c r="B12" s="1262" t="s">
        <v>955</v>
      </c>
      <c r="C12" s="1263" t="s">
        <v>1008</v>
      </c>
      <c r="D12" s="1257">
        <v>661517</v>
      </c>
      <c r="E12" s="1257">
        <f>'Table 3 Levels 1&amp;2'!C77</f>
        <v>676830</v>
      </c>
      <c r="F12" s="1258"/>
      <c r="G12" s="210">
        <f t="shared" ref="G12:G24" si="1">E12-D12</f>
        <v>15313</v>
      </c>
      <c r="H12" s="538">
        <f t="shared" si="0"/>
        <v>2.3099999999999999E-2</v>
      </c>
    </row>
    <row r="13" spans="1:10" s="35" customFormat="1" ht="21.75" customHeight="1">
      <c r="A13" s="187"/>
      <c r="B13" s="1256" t="s">
        <v>948</v>
      </c>
      <c r="C13" s="29" t="s">
        <v>619</v>
      </c>
      <c r="D13" s="903">
        <v>1650</v>
      </c>
      <c r="E13" s="903">
        <f>'Table 5A1 Labs '!B10</f>
        <v>1625</v>
      </c>
      <c r="F13" s="904"/>
      <c r="G13" s="141">
        <f t="shared" si="1"/>
        <v>-25</v>
      </c>
      <c r="H13" s="538">
        <f t="shared" si="0"/>
        <v>-1.52E-2</v>
      </c>
    </row>
    <row r="14" spans="1:10" s="35" customFormat="1" ht="18" customHeight="1">
      <c r="A14" s="187"/>
      <c r="B14" s="1256" t="s">
        <v>949</v>
      </c>
      <c r="C14" s="29" t="s">
        <v>620</v>
      </c>
      <c r="D14" s="903">
        <v>330.32457200000005</v>
      </c>
      <c r="E14" s="903">
        <f>'Table 5E_OJJ'!C76</f>
        <v>310.69909400000006</v>
      </c>
      <c r="F14" s="904"/>
      <c r="G14" s="141">
        <f t="shared" si="1"/>
        <v>-19.625477999999987</v>
      </c>
      <c r="H14" s="538">
        <f t="shared" si="0"/>
        <v>-5.9400000000000001E-2</v>
      </c>
    </row>
    <row r="15" spans="1:10" s="35" customFormat="1" ht="18" customHeight="1">
      <c r="A15" s="187"/>
      <c r="B15" s="1256" t="s">
        <v>950</v>
      </c>
      <c r="C15" s="29" t="s">
        <v>644</v>
      </c>
      <c r="D15" s="903">
        <v>3966</v>
      </c>
      <c r="E15" s="903">
        <v>0</v>
      </c>
      <c r="F15" s="904"/>
      <c r="G15" s="141">
        <f t="shared" si="1"/>
        <v>-3966</v>
      </c>
      <c r="H15" s="538">
        <f t="shared" si="0"/>
        <v>-1</v>
      </c>
    </row>
    <row r="16" spans="1:10" s="35" customFormat="1" ht="18" customHeight="1">
      <c r="A16" s="187"/>
      <c r="B16" s="1256" t="s">
        <v>951</v>
      </c>
      <c r="C16" s="29" t="s">
        <v>1238</v>
      </c>
      <c r="D16" s="903">
        <v>2462</v>
      </c>
      <c r="E16" s="903">
        <f>'Table 5C1H-Southwest LA Charter'!C16+'Table 5C1G-JS Clark Academy'!C55</f>
        <v>630</v>
      </c>
      <c r="F16" s="904"/>
      <c r="G16" s="141">
        <f t="shared" si="1"/>
        <v>-1832</v>
      </c>
      <c r="H16" s="538">
        <f t="shared" si="0"/>
        <v>-0.74409999999999998</v>
      </c>
    </row>
    <row r="17" spans="1:8" s="35" customFormat="1" ht="18" customHeight="1">
      <c r="A17" s="187"/>
      <c r="B17" s="1256" t="s">
        <v>952</v>
      </c>
      <c r="C17" s="29" t="s">
        <v>645</v>
      </c>
      <c r="D17" s="903">
        <v>321</v>
      </c>
      <c r="E17" s="903">
        <f>'Table 5A2 LSMSA'!C77</f>
        <v>294.99442900000003</v>
      </c>
      <c r="F17" s="904"/>
      <c r="G17" s="141">
        <f t="shared" si="1"/>
        <v>-26.005570999999975</v>
      </c>
      <c r="H17" s="538">
        <f t="shared" si="0"/>
        <v>-8.1000000000000003E-2</v>
      </c>
    </row>
    <row r="18" spans="1:8" s="35" customFormat="1" ht="18" customHeight="1">
      <c r="A18" s="187"/>
      <c r="B18" s="1256" t="s">
        <v>953</v>
      </c>
      <c r="C18" s="29" t="s">
        <v>646</v>
      </c>
      <c r="D18" s="903">
        <v>75</v>
      </c>
      <c r="E18" s="903">
        <f>'Table 5A3 NOCCA'!C76</f>
        <v>112</v>
      </c>
      <c r="F18" s="904"/>
      <c r="G18" s="141">
        <f t="shared" si="1"/>
        <v>37</v>
      </c>
      <c r="H18" s="538">
        <f t="shared" si="0"/>
        <v>0.49330000000000002</v>
      </c>
    </row>
    <row r="19" spans="1:8" s="35" customFormat="1" ht="18" customHeight="1">
      <c r="A19" s="187"/>
      <c r="B19" s="1256" t="s">
        <v>954</v>
      </c>
      <c r="C19" s="29" t="s">
        <v>618</v>
      </c>
      <c r="D19" s="1257">
        <v>670321.32457199995</v>
      </c>
      <c r="E19" s="1257">
        <f>SUM(E12:E18)</f>
        <v>679802.69352299999</v>
      </c>
      <c r="F19" s="1258"/>
      <c r="G19" s="210">
        <f t="shared" si="1"/>
        <v>9481.3689510000404</v>
      </c>
      <c r="H19" s="538">
        <f t="shared" si="0"/>
        <v>1.41E-2</v>
      </c>
    </row>
    <row r="20" spans="1:8" s="35" customFormat="1" ht="18.75" customHeight="1">
      <c r="A20" s="187"/>
      <c r="B20" s="214" t="s">
        <v>174</v>
      </c>
      <c r="C20" s="29" t="s">
        <v>217</v>
      </c>
      <c r="D20" s="903">
        <v>97662</v>
      </c>
      <c r="E20" s="903">
        <f>'Table 3 Levels 1&amp;2'!E77</f>
        <v>101295</v>
      </c>
      <c r="F20" s="904"/>
      <c r="G20" s="141">
        <f t="shared" si="1"/>
        <v>3633</v>
      </c>
      <c r="H20" s="539">
        <f t="shared" si="0"/>
        <v>3.7199999999999997E-2</v>
      </c>
    </row>
    <row r="21" spans="1:8" s="35" customFormat="1" ht="18.75" customHeight="1">
      <c r="A21" s="187"/>
      <c r="B21" s="30" t="s">
        <v>175</v>
      </c>
      <c r="C21" s="29" t="s">
        <v>218</v>
      </c>
      <c r="D21" s="903">
        <v>12344</v>
      </c>
      <c r="E21" s="903">
        <f>'Table 3 Levels 1&amp;2'!G77</f>
        <v>12888</v>
      </c>
      <c r="F21" s="904"/>
      <c r="G21" s="141">
        <f t="shared" si="1"/>
        <v>544</v>
      </c>
      <c r="H21" s="538">
        <f t="shared" si="0"/>
        <v>4.41E-2</v>
      </c>
    </row>
    <row r="22" spans="1:8" s="35" customFormat="1" ht="18.75" customHeight="1">
      <c r="A22" s="187"/>
      <c r="B22" s="30" t="s">
        <v>176</v>
      </c>
      <c r="C22" s="29" t="s">
        <v>177</v>
      </c>
      <c r="D22" s="903">
        <v>123438</v>
      </c>
      <c r="E22" s="903">
        <f>'Table 3 Levels 1&amp;2'!I77</f>
        <v>123582</v>
      </c>
      <c r="F22" s="904"/>
      <c r="G22" s="141">
        <f t="shared" si="1"/>
        <v>144</v>
      </c>
      <c r="H22" s="538">
        <f t="shared" si="0"/>
        <v>1.1999999999999999E-3</v>
      </c>
    </row>
    <row r="23" spans="1:8" s="35" customFormat="1" ht="18.75" customHeight="1">
      <c r="A23" s="187"/>
      <c r="B23" s="30" t="s">
        <v>178</v>
      </c>
      <c r="C23" s="29" t="s">
        <v>179</v>
      </c>
      <c r="D23" s="903">
        <v>16304</v>
      </c>
      <c r="E23" s="903">
        <f>'Table 3 Levels 1&amp;2'!K77</f>
        <v>17047</v>
      </c>
      <c r="F23" s="904"/>
      <c r="G23" s="141">
        <f t="shared" si="1"/>
        <v>743</v>
      </c>
      <c r="H23" s="538">
        <f t="shared" si="0"/>
        <v>4.5600000000000002E-2</v>
      </c>
    </row>
    <row r="24" spans="1:8" s="35" customFormat="1" ht="16.5" thickBot="1">
      <c r="A24" s="188"/>
      <c r="B24" s="55" t="s">
        <v>180</v>
      </c>
      <c r="C24" s="905" t="s">
        <v>195</v>
      </c>
      <c r="D24" s="906">
        <v>13389</v>
      </c>
      <c r="E24" s="906">
        <f>'Table 3 Levels 1&amp;2'!N77</f>
        <v>13241</v>
      </c>
      <c r="F24" s="907"/>
      <c r="G24" s="908">
        <f t="shared" si="1"/>
        <v>-148</v>
      </c>
      <c r="H24" s="542">
        <f t="shared" si="0"/>
        <v>-1.11E-2</v>
      </c>
    </row>
    <row r="25" spans="1:8" s="35" customFormat="1" ht="15.75">
      <c r="A25" s="187" t="s">
        <v>185</v>
      </c>
      <c r="B25" s="27" t="s">
        <v>181</v>
      </c>
      <c r="C25" s="32"/>
      <c r="D25" s="928">
        <v>3564541170</v>
      </c>
      <c r="E25" s="928">
        <f>'Table 3 Levels 1&amp;2'!R77</f>
        <v>3642523965</v>
      </c>
      <c r="F25" s="929"/>
      <c r="G25" s="28">
        <f t="shared" ref="G25:G37" si="2">E25-D25</f>
        <v>77982795</v>
      </c>
      <c r="H25" s="538">
        <f t="shared" ref="H25:H37" si="3">ROUND((E25/D25)-1,4)</f>
        <v>2.1899999999999999E-2</v>
      </c>
    </row>
    <row r="26" spans="1:8" s="35" customFormat="1" ht="21.75" customHeight="1">
      <c r="A26" s="187"/>
      <c r="B26" s="85" t="s">
        <v>173</v>
      </c>
      <c r="C26" s="86" t="s">
        <v>259</v>
      </c>
      <c r="D26" s="930">
        <v>2316995202.5</v>
      </c>
      <c r="E26" s="930">
        <f>'Table 3 Levels 1&amp;2'!U77</f>
        <v>2367547410</v>
      </c>
      <c r="F26" s="931"/>
      <c r="G26" s="87">
        <f t="shared" si="2"/>
        <v>50552207.5</v>
      </c>
      <c r="H26" s="541">
        <f t="shared" si="3"/>
        <v>2.18E-2</v>
      </c>
    </row>
    <row r="27" spans="1:8" s="35" customFormat="1" ht="18.75" customHeight="1" thickBot="1">
      <c r="A27" s="188"/>
      <c r="B27" s="52" t="s">
        <v>174</v>
      </c>
      <c r="C27" s="53" t="s">
        <v>260</v>
      </c>
      <c r="D27" s="932">
        <v>1247545967.5</v>
      </c>
      <c r="E27" s="932">
        <f>'Table 3 Levels 1&amp;2'!T77</f>
        <v>1274976555</v>
      </c>
      <c r="F27" s="933"/>
      <c r="G27" s="54">
        <f t="shared" si="2"/>
        <v>27430587.5</v>
      </c>
      <c r="H27" s="540">
        <f t="shared" si="3"/>
        <v>2.1999999999999999E-2</v>
      </c>
    </row>
    <row r="28" spans="1:8" s="35" customFormat="1" ht="18.75" customHeight="1">
      <c r="A28" s="189" t="s">
        <v>186</v>
      </c>
      <c r="B28" s="27" t="s">
        <v>196</v>
      </c>
      <c r="C28" s="72"/>
      <c r="D28" s="928">
        <v>2855993315.5</v>
      </c>
      <c r="E28" s="928">
        <f>'Table 7 Local Revenue'!AQ77</f>
        <v>2990718502.5</v>
      </c>
      <c r="F28" s="929"/>
      <c r="G28" s="28">
        <f t="shared" si="2"/>
        <v>134725187</v>
      </c>
      <c r="H28" s="538">
        <f t="shared" si="3"/>
        <v>4.7199999999999999E-2</v>
      </c>
    </row>
    <row r="29" spans="1:8" s="35" customFormat="1" ht="19.5" customHeight="1">
      <c r="A29" s="187"/>
      <c r="B29" s="33" t="s">
        <v>173</v>
      </c>
      <c r="C29" s="27" t="s">
        <v>257</v>
      </c>
      <c r="D29" s="934">
        <v>31212491447.999992</v>
      </c>
      <c r="E29" s="934">
        <f>'Table 7 Local Revenue'!H77</f>
        <v>32368249012.300007</v>
      </c>
      <c r="F29" s="935"/>
      <c r="G29" s="28">
        <f t="shared" si="2"/>
        <v>1155757564.3000145</v>
      </c>
      <c r="H29" s="538">
        <f t="shared" si="3"/>
        <v>3.6999999999999998E-2</v>
      </c>
    </row>
    <row r="30" spans="1:8" s="35" customFormat="1" ht="18.75" customHeight="1">
      <c r="A30" s="187"/>
      <c r="B30" s="33" t="s">
        <v>174</v>
      </c>
      <c r="C30" s="27" t="s">
        <v>258</v>
      </c>
      <c r="D30" s="934">
        <v>76483527246.550003</v>
      </c>
      <c r="E30" s="934">
        <f>'Table 7 Local Revenue'!AM77</f>
        <v>81720840432.400009</v>
      </c>
      <c r="F30" s="935"/>
      <c r="G30" s="28">
        <f t="shared" si="2"/>
        <v>5237313185.8500061</v>
      </c>
      <c r="H30" s="538">
        <f t="shared" si="3"/>
        <v>6.8500000000000005E-2</v>
      </c>
    </row>
    <row r="31" spans="1:8" s="35" customFormat="1" ht="18.75" customHeight="1">
      <c r="A31" s="187"/>
      <c r="B31" s="33" t="s">
        <v>175</v>
      </c>
      <c r="C31" s="27" t="s">
        <v>197</v>
      </c>
      <c r="D31" s="909" t="s">
        <v>697</v>
      </c>
      <c r="E31" s="909" t="s">
        <v>1290</v>
      </c>
      <c r="F31" s="936"/>
      <c r="G31" s="139"/>
      <c r="H31" s="538"/>
    </row>
    <row r="32" spans="1:8" s="35" customFormat="1" ht="15.75">
      <c r="A32" s="187"/>
      <c r="B32" s="33" t="s">
        <v>176</v>
      </c>
      <c r="C32" s="27" t="s">
        <v>198</v>
      </c>
      <c r="D32" s="910" t="s">
        <v>747</v>
      </c>
      <c r="E32" s="910" t="s">
        <v>831</v>
      </c>
      <c r="F32" s="937"/>
      <c r="G32" s="138"/>
      <c r="H32" s="538"/>
    </row>
    <row r="33" spans="1:8" s="35" customFormat="1" ht="15.75">
      <c r="A33" s="187"/>
      <c r="B33" s="33" t="s">
        <v>178</v>
      </c>
      <c r="C33" s="27" t="s">
        <v>199</v>
      </c>
      <c r="D33" s="934">
        <v>1272732205</v>
      </c>
      <c r="E33" s="934">
        <f>'Table 7 Local Revenue'!AE77</f>
        <v>1308298117</v>
      </c>
      <c r="F33" s="935"/>
      <c r="G33" s="28">
        <f t="shared" si="2"/>
        <v>35565912</v>
      </c>
      <c r="H33" s="538">
        <f t="shared" si="3"/>
        <v>2.7900000000000001E-2</v>
      </c>
    </row>
    <row r="34" spans="1:8" s="35" customFormat="1" ht="18.75" customHeight="1">
      <c r="A34" s="187"/>
      <c r="B34" s="33" t="s">
        <v>180</v>
      </c>
      <c r="C34" s="27" t="s">
        <v>200</v>
      </c>
      <c r="D34" s="934">
        <v>1545304410</v>
      </c>
      <c r="E34" s="934">
        <f>'Table 7 Local Revenue'!AI77</f>
        <v>1644278388</v>
      </c>
      <c r="F34" s="935"/>
      <c r="G34" s="28">
        <f t="shared" si="2"/>
        <v>98973978</v>
      </c>
      <c r="H34" s="538">
        <f t="shared" si="3"/>
        <v>6.4000000000000001E-2</v>
      </c>
    </row>
    <row r="35" spans="1:8" s="35" customFormat="1" ht="18.75" customHeight="1" thickBot="1">
      <c r="A35" s="188"/>
      <c r="B35" s="55" t="s">
        <v>201</v>
      </c>
      <c r="C35" s="56" t="s">
        <v>202</v>
      </c>
      <c r="D35" s="932">
        <v>37956700.5</v>
      </c>
      <c r="E35" s="932">
        <f>'Table 7 Local Revenue'!AP77</f>
        <v>38141997.5</v>
      </c>
      <c r="F35" s="933"/>
      <c r="G35" s="57">
        <f t="shared" si="2"/>
        <v>185297</v>
      </c>
      <c r="H35" s="542">
        <f t="shared" si="3"/>
        <v>4.8999999999999998E-3</v>
      </c>
    </row>
    <row r="36" spans="1:8" s="35" customFormat="1" ht="18.75" customHeight="1">
      <c r="A36" s="187" t="s">
        <v>187</v>
      </c>
      <c r="B36" s="31" t="s">
        <v>182</v>
      </c>
      <c r="C36" s="27"/>
      <c r="D36" s="928">
        <v>1063767149.2</v>
      </c>
      <c r="E36" s="928">
        <f>'Table 3 Levels 1&amp;2'!AC77</f>
        <v>1098298863.3000002</v>
      </c>
      <c r="F36" s="929"/>
      <c r="G36" s="28">
        <f t="shared" si="2"/>
        <v>34531714.100000143</v>
      </c>
      <c r="H36" s="538">
        <f t="shared" si="3"/>
        <v>3.2500000000000001E-2</v>
      </c>
    </row>
    <row r="37" spans="1:8" s="35" customFormat="1" ht="23.25" customHeight="1" thickBot="1">
      <c r="A37" s="190"/>
      <c r="B37" s="85" t="s">
        <v>173</v>
      </c>
      <c r="C37" s="88" t="s">
        <v>261</v>
      </c>
      <c r="D37" s="938">
        <v>399856216.25968516</v>
      </c>
      <c r="E37" s="938">
        <f>'Table 3 Levels 1&amp;2'!AE77</f>
        <v>415212961.69691807</v>
      </c>
      <c r="F37" s="939"/>
      <c r="G37" s="87">
        <f t="shared" si="2"/>
        <v>15356745.437232912</v>
      </c>
      <c r="H37" s="541">
        <f t="shared" si="3"/>
        <v>3.8399999999999997E-2</v>
      </c>
    </row>
    <row r="38" spans="1:8" s="35" customFormat="1" ht="18.75" customHeight="1" thickBot="1">
      <c r="A38" s="191" t="s">
        <v>225</v>
      </c>
      <c r="B38" s="89" t="s">
        <v>224</v>
      </c>
      <c r="C38" s="90"/>
      <c r="D38" s="940">
        <v>2716851418.759685</v>
      </c>
      <c r="E38" s="940">
        <f>E26+E37</f>
        <v>2782760371.696918</v>
      </c>
      <c r="F38" s="941"/>
      <c r="G38" s="91">
        <f>E38-D38</f>
        <v>65908952.937232971</v>
      </c>
      <c r="H38" s="543">
        <f>ROUND((E38/D38)-1,4)</f>
        <v>2.4299999999999999E-2</v>
      </c>
    </row>
    <row r="39" spans="1:8" s="35" customFormat="1" ht="27.75" customHeight="1">
      <c r="A39" s="192" t="s">
        <v>188</v>
      </c>
      <c r="B39" s="1623" t="s">
        <v>34</v>
      </c>
      <c r="C39" s="1624"/>
      <c r="D39" s="942">
        <v>614163054.70337665</v>
      </c>
      <c r="E39" s="942">
        <f>E40+E41+E42+E43</f>
        <v>622165098.84266078</v>
      </c>
      <c r="F39" s="943"/>
      <c r="G39" s="485">
        <f>E39-D39</f>
        <v>8002044.1392841339</v>
      </c>
      <c r="H39" s="544">
        <f>ROUND((E39/D39)-1,4)</f>
        <v>1.2999999999999999E-2</v>
      </c>
    </row>
    <row r="40" spans="1:8" s="35" customFormat="1" ht="27" customHeight="1">
      <c r="A40" s="193"/>
      <c r="B40" s="295" t="s">
        <v>173</v>
      </c>
      <c r="C40" s="169" t="s">
        <v>603</v>
      </c>
      <c r="D40" s="944">
        <v>466358424.70337665</v>
      </c>
      <c r="E40" s="944">
        <f>+'Table 4 Level 3'!Q75</f>
        <v>477048859.84266078</v>
      </c>
      <c r="F40" s="945"/>
      <c r="G40" s="79">
        <f>E40-D40</f>
        <v>10690435.139284134</v>
      </c>
      <c r="H40" s="545">
        <f>ROUND((E40/D40)-1,4)</f>
        <v>2.29E-2</v>
      </c>
    </row>
    <row r="41" spans="1:8" s="35" customFormat="1" ht="18" customHeight="1">
      <c r="A41" s="193"/>
      <c r="B41" s="295" t="s">
        <v>174</v>
      </c>
      <c r="C41" s="170" t="s">
        <v>32</v>
      </c>
      <c r="D41" s="944">
        <v>4860000</v>
      </c>
      <c r="E41" s="944">
        <f>'Table 4 Level 3'!L75</f>
        <v>4360000</v>
      </c>
      <c r="F41" s="945"/>
      <c r="G41" s="79">
        <f t="shared" ref="G41:G47" si="4">E41-D41</f>
        <v>-500000</v>
      </c>
      <c r="H41" s="545">
        <f>ROUND((E41/D41)-1,4)</f>
        <v>-0.10290000000000001</v>
      </c>
    </row>
    <row r="42" spans="1:8" s="35" customFormat="1" ht="18" customHeight="1">
      <c r="A42" s="193"/>
      <c r="B42" s="295" t="s">
        <v>175</v>
      </c>
      <c r="C42" s="207" t="s">
        <v>219</v>
      </c>
      <c r="D42" s="946">
        <v>66151700</v>
      </c>
      <c r="E42" s="946">
        <f>'Table 4 Level 3'!N75</f>
        <v>67683000</v>
      </c>
      <c r="F42" s="947"/>
      <c r="G42" s="209">
        <f t="shared" si="4"/>
        <v>1531300</v>
      </c>
      <c r="H42" s="545">
        <f t="shared" ref="H42:H88" si="5">ROUND((E42/D42)-1,4)</f>
        <v>2.3099999999999999E-2</v>
      </c>
    </row>
    <row r="43" spans="1:8" s="35" customFormat="1" ht="18" customHeight="1">
      <c r="A43" s="193"/>
      <c r="B43" s="295" t="s">
        <v>176</v>
      </c>
      <c r="C43" s="207" t="s">
        <v>248</v>
      </c>
      <c r="D43" s="948">
        <v>76792930</v>
      </c>
      <c r="E43" s="948">
        <f>SUM(E44:E47)</f>
        <v>73073239</v>
      </c>
      <c r="F43" s="949"/>
      <c r="G43" s="209">
        <f t="shared" si="4"/>
        <v>-3719691</v>
      </c>
      <c r="H43" s="545">
        <f t="shared" si="5"/>
        <v>-4.8399999999999999E-2</v>
      </c>
    </row>
    <row r="44" spans="1:8" s="35" customFormat="1" ht="18" customHeight="1">
      <c r="A44" s="193"/>
      <c r="B44" s="481"/>
      <c r="C44" s="555" t="s">
        <v>324</v>
      </c>
      <c r="D44" s="950">
        <v>38336714</v>
      </c>
      <c r="E44" s="950">
        <f>'Table 4 Level 3'!D75</f>
        <v>38336714</v>
      </c>
      <c r="F44" s="951"/>
      <c r="G44" s="556">
        <f t="shared" si="4"/>
        <v>0</v>
      </c>
      <c r="H44" s="557">
        <f t="shared" si="5"/>
        <v>0</v>
      </c>
    </row>
    <row r="45" spans="1:8" s="35" customFormat="1" ht="18" customHeight="1">
      <c r="A45" s="193"/>
      <c r="B45" s="481"/>
      <c r="C45" s="555" t="s">
        <v>325</v>
      </c>
      <c r="D45" s="952">
        <v>38456219</v>
      </c>
      <c r="E45" s="952">
        <f>'Table 4 Level 3'!E75</f>
        <v>38456219</v>
      </c>
      <c r="F45" s="953"/>
      <c r="G45" s="556">
        <f t="shared" si="4"/>
        <v>0</v>
      </c>
      <c r="H45" s="557">
        <f t="shared" si="5"/>
        <v>0</v>
      </c>
    </row>
    <row r="46" spans="1:8" s="35" customFormat="1" ht="26.25" customHeight="1">
      <c r="A46" s="193"/>
      <c r="B46" s="481"/>
      <c r="C46" s="560" t="s">
        <v>704</v>
      </c>
      <c r="D46" s="952">
        <v>-19857730</v>
      </c>
      <c r="E46" s="952">
        <f>'Table 4 Level 3'!F75+'Table 4 Level 3'!H75</f>
        <v>-23577426</v>
      </c>
      <c r="F46" s="953"/>
      <c r="G46" s="561">
        <f t="shared" si="4"/>
        <v>-3719696</v>
      </c>
      <c r="H46" s="562">
        <f t="shared" si="5"/>
        <v>0.18729999999999999</v>
      </c>
    </row>
    <row r="47" spans="1:8" s="35" customFormat="1" ht="18" customHeight="1" thickBot="1">
      <c r="A47" s="193"/>
      <c r="B47" s="480"/>
      <c r="C47" s="207" t="s">
        <v>326</v>
      </c>
      <c r="D47" s="954">
        <v>19857727</v>
      </c>
      <c r="E47" s="954">
        <f>'Table 4 Level 3'!J75</f>
        <v>19857732</v>
      </c>
      <c r="F47" s="955"/>
      <c r="G47" s="208">
        <f t="shared" si="4"/>
        <v>5</v>
      </c>
      <c r="H47" s="545">
        <f t="shared" si="5"/>
        <v>0</v>
      </c>
    </row>
    <row r="48" spans="1:8" s="35" customFormat="1" ht="17.25" customHeight="1">
      <c r="A48" s="755" t="s">
        <v>189</v>
      </c>
      <c r="B48" s="358" t="s">
        <v>634</v>
      </c>
      <c r="C48" s="359"/>
      <c r="D48" s="956">
        <v>3331014473.4630618</v>
      </c>
      <c r="E48" s="956">
        <f>SUM(E38:E39)</f>
        <v>3404925470.5395789</v>
      </c>
      <c r="F48" s="957"/>
      <c r="G48" s="753">
        <f>E48-D48</f>
        <v>73910997.076517105</v>
      </c>
      <c r="H48" s="754">
        <f t="shared" si="5"/>
        <v>2.2200000000000001E-2</v>
      </c>
    </row>
    <row r="49" spans="1:8" s="35" customFormat="1" ht="16.5" thickBot="1">
      <c r="A49" s="194"/>
      <c r="B49" s="92"/>
      <c r="C49" s="93" t="s">
        <v>254</v>
      </c>
      <c r="D49" s="915">
        <v>5035.4177949516961</v>
      </c>
      <c r="E49" s="915">
        <f>'Table 3 Levels 1&amp;2'!AP77</f>
        <v>5030.6952566221626</v>
      </c>
      <c r="F49" s="916"/>
      <c r="G49" s="348">
        <f>E49-D49</f>
        <v>-4.7225383295335632</v>
      </c>
      <c r="H49" s="546">
        <f t="shared" si="5"/>
        <v>-8.9999999999999998E-4</v>
      </c>
    </row>
    <row r="50" spans="1:8" s="35" customFormat="1" ht="15.75">
      <c r="A50" s="484" t="s">
        <v>190</v>
      </c>
      <c r="B50" s="1625" t="s">
        <v>633</v>
      </c>
      <c r="C50" s="1625"/>
      <c r="D50" s="984"/>
      <c r="E50" s="982"/>
      <c r="F50" s="983"/>
      <c r="G50" s="176"/>
      <c r="H50" s="547"/>
    </row>
    <row r="51" spans="1:8" s="35" customFormat="1" ht="17.25" customHeight="1">
      <c r="A51" s="195"/>
      <c r="B51" s="175" t="s">
        <v>228</v>
      </c>
      <c r="C51" s="86"/>
      <c r="D51" s="87">
        <v>8172061.8755278708</v>
      </c>
      <c r="E51" s="913">
        <f>E53+E52</f>
        <v>8039438.7114330698</v>
      </c>
      <c r="F51" s="914"/>
      <c r="G51" s="87">
        <f t="shared" ref="G51:G77" si="6">E51-D51</f>
        <v>-132623.16409480106</v>
      </c>
      <c r="H51" s="541">
        <f t="shared" si="5"/>
        <v>-1.6199999999999999E-2</v>
      </c>
    </row>
    <row r="52" spans="1:8" s="35" customFormat="1" ht="19.5" customHeight="1">
      <c r="A52" s="196"/>
      <c r="B52" s="460" t="s">
        <v>173</v>
      </c>
      <c r="C52" s="461" t="s">
        <v>630</v>
      </c>
      <c r="D52" s="462">
        <v>6688241.8685873607</v>
      </c>
      <c r="E52" s="917">
        <f>'Table 5A1 Labs '!G8</f>
        <v>6702549.7560223052</v>
      </c>
      <c r="F52" s="918"/>
      <c r="G52" s="462">
        <f t="shared" si="6"/>
        <v>14307.88743494451</v>
      </c>
      <c r="H52" s="548">
        <f t="shared" si="5"/>
        <v>2.0999999999999999E-3</v>
      </c>
    </row>
    <row r="53" spans="1:8" s="35" customFormat="1" ht="15.75">
      <c r="A53" s="196"/>
      <c r="B53" s="181" t="s">
        <v>174</v>
      </c>
      <c r="C53" s="174" t="s">
        <v>631</v>
      </c>
      <c r="D53" s="463">
        <v>1483820.0069405099</v>
      </c>
      <c r="E53" s="958">
        <f>'Table 5A1 Labs '!G9</f>
        <v>1336888.9554107648</v>
      </c>
      <c r="F53" s="970"/>
      <c r="G53" s="919">
        <f t="shared" si="6"/>
        <v>-146931.05152974511</v>
      </c>
      <c r="H53" s="549">
        <f t="shared" si="5"/>
        <v>-9.9000000000000005E-2</v>
      </c>
    </row>
    <row r="54" spans="1:8" s="35" customFormat="1" ht="15.75">
      <c r="A54" s="484" t="s">
        <v>191</v>
      </c>
      <c r="B54" s="182" t="s">
        <v>86</v>
      </c>
      <c r="C54" s="177"/>
      <c r="D54" s="87">
        <v>124299466.34518985</v>
      </c>
      <c r="E54" s="959">
        <f>SUM(E55:E59)</f>
        <v>139518605.8923862</v>
      </c>
      <c r="F54" s="971"/>
      <c r="G54" s="920">
        <f t="shared" si="6"/>
        <v>15219139.547196344</v>
      </c>
      <c r="H54" s="541">
        <f t="shared" si="5"/>
        <v>0.12239999999999999</v>
      </c>
    </row>
    <row r="55" spans="1:8" s="35" customFormat="1" ht="15.75">
      <c r="A55" s="196"/>
      <c r="B55" s="460" t="s">
        <v>173</v>
      </c>
      <c r="C55" s="461" t="s">
        <v>137</v>
      </c>
      <c r="D55" s="462">
        <v>107906806.64114633</v>
      </c>
      <c r="E55" s="911">
        <f>'Table 5B1_RSD_Orleans'!H70</f>
        <v>120265434.00631183</v>
      </c>
      <c r="F55" s="972"/>
      <c r="G55" s="912">
        <f t="shared" si="6"/>
        <v>12358627.365165502</v>
      </c>
      <c r="H55" s="548">
        <f t="shared" si="5"/>
        <v>0.1145</v>
      </c>
    </row>
    <row r="56" spans="1:8" s="35" customFormat="1" ht="15.75">
      <c r="A56" s="196"/>
      <c r="B56" s="464" t="s">
        <v>174</v>
      </c>
      <c r="C56" s="465" t="s">
        <v>118</v>
      </c>
      <c r="D56" s="466">
        <v>9417474.2718160264</v>
      </c>
      <c r="E56" s="960">
        <f>'Table 5B2_RSD_LA'!H18</f>
        <v>12606029.648745883</v>
      </c>
      <c r="F56" s="973"/>
      <c r="G56" s="921">
        <f t="shared" si="6"/>
        <v>3188555.3769298568</v>
      </c>
      <c r="H56" s="550">
        <f t="shared" si="5"/>
        <v>0.33860000000000001</v>
      </c>
    </row>
    <row r="57" spans="1:8" s="35" customFormat="1" ht="15.75">
      <c r="A57" s="196"/>
      <c r="B57" s="464" t="s">
        <v>175</v>
      </c>
      <c r="C57" s="465" t="s">
        <v>140</v>
      </c>
      <c r="D57" s="466">
        <v>1324088.4322274881</v>
      </c>
      <c r="E57" s="960">
        <f>'Table 5B2_RSD_LA'!H23</f>
        <v>1237038.6373284906</v>
      </c>
      <c r="F57" s="973"/>
      <c r="G57" s="921">
        <f t="shared" si="6"/>
        <v>-87049.794898997527</v>
      </c>
      <c r="H57" s="550">
        <f t="shared" si="5"/>
        <v>-6.5699999999999995E-2</v>
      </c>
    </row>
    <row r="58" spans="1:8" s="35" customFormat="1" ht="15.75">
      <c r="A58" s="196"/>
      <c r="B58" s="464" t="s">
        <v>176</v>
      </c>
      <c r="C58" s="465" t="s">
        <v>110</v>
      </c>
      <c r="D58" s="466">
        <v>3339416.76</v>
      </c>
      <c r="E58" s="960">
        <f>'Table 5B2_RSD_LA'!H30</f>
        <v>3228424.44</v>
      </c>
      <c r="F58" s="973"/>
      <c r="G58" s="921">
        <f t="shared" si="6"/>
        <v>-110992.31999999983</v>
      </c>
      <c r="H58" s="550">
        <f t="shared" si="5"/>
        <v>-3.32E-2</v>
      </c>
    </row>
    <row r="59" spans="1:8" s="35" customFormat="1" ht="15.75">
      <c r="A59" s="196"/>
      <c r="B59" s="181" t="s">
        <v>178</v>
      </c>
      <c r="C59" s="174" t="s">
        <v>147</v>
      </c>
      <c r="D59" s="751">
        <v>2311680.2400000002</v>
      </c>
      <c r="E59" s="961">
        <f>'Table 5B2_RSD_LA'!H35</f>
        <v>2181679.16</v>
      </c>
      <c r="F59" s="970"/>
      <c r="G59" s="922">
        <f t="shared" si="6"/>
        <v>-130001.08000000007</v>
      </c>
      <c r="H59" s="752">
        <f t="shared" si="5"/>
        <v>-5.62E-2</v>
      </c>
    </row>
    <row r="60" spans="1:8" s="35" customFormat="1" ht="15.75">
      <c r="A60" s="198" t="s">
        <v>66</v>
      </c>
      <c r="B60" s="182" t="s">
        <v>702</v>
      </c>
      <c r="C60" s="177"/>
      <c r="D60" s="87">
        <v>3206902.019904824</v>
      </c>
      <c r="E60" s="962">
        <f>'Table 5C1A-Madison Prep'!H76+'Table 5C1B-DArbonne'!H77+'Table 5C1C-Intl_VIBE'!H76+'Table 5C1D-NOMMA'!H76+'Table 5C1E-LFNO'!H76+'Table 5C1F-Lake Charles Charter'!H76+'Table 5C2 - LA Virtual Admy'!H73+'Table 5C3 - LA Connections EBR'!H73</f>
        <v>16420619.42228598</v>
      </c>
      <c r="F60" s="979"/>
      <c r="G60" s="920">
        <f t="shared" si="6"/>
        <v>13213717.402381156</v>
      </c>
      <c r="H60" s="541">
        <f t="shared" si="5"/>
        <v>4.1204000000000001</v>
      </c>
    </row>
    <row r="61" spans="1:8" s="35" customFormat="1" ht="15.75">
      <c r="A61" s="198" t="s">
        <v>564</v>
      </c>
      <c r="B61" s="182" t="s">
        <v>700</v>
      </c>
      <c r="C61" s="177"/>
      <c r="D61" s="87">
        <v>11375740.166563038</v>
      </c>
      <c r="E61" s="962">
        <f>'Table 5C1G-JS Clark Academy'!H55+'Table 5C1H-Southwest LA Charter'!H16</f>
        <v>3176086.9604448481</v>
      </c>
      <c r="F61" s="979"/>
      <c r="G61" s="920">
        <f t="shared" si="6"/>
        <v>-8199653.2061181897</v>
      </c>
      <c r="H61" s="541">
        <f t="shared" si="5"/>
        <v>-0.7208</v>
      </c>
    </row>
    <row r="62" spans="1:8" s="35" customFormat="1" ht="15.75">
      <c r="A62" s="198" t="s">
        <v>192</v>
      </c>
      <c r="B62" s="182" t="s">
        <v>565</v>
      </c>
      <c r="C62" s="177"/>
      <c r="D62" s="87">
        <v>2592468.8422851241</v>
      </c>
      <c r="E62" s="963">
        <f>'Table 5E_OJJ'!G76</f>
        <v>2434331.2008444211</v>
      </c>
      <c r="F62" s="979"/>
      <c r="G62" s="920">
        <f t="shared" si="6"/>
        <v>-158137.64144070307</v>
      </c>
      <c r="H62" s="541">
        <f t="shared" si="5"/>
        <v>-6.0999999999999999E-2</v>
      </c>
    </row>
    <row r="63" spans="1:8" s="35" customFormat="1" ht="15.75">
      <c r="A63" s="198" t="s">
        <v>1291</v>
      </c>
      <c r="B63" s="182" t="s">
        <v>67</v>
      </c>
      <c r="C63" s="177"/>
      <c r="D63" s="87">
        <v>656000</v>
      </c>
      <c r="E63" s="959">
        <f>'Table 4A Stipends'!G73</f>
        <v>656000</v>
      </c>
      <c r="F63" s="971"/>
      <c r="G63" s="920">
        <f t="shared" si="6"/>
        <v>0</v>
      </c>
      <c r="H63" s="541">
        <f t="shared" si="5"/>
        <v>0</v>
      </c>
    </row>
    <row r="64" spans="1:8" s="820" customFormat="1" ht="15.75">
      <c r="A64" s="1198" t="s">
        <v>92</v>
      </c>
      <c r="B64" s="1199" t="s">
        <v>705</v>
      </c>
      <c r="C64" s="1200"/>
      <c r="D64" s="1201">
        <v>38849833</v>
      </c>
      <c r="E64" s="1202">
        <f>'Table 5D1 - New Vision'!G76+'Table 5D2 - Glencoe'!G76+'Table 5D3 - International'!G76+'Table 5D4 - Avoyelles'!G76+'Table 5D5 - Delhi'!G76+'Table 5D8 - Belle Chasse'!I78+'Table 5D6 - Milestone'!G76+'Table 5D7 - Max'!G76</f>
        <v>23256254.492751442</v>
      </c>
      <c r="F64" s="1203"/>
      <c r="G64" s="1204">
        <f t="shared" si="6"/>
        <v>-15593578.507248558</v>
      </c>
      <c r="H64" s="1205">
        <f t="shared" si="5"/>
        <v>-0.40139999999999998</v>
      </c>
    </row>
    <row r="65" spans="1:8" s="820" customFormat="1" ht="15.75">
      <c r="A65" s="1198" t="s">
        <v>94</v>
      </c>
      <c r="B65" s="1199" t="s">
        <v>643</v>
      </c>
      <c r="C65" s="1200"/>
      <c r="D65" s="1201">
        <v>1616229.6330098605</v>
      </c>
      <c r="E65" s="1202">
        <f>'Table 5A2 LSMSA'!H77</f>
        <v>992132.68253089651</v>
      </c>
      <c r="F65" s="1203"/>
      <c r="G65" s="1204">
        <f t="shared" si="6"/>
        <v>-624096.95047896402</v>
      </c>
      <c r="H65" s="1205">
        <f t="shared" si="5"/>
        <v>-0.3861</v>
      </c>
    </row>
    <row r="66" spans="1:8" s="820" customFormat="1" ht="15.75">
      <c r="A66" s="1198" t="s">
        <v>327</v>
      </c>
      <c r="B66" s="1199" t="s">
        <v>647</v>
      </c>
      <c r="C66" s="1200"/>
      <c r="D66" s="1201">
        <v>377623.74603034125</v>
      </c>
      <c r="E66" s="1202">
        <f>'Table 5A3 NOCCA'!H76</f>
        <v>291081.05824341497</v>
      </c>
      <c r="F66" s="1203"/>
      <c r="G66" s="1204">
        <f t="shared" si="6"/>
        <v>-86542.687786926283</v>
      </c>
      <c r="H66" s="1205">
        <f t="shared" si="5"/>
        <v>-0.22919999999999999</v>
      </c>
    </row>
    <row r="67" spans="1:8" s="820" customFormat="1" ht="15.75">
      <c r="A67" s="1198" t="s">
        <v>338</v>
      </c>
      <c r="B67" s="1199" t="s">
        <v>811</v>
      </c>
      <c r="C67" s="1200"/>
      <c r="D67" s="1201">
        <v>0</v>
      </c>
      <c r="E67" s="1202">
        <f>'Table 5A4_LSDVI'!H76</f>
        <v>1099327.8311734488</v>
      </c>
      <c r="F67" s="1203"/>
      <c r="G67" s="1204">
        <f t="shared" si="6"/>
        <v>1099327.8311734488</v>
      </c>
      <c r="H67" s="1205" t="e">
        <f t="shared" si="5"/>
        <v>#DIV/0!</v>
      </c>
    </row>
    <row r="68" spans="1:8" s="820" customFormat="1" ht="15.75">
      <c r="A68" s="1198" t="s">
        <v>648</v>
      </c>
      <c r="B68" s="1199" t="s">
        <v>823</v>
      </c>
      <c r="C68" s="1200"/>
      <c r="D68" s="1201">
        <v>0</v>
      </c>
      <c r="E68" s="1202">
        <f>'Table 5A5_SSD'!H76</f>
        <v>1453552.0165221815</v>
      </c>
      <c r="F68" s="1203"/>
      <c r="G68" s="1204">
        <f t="shared" si="6"/>
        <v>1453552.0165221815</v>
      </c>
      <c r="H68" s="1205" t="e">
        <f t="shared" si="5"/>
        <v>#DIV/0!</v>
      </c>
    </row>
    <row r="69" spans="1:8" s="820" customFormat="1" ht="15.75">
      <c r="A69" s="1198" t="s">
        <v>649</v>
      </c>
      <c r="B69" s="1199" t="s">
        <v>1239</v>
      </c>
      <c r="C69" s="1200"/>
      <c r="D69" s="1201">
        <v>0</v>
      </c>
      <c r="E69" s="1202">
        <f>'Table 5F Scholarships'!E80</f>
        <v>9523451.3774517681</v>
      </c>
      <c r="F69" s="1203"/>
      <c r="G69" s="1204">
        <f t="shared" si="6"/>
        <v>9523451.3774517681</v>
      </c>
      <c r="H69" s="1205" t="e">
        <f t="shared" si="5"/>
        <v>#DIV/0!</v>
      </c>
    </row>
    <row r="70" spans="1:8" s="820" customFormat="1" ht="16.5" thickBot="1">
      <c r="A70" s="1206" t="s">
        <v>828</v>
      </c>
      <c r="B70" s="1207" t="s">
        <v>1240</v>
      </c>
      <c r="C70" s="1208"/>
      <c r="D70" s="1209">
        <v>0</v>
      </c>
      <c r="E70" s="1210">
        <f>-'Table 4 Level 3'!H75</f>
        <v>3719696</v>
      </c>
      <c r="F70" s="1211"/>
      <c r="G70" s="1204">
        <f t="shared" si="6"/>
        <v>3719696</v>
      </c>
      <c r="H70" s="1205" t="e">
        <f t="shared" si="5"/>
        <v>#DIV/0!</v>
      </c>
    </row>
    <row r="71" spans="1:8" s="35" customFormat="1" ht="16.5" thickBot="1">
      <c r="A71" s="197" t="s">
        <v>699</v>
      </c>
      <c r="B71" s="100" t="s">
        <v>835</v>
      </c>
      <c r="C71" s="95"/>
      <c r="D71" s="94">
        <v>3522160799.0915728</v>
      </c>
      <c r="E71" s="964">
        <f>E48+E51+E54+E60+E61+E62+E63+E64+E65+E66+E67+E68+E69+E70</f>
        <v>3615506048.185647</v>
      </c>
      <c r="F71" s="974"/>
      <c r="G71" s="923">
        <f t="shared" si="6"/>
        <v>93345249.094074249</v>
      </c>
      <c r="H71" s="551">
        <f t="shared" si="5"/>
        <v>2.6499999999999999E-2</v>
      </c>
    </row>
    <row r="72" spans="1:8" s="35" customFormat="1" ht="23.25" customHeight="1">
      <c r="A72" s="198" t="s">
        <v>809</v>
      </c>
      <c r="B72" s="86" t="s">
        <v>93</v>
      </c>
      <c r="C72" s="86"/>
      <c r="D72" s="1218">
        <v>-133757960.32442687</v>
      </c>
      <c r="E72" s="959">
        <f>SUM(E73:F87)</f>
        <v>-195692933.62501273</v>
      </c>
      <c r="F72" s="971"/>
      <c r="G72" s="920">
        <f t="shared" si="6"/>
        <v>-61934973.300585851</v>
      </c>
      <c r="H72" s="552">
        <f t="shared" si="5"/>
        <v>0.46300000000000002</v>
      </c>
    </row>
    <row r="73" spans="1:8" s="35" customFormat="1" ht="20.25" customHeight="1">
      <c r="A73" s="187"/>
      <c r="B73" s="33" t="s">
        <v>173</v>
      </c>
      <c r="C73" s="27" t="s">
        <v>621</v>
      </c>
      <c r="D73" s="1219">
        <v>-4832541.4183488842</v>
      </c>
      <c r="E73" s="965">
        <f>'Table 2_State Distrib and Adjs'!F76</f>
        <v>-2944326.8587162076</v>
      </c>
      <c r="F73" s="975"/>
      <c r="G73" s="924">
        <f t="shared" si="6"/>
        <v>1888214.5596326767</v>
      </c>
      <c r="H73" s="538">
        <f t="shared" si="5"/>
        <v>-0.39069999999999999</v>
      </c>
    </row>
    <row r="74" spans="1:8" s="35" customFormat="1" ht="20.25" customHeight="1">
      <c r="A74" s="187"/>
      <c r="B74" s="203" t="s">
        <v>174</v>
      </c>
      <c r="C74" s="371" t="s">
        <v>298</v>
      </c>
      <c r="D74" s="1220">
        <v>-5039</v>
      </c>
      <c r="E74" s="965">
        <f>'Table 5A1 Labs '!H10</f>
        <v>-2510.7525593164992</v>
      </c>
      <c r="F74" s="1387"/>
      <c r="G74" s="924">
        <f t="shared" si="6"/>
        <v>2528.2474406835008</v>
      </c>
      <c r="H74" s="538">
        <f t="shared" si="5"/>
        <v>-0.50170000000000003</v>
      </c>
    </row>
    <row r="75" spans="1:8" s="35" customFormat="1" ht="20.25" customHeight="1">
      <c r="A75" s="187"/>
      <c r="B75" s="203" t="s">
        <v>175</v>
      </c>
      <c r="C75" s="1216" t="s">
        <v>331</v>
      </c>
      <c r="D75" s="1221">
        <v>-1388175.5409833249</v>
      </c>
      <c r="E75" s="965">
        <f>'Table 5B1_RSD_Orleans'!I70+'Table 5B2_RSD_LA'!M38</f>
        <v>-988730.66145798902</v>
      </c>
      <c r="F75" s="1387"/>
      <c r="G75" s="924">
        <f t="shared" si="6"/>
        <v>399444.87952533585</v>
      </c>
      <c r="H75" s="538">
        <f t="shared" si="5"/>
        <v>-0.28770000000000001</v>
      </c>
    </row>
    <row r="76" spans="1:8" s="35" customFormat="1" ht="20.25" customHeight="1">
      <c r="A76" s="187"/>
      <c r="B76" s="203" t="s">
        <v>176</v>
      </c>
      <c r="C76" s="1216" t="s">
        <v>706</v>
      </c>
      <c r="D76" s="1221">
        <v>-25836</v>
      </c>
      <c r="E76" s="965">
        <f>'Table 5C1A-Madison Prep'!K76+'Table 5C1B-DArbonne'!K77+'Table 5C1C-Intl_VIBE'!K76+'Table 5C1D-NOMMA'!K76+'Table 5C1E-LFNO'!K76+'Table 5C1F-Lake Charles Charter'!K76+'Table 5C2 - LA Virtual Admy'!L73+'Table 5C3 - LA Connections EBR'!L73</f>
        <v>-52028.625194067157</v>
      </c>
      <c r="F76" s="1387"/>
      <c r="G76" s="924">
        <f t="shared" si="6"/>
        <v>-26192.625194067157</v>
      </c>
      <c r="H76" s="538">
        <f t="shared" si="5"/>
        <v>1.0138</v>
      </c>
    </row>
    <row r="77" spans="1:8" s="35" customFormat="1" ht="20.25" customHeight="1">
      <c r="A77" s="187"/>
      <c r="B77" s="203" t="s">
        <v>178</v>
      </c>
      <c r="C77" s="1216" t="s">
        <v>727</v>
      </c>
      <c r="D77" s="1221">
        <v>0</v>
      </c>
      <c r="E77" s="966">
        <f>'Table 5D1 - New Vision'!J71</f>
        <v>8.3400291723955888</v>
      </c>
      <c r="F77" s="1387"/>
      <c r="G77" s="924">
        <f t="shared" si="6"/>
        <v>8.3400291723955888</v>
      </c>
      <c r="H77" s="538" t="e">
        <f t="shared" si="5"/>
        <v>#DIV/0!</v>
      </c>
    </row>
    <row r="78" spans="1:8" s="35" customFormat="1" ht="20.25" customHeight="1">
      <c r="A78" s="187"/>
      <c r="B78" s="203" t="s">
        <v>180</v>
      </c>
      <c r="C78" s="371" t="s">
        <v>1212</v>
      </c>
      <c r="D78" s="1325">
        <v>0</v>
      </c>
      <c r="E78" s="958">
        <f>'Table 5E_OJJ'!I76</f>
        <v>-5928.4203465283663</v>
      </c>
      <c r="F78" s="976"/>
      <c r="G78" s="924"/>
      <c r="H78" s="538"/>
    </row>
    <row r="79" spans="1:8" s="35" customFormat="1" ht="20.25" customHeight="1">
      <c r="A79" s="187"/>
      <c r="B79" s="214" t="s">
        <v>201</v>
      </c>
      <c r="C79" s="1217" t="s">
        <v>332</v>
      </c>
      <c r="D79" s="1222">
        <v>0</v>
      </c>
      <c r="E79" s="967">
        <v>0</v>
      </c>
      <c r="F79" s="977"/>
      <c r="G79" s="925">
        <f t="shared" ref="G79:G89" si="7">E79-D79</f>
        <v>0</v>
      </c>
      <c r="H79" s="538" t="e">
        <f t="shared" si="5"/>
        <v>#DIV/0!</v>
      </c>
    </row>
    <row r="80" spans="1:8" s="35" customFormat="1" ht="20.25" customHeight="1">
      <c r="A80" s="187"/>
      <c r="B80" s="1186" t="s">
        <v>698</v>
      </c>
      <c r="C80" s="1217" t="s">
        <v>847</v>
      </c>
      <c r="D80" s="1222"/>
      <c r="E80" s="967"/>
      <c r="F80" s="977"/>
      <c r="G80" s="925"/>
      <c r="H80" s="538"/>
    </row>
    <row r="81" spans="1:11" s="35" customFormat="1" ht="20.25" customHeight="1">
      <c r="A81" s="187"/>
      <c r="B81" s="181"/>
      <c r="C81" s="1223" t="s">
        <v>848</v>
      </c>
      <c r="D81" s="1224">
        <v>-124299466.34518984</v>
      </c>
      <c r="E81" s="1225">
        <f>'Table 2_State Distrib and Adjs'!I76</f>
        <v>-139518605.89238623</v>
      </c>
      <c r="F81" s="1226"/>
      <c r="G81" s="1227">
        <f t="shared" si="7"/>
        <v>-15219139.547196388</v>
      </c>
      <c r="H81" s="1228">
        <f>ROUND((E81/D81)-1,4)</f>
        <v>0.12239999999999999</v>
      </c>
    </row>
    <row r="82" spans="1:11" s="35" customFormat="1" ht="20.25" customHeight="1">
      <c r="A82" s="187"/>
      <c r="B82" s="181"/>
      <c r="C82" s="1229" t="s">
        <v>849</v>
      </c>
      <c r="D82" s="1230">
        <v>-3206902.0199048244</v>
      </c>
      <c r="E82" s="1396">
        <f>'Table 2_State Distrib and Adjs'!J76+'Table 2_State Distrib and Adjs'!K76+'Table 2_State Distrib and Adjs'!L76+'Table 2_State Distrib and Adjs'!M76+'Table 2_State Distrib and Adjs'!N76+'Table 2_State Distrib and Adjs'!O76+'Table 2_State Distrib and Adjs'!P76+'Table 2_State Distrib and Adjs'!Q76</f>
        <v>-17354659.034030937</v>
      </c>
      <c r="F82" s="1232"/>
      <c r="G82" s="1233">
        <f t="shared" si="7"/>
        <v>-14147757.014126113</v>
      </c>
      <c r="H82" s="1234">
        <f t="shared" ref="H82:H87" si="8">ROUND((E82/D82)-1,4)</f>
        <v>4.4116999999999997</v>
      </c>
    </row>
    <row r="83" spans="1:11" s="35" customFormat="1" ht="20.25" customHeight="1">
      <c r="A83" s="187"/>
      <c r="B83" s="181"/>
      <c r="C83" s="1229" t="s">
        <v>850</v>
      </c>
      <c r="D83" s="1230">
        <v>0</v>
      </c>
      <c r="E83" s="1396">
        <f>'Table 2_State Distrib and Adjs'!R76+'Table 2_State Distrib and Adjs'!S76+'Table 2_State Distrib and Adjs'!T76+'Table 2_State Distrib and Adjs'!U76+'Table 2_State Distrib and Adjs'!V76+'Table 2_State Distrib and Adjs'!W76+'Table 2_State Distrib and Adjs'!X76+'Table 2_State Distrib and Adjs'!Y76</f>
        <v>-19197548.492751442</v>
      </c>
      <c r="F83" s="1232"/>
      <c r="G83" s="1233">
        <f t="shared" si="7"/>
        <v>-19197548.492751442</v>
      </c>
      <c r="H83" s="1234" t="e">
        <f t="shared" si="8"/>
        <v>#DIV/0!</v>
      </c>
    </row>
    <row r="84" spans="1:11" s="35" customFormat="1" ht="20.25" customHeight="1">
      <c r="A84" s="187"/>
      <c r="B84" s="181"/>
      <c r="C84" s="1229" t="s">
        <v>851</v>
      </c>
      <c r="D84" s="1230">
        <v>0</v>
      </c>
      <c r="E84" s="1231">
        <f>-E67</f>
        <v>-1099327.8311734488</v>
      </c>
      <c r="F84" s="1232"/>
      <c r="G84" s="1233">
        <f t="shared" si="7"/>
        <v>-1099327.8311734488</v>
      </c>
      <c r="H84" s="1234" t="e">
        <f t="shared" si="8"/>
        <v>#DIV/0!</v>
      </c>
    </row>
    <row r="85" spans="1:11" s="35" customFormat="1" ht="20.25" customHeight="1">
      <c r="A85" s="187"/>
      <c r="B85" s="181"/>
      <c r="C85" s="1229" t="s">
        <v>852</v>
      </c>
      <c r="D85" s="1230">
        <v>0</v>
      </c>
      <c r="E85" s="1231">
        <f>-E68</f>
        <v>-1453552.0165221815</v>
      </c>
      <c r="F85" s="1232"/>
      <c r="G85" s="1233">
        <f t="shared" si="7"/>
        <v>-1453552.0165221815</v>
      </c>
      <c r="H85" s="1234" t="e">
        <f t="shared" si="8"/>
        <v>#DIV/0!</v>
      </c>
    </row>
    <row r="86" spans="1:11" s="35" customFormat="1" ht="20.25" customHeight="1">
      <c r="A86" s="187"/>
      <c r="B86" s="181"/>
      <c r="C86" s="1229" t="s">
        <v>853</v>
      </c>
      <c r="D86" s="1230">
        <v>0</v>
      </c>
      <c r="E86" s="1388">
        <f>-E69</f>
        <v>-9523451.3774517681</v>
      </c>
      <c r="F86" s="1389"/>
      <c r="G86" s="1233">
        <f t="shared" si="7"/>
        <v>-9523451.3774517681</v>
      </c>
      <c r="H86" s="1234" t="e">
        <f t="shared" si="8"/>
        <v>#DIV/0!</v>
      </c>
    </row>
    <row r="87" spans="1:11" s="820" customFormat="1" ht="20.25" customHeight="1" thickBot="1">
      <c r="A87" s="1212"/>
      <c r="B87" s="1213" t="s">
        <v>1213</v>
      </c>
      <c r="C87" s="1208" t="s">
        <v>1241</v>
      </c>
      <c r="D87" s="1522">
        <v>0</v>
      </c>
      <c r="E87" s="1521">
        <f>-'Table 5F Scholarships'!Q80</f>
        <v>-3552272.0024517681</v>
      </c>
      <c r="F87" s="1390"/>
      <c r="G87" s="1214">
        <f t="shared" si="7"/>
        <v>-3552272.0024517681</v>
      </c>
      <c r="H87" s="1215" t="e">
        <f t="shared" si="8"/>
        <v>#DIV/0!</v>
      </c>
    </row>
    <row r="88" spans="1:11" s="35" customFormat="1" ht="23.25" customHeight="1" thickBot="1">
      <c r="A88" s="451" t="s">
        <v>810</v>
      </c>
      <c r="B88" s="1626" t="s">
        <v>708</v>
      </c>
      <c r="C88" s="1627"/>
      <c r="D88" s="452">
        <v>3388402838.7671461</v>
      </c>
      <c r="E88" s="968">
        <f>E71+E72</f>
        <v>3419813114.5606341</v>
      </c>
      <c r="F88" s="1128"/>
      <c r="G88" s="926">
        <f t="shared" si="7"/>
        <v>31410275.793488026</v>
      </c>
      <c r="H88" s="553">
        <f t="shared" si="5"/>
        <v>9.2999999999999992E-3</v>
      </c>
    </row>
    <row r="89" spans="1:11" s="448" customFormat="1" ht="24" customHeight="1" thickBot="1">
      <c r="A89" s="558" t="s">
        <v>820</v>
      </c>
      <c r="B89" s="1628" t="s">
        <v>1248</v>
      </c>
      <c r="C89" s="1629"/>
      <c r="D89" s="559">
        <v>3387319481</v>
      </c>
      <c r="E89" s="969">
        <v>3422265205</v>
      </c>
      <c r="F89" s="978"/>
      <c r="G89" s="1174">
        <f t="shared" si="7"/>
        <v>34945724</v>
      </c>
      <c r="H89" s="1175"/>
    </row>
    <row r="90" spans="1:11" s="35" customFormat="1" ht="18.75" customHeight="1" thickBot="1">
      <c r="A90" s="899" t="s">
        <v>830</v>
      </c>
      <c r="B90" s="39" t="s">
        <v>1249</v>
      </c>
      <c r="C90" s="39"/>
      <c r="D90" s="40">
        <v>1083357.7671461105</v>
      </c>
      <c r="E90" s="981">
        <f>E88-E89</f>
        <v>-2452090.4393658638</v>
      </c>
      <c r="F90" s="980"/>
      <c r="G90" s="927">
        <f>E90-D90</f>
        <v>-3535448.2065119743</v>
      </c>
      <c r="H90" s="554"/>
    </row>
    <row r="91" spans="1:11" s="35" customFormat="1" ht="18.75" customHeight="1" thickTop="1">
      <c r="A91" s="991"/>
      <c r="B91" s="1620"/>
      <c r="C91" s="1620"/>
      <c r="D91" s="1620"/>
      <c r="E91" s="1620"/>
      <c r="F91" s="1620"/>
      <c r="G91" s="1620"/>
      <c r="H91" s="1620"/>
    </row>
    <row r="92" spans="1:11" ht="4.5" hidden="1" customHeight="1">
      <c r="A92" s="900"/>
      <c r="B92" s="900"/>
      <c r="C92" s="900"/>
      <c r="D92" s="211"/>
      <c r="E92" s="450"/>
      <c r="F92" s="450"/>
    </row>
    <row r="93" spans="1:11" ht="17.25" hidden="1" customHeight="1">
      <c r="D93" s="59"/>
      <c r="E93" s="449">
        <f>'Table 3 Levels 1&amp;2'!V77</f>
        <v>0.65</v>
      </c>
      <c r="F93" s="449"/>
      <c r="G93" s="449">
        <f>'Table 3 Levels 1&amp;2'!W77</f>
        <v>0.35</v>
      </c>
      <c r="J93" s="735"/>
    </row>
    <row r="94" spans="1:11" s="441" customFormat="1" ht="17.25" hidden="1" customHeight="1">
      <c r="B94" s="442"/>
      <c r="C94" s="595"/>
      <c r="D94" s="59"/>
      <c r="E94" s="59"/>
      <c r="F94" s="59"/>
      <c r="G94"/>
      <c r="H94"/>
      <c r="I94"/>
      <c r="J94" s="448"/>
    </row>
    <row r="95" spans="1:11" s="441" customFormat="1" ht="17.25" customHeight="1">
      <c r="A95"/>
      <c r="B95"/>
      <c r="C95" s="215"/>
      <c r="D95" s="59"/>
      <c r="E95"/>
      <c r="F95"/>
      <c r="G95"/>
      <c r="H95"/>
      <c r="I95"/>
      <c r="J95" s="1609"/>
      <c r="K95"/>
    </row>
    <row r="96" spans="1:11" ht="17.25" customHeight="1">
      <c r="B96" s="734"/>
      <c r="C96" s="1531"/>
      <c r="D96" s="59"/>
      <c r="E96" s="2"/>
      <c r="F96" s="2"/>
      <c r="J96" s="735"/>
    </row>
    <row r="97" spans="3:11" ht="17.25" customHeight="1">
      <c r="C97" s="1532"/>
      <c r="D97" s="735"/>
      <c r="E97" s="2"/>
      <c r="F97" s="2"/>
      <c r="J97" s="735"/>
    </row>
    <row r="98" spans="3:11" ht="17.25" customHeight="1">
      <c r="C98" s="1533"/>
      <c r="D98" s="59"/>
      <c r="E98" s="1590"/>
      <c r="F98" s="1590"/>
      <c r="G98" s="1590"/>
      <c r="H98" s="1590"/>
      <c r="J98" s="735"/>
    </row>
    <row r="99" spans="3:11" ht="10.5" customHeight="1">
      <c r="C99" s="49"/>
      <c r="E99" s="1590"/>
      <c r="F99" s="1590"/>
      <c r="G99" s="1590"/>
      <c r="H99" s="1590"/>
      <c r="J99" s="735"/>
      <c r="K99" s="2"/>
    </row>
    <row r="100" spans="3:11">
      <c r="C100" s="49"/>
      <c r="D100" s="59"/>
      <c r="E100" s="213"/>
      <c r="F100" s="213"/>
      <c r="J100" s="735"/>
    </row>
    <row r="101" spans="3:11">
      <c r="C101" s="1610"/>
      <c r="D101" s="59"/>
      <c r="E101" s="49"/>
      <c r="F101" s="49"/>
      <c r="J101" s="35"/>
    </row>
    <row r="102" spans="3:11">
      <c r="C102" s="1610"/>
      <c r="D102" s="59"/>
      <c r="E102" s="49"/>
      <c r="F102" s="49"/>
      <c r="J102" s="35"/>
    </row>
    <row r="103" spans="3:11">
      <c r="C103" s="1610"/>
      <c r="E103" s="49"/>
      <c r="F103" s="49"/>
      <c r="J103" s="35"/>
    </row>
    <row r="104" spans="3:11">
      <c r="C104" s="1610"/>
      <c r="G104" s="75"/>
      <c r="J104" s="35"/>
    </row>
  </sheetData>
  <mergeCells count="14">
    <mergeCell ref="G1:H1"/>
    <mergeCell ref="A2:H2"/>
    <mergeCell ref="A3:H3"/>
    <mergeCell ref="A4:H4"/>
    <mergeCell ref="D5:D8"/>
    <mergeCell ref="G5:G8"/>
    <mergeCell ref="H5:H8"/>
    <mergeCell ref="E5:F8"/>
    <mergeCell ref="B91:H91"/>
    <mergeCell ref="B10:C10"/>
    <mergeCell ref="B39:C39"/>
    <mergeCell ref="B50:C50"/>
    <mergeCell ref="B88:C88"/>
    <mergeCell ref="B89:C89"/>
  </mergeCells>
  <printOptions horizontalCentered="1"/>
  <pageMargins left="0.25" right="0.25" top="0.19" bottom="0.16" header="0.17" footer="0.16"/>
  <pageSetup paperSize="5" scale="70" orientation="portrait" useFirstPageNumber="1" r:id="rId1"/>
  <headerFooter alignWithMargins="0">
    <oddFooter>&amp;R&amp;12&amp;P</oddFooter>
  </headerFooter>
  <rowBreaks count="1" manualBreakCount="1">
    <brk id="71" max="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J12"/>
  <sheetViews>
    <sheetView view="pageBreakPreview" zoomScale="75" zoomScaleNormal="75" zoomScaleSheetLayoutView="75" workbookViewId="0">
      <selection activeCell="A5" sqref="A5:A6"/>
    </sheetView>
  </sheetViews>
  <sheetFormatPr defaultRowHeight="12.75"/>
  <cols>
    <col min="1" max="1" width="19.140625" customWidth="1"/>
    <col min="2" max="2" width="15" customWidth="1"/>
    <col min="3" max="3" width="14" customWidth="1"/>
    <col min="4" max="4" width="20.7109375" customWidth="1"/>
    <col min="5" max="5" width="18.5703125" customWidth="1"/>
    <col min="6" max="6" width="16.42578125" customWidth="1"/>
    <col min="7" max="7" width="15.7109375" customWidth="1"/>
    <col min="8" max="8" width="18.140625" customWidth="1"/>
    <col min="9" max="9" width="16.28515625" customWidth="1"/>
    <col min="10" max="10" width="13.42578125" customWidth="1"/>
  </cols>
  <sheetData>
    <row r="1" spans="1:10" s="2" customFormat="1" ht="33" customHeight="1">
      <c r="A1" s="1761" t="s">
        <v>1300</v>
      </c>
      <c r="B1" s="1761"/>
      <c r="C1" s="1761"/>
      <c r="D1" s="1761"/>
      <c r="E1" s="1761"/>
      <c r="F1" s="1761"/>
      <c r="G1" s="1761"/>
    </row>
    <row r="2" spans="1:10" ht="11.25" hidden="1" customHeight="1">
      <c r="B2" s="73" t="s">
        <v>82</v>
      </c>
      <c r="C2" s="73"/>
      <c r="D2" s="74" t="s">
        <v>226</v>
      </c>
      <c r="E2" s="123"/>
      <c r="F2" s="35"/>
      <c r="G2" s="35"/>
    </row>
    <row r="3" spans="1:10" ht="26.25" customHeight="1">
      <c r="A3" s="1761" t="s">
        <v>877</v>
      </c>
      <c r="B3" s="1761"/>
      <c r="C3" s="1761"/>
      <c r="D3" s="1761"/>
      <c r="E3" s="1761"/>
      <c r="F3" s="1761"/>
      <c r="G3" s="1761"/>
    </row>
    <row r="4" spans="1:10" ht="32.25" customHeight="1">
      <c r="B4" s="73"/>
      <c r="C4" s="73"/>
      <c r="D4" s="740"/>
      <c r="E4" s="739"/>
      <c r="F4" s="739"/>
      <c r="G4" s="739"/>
    </row>
    <row r="5" spans="1:10" ht="99" customHeight="1">
      <c r="A5" s="1670" t="s">
        <v>211</v>
      </c>
      <c r="B5" s="1670" t="s">
        <v>1005</v>
      </c>
      <c r="C5" s="67" t="s">
        <v>241</v>
      </c>
      <c r="D5" s="1667" t="s">
        <v>1438</v>
      </c>
      <c r="E5" s="1759" t="s">
        <v>605</v>
      </c>
      <c r="F5" s="1759" t="s">
        <v>597</v>
      </c>
      <c r="G5" s="1667" t="s">
        <v>1440</v>
      </c>
      <c r="H5" s="1762" t="s">
        <v>1198</v>
      </c>
      <c r="I5" s="1667" t="s">
        <v>1441</v>
      </c>
      <c r="J5" s="1670" t="s">
        <v>1439</v>
      </c>
    </row>
    <row r="6" spans="1:10" ht="46.5" customHeight="1">
      <c r="A6" s="1672"/>
      <c r="B6" s="1672"/>
      <c r="C6" s="598" t="s">
        <v>329</v>
      </c>
      <c r="D6" s="1669"/>
      <c r="E6" s="1760"/>
      <c r="F6" s="1760"/>
      <c r="G6" s="1669"/>
      <c r="H6" s="1763"/>
      <c r="I6" s="1669"/>
      <c r="J6" s="1672"/>
    </row>
    <row r="7" spans="1:10">
      <c r="A7" s="116"/>
      <c r="B7" s="228">
        <v>1</v>
      </c>
      <c r="C7" s="228">
        <f t="shared" ref="C7:J7" si="0">B7+1</f>
        <v>2</v>
      </c>
      <c r="D7" s="228">
        <f t="shared" si="0"/>
        <v>3</v>
      </c>
      <c r="E7" s="228">
        <f t="shared" si="0"/>
        <v>4</v>
      </c>
      <c r="F7" s="228">
        <f t="shared" si="0"/>
        <v>5</v>
      </c>
      <c r="G7" s="228">
        <f t="shared" si="0"/>
        <v>6</v>
      </c>
      <c r="H7" s="228">
        <f t="shared" si="0"/>
        <v>7</v>
      </c>
      <c r="I7" s="228">
        <f>H7+1</f>
        <v>8</v>
      </c>
      <c r="J7" s="228">
        <f t="shared" si="0"/>
        <v>9</v>
      </c>
    </row>
    <row r="8" spans="1:10" ht="25.5">
      <c r="A8" s="230" t="s">
        <v>286</v>
      </c>
      <c r="B8" s="229">
        <f>'-'!G12</f>
        <v>1359</v>
      </c>
      <c r="C8" s="58">
        <f>'Table 3 Levels 1&amp;2'!AL77</f>
        <v>4325.8670725247357</v>
      </c>
      <c r="D8" s="58">
        <f>B8*ROUND(C8,0)</f>
        <v>5879034</v>
      </c>
      <c r="E8" s="58">
        <f>'[6]Table 5A Lab Schools'!$G$8+'[6]Table 5A Lab Schools'!$K$8+'[6]Table 5A Lab Schools'!$D$17+'[6]Table 4 Level 3'!$C$75</f>
        <v>605.97185873605952</v>
      </c>
      <c r="F8" s="58">
        <f>E8*B8</f>
        <v>823515.75602230488</v>
      </c>
      <c r="G8" s="596">
        <f>D8+F8</f>
        <v>6702549.7560223052</v>
      </c>
      <c r="H8" s="58">
        <v>0</v>
      </c>
      <c r="I8" s="596">
        <f>SUM(G8:H8)</f>
        <v>6702549.7560223052</v>
      </c>
      <c r="J8" s="58">
        <f>I8/12</f>
        <v>558545.81300185877</v>
      </c>
    </row>
    <row r="9" spans="1:10" ht="25.5">
      <c r="A9" s="231" t="s">
        <v>287</v>
      </c>
      <c r="B9" s="229">
        <f>'-'!G13</f>
        <v>266</v>
      </c>
      <c r="C9" s="58">
        <f>'Table 3 Levels 1&amp;2'!AL77</f>
        <v>4325.8670725247357</v>
      </c>
      <c r="D9" s="58">
        <f>B9*ROUND(C9,0)</f>
        <v>1150716</v>
      </c>
      <c r="E9" s="58">
        <f>'[6]Table 5A Lab Schools'!$G$9+'[6]Table 5A Lab Schools'!$K$9+'[6]Table 5A Lab Schools'!$D$18+'[6]Table 4 Level 3'!$C$75</f>
        <v>699.89832861189802</v>
      </c>
      <c r="F9" s="58">
        <f>E9*B9</f>
        <v>186172.95541076487</v>
      </c>
      <c r="G9" s="596">
        <f>D9+F9</f>
        <v>1336888.9554107648</v>
      </c>
      <c r="H9" s="58">
        <v>-2510.7525593164992</v>
      </c>
      <c r="I9" s="596">
        <f>SUM(G9:H9)</f>
        <v>1334378.2028514482</v>
      </c>
      <c r="J9" s="58">
        <f>I9/12</f>
        <v>111198.18357095402</v>
      </c>
    </row>
    <row r="10" spans="1:10" s="8" customFormat="1" ht="25.5" customHeight="1" thickBot="1">
      <c r="A10" s="43" t="s">
        <v>193</v>
      </c>
      <c r="B10" s="76">
        <f>SUM(B8:B9)</f>
        <v>1625</v>
      </c>
      <c r="C10" s="45"/>
      <c r="D10" s="44">
        <f>SUM(D8:D9)</f>
        <v>7029750</v>
      </c>
      <c r="E10" s="44"/>
      <c r="F10" s="44">
        <f>SUM(F8:F9)</f>
        <v>1009688.7114330698</v>
      </c>
      <c r="G10" s="597">
        <f>SUM(G8:G9)</f>
        <v>8039438.7114330698</v>
      </c>
      <c r="H10" s="44">
        <f>SUM(H8:H9)</f>
        <v>-2510.7525593164992</v>
      </c>
      <c r="I10" s="597">
        <f>SUM(I8:I9)</f>
        <v>8036927.9588737534</v>
      </c>
      <c r="J10" s="44">
        <f>SUM(J8:J9)</f>
        <v>669743.99657281279</v>
      </c>
    </row>
    <row r="11" spans="1:10" s="8" customFormat="1" ht="13.5" thickTop="1">
      <c r="A11" s="96"/>
      <c r="B11" s="97"/>
      <c r="C11" s="98"/>
      <c r="D11" s="99"/>
    </row>
    <row r="12" spans="1:10" s="8" customFormat="1">
      <c r="A12" s="96"/>
      <c r="B12" s="97"/>
      <c r="C12" s="98"/>
      <c r="D12" s="99"/>
    </row>
  </sheetData>
  <mergeCells count="11">
    <mergeCell ref="I5:I6"/>
    <mergeCell ref="J5:J6"/>
    <mergeCell ref="H5:H6"/>
    <mergeCell ref="E5:E6"/>
    <mergeCell ref="G5:G6"/>
    <mergeCell ref="B5:B6"/>
    <mergeCell ref="D5:D6"/>
    <mergeCell ref="F5:F6"/>
    <mergeCell ref="A1:G1"/>
    <mergeCell ref="A5:A6"/>
    <mergeCell ref="A3:G3"/>
  </mergeCells>
  <phoneticPr fontId="0" type="noConversion"/>
  <printOptions horizontalCentered="1"/>
  <pageMargins left="0.25" right="0" top="0.25" bottom="0.25" header="0.25" footer="0.25"/>
  <pageSetup paperSize="5" scale="80" firstPageNumber="37" orientation="landscape" useFirstPageNumber="1" r:id="rId1"/>
  <headerFooter alignWithMargins="0">
    <oddHeader xml:space="preserve">&amp;R
</oddHeader>
    <oddFooter>&amp;R&amp;12&amp;P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transitionEvaluation="1" transitionEntry="1"/>
  <dimension ref="A1:N107"/>
  <sheetViews>
    <sheetView view="pageBreakPreview" zoomScaleNormal="100" zoomScaleSheetLayoutView="10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85546875" style="1005" customWidth="1"/>
    <col min="2" max="2" width="17.85546875" style="1005" bestFit="1" customWidth="1"/>
    <col min="3" max="3" width="11" style="1008" customWidth="1"/>
    <col min="4" max="4" width="14.42578125" style="1008" customWidth="1"/>
    <col min="5" max="6" width="10.42578125" style="1008" bestFit="1" customWidth="1"/>
    <col min="7" max="7" width="9.42578125" style="1008" bestFit="1" customWidth="1"/>
    <col min="8" max="8" width="10.140625" style="1008" bestFit="1" customWidth="1"/>
    <col min="9" max="9" width="10.140625" style="1008" customWidth="1"/>
    <col min="10" max="10" width="12" style="1008" customWidth="1"/>
    <col min="11" max="11" width="10.85546875" style="1008" bestFit="1" customWidth="1"/>
    <col min="12" max="12" width="10.85546875" style="1008" customWidth="1"/>
    <col min="13" max="14" width="12.5703125" style="1005" customWidth="1"/>
    <col min="15" max="16384" width="12.5703125" style="1005"/>
  </cols>
  <sheetData>
    <row r="1" spans="1:14" ht="9" customHeight="1">
      <c r="B1" s="1006"/>
      <c r="C1" s="1007"/>
      <c r="D1" s="1007"/>
      <c r="E1" s="1007"/>
      <c r="F1" s="1007"/>
    </row>
    <row r="2" spans="1:14" s="1010" customFormat="1" ht="39.75" customHeight="1">
      <c r="A2" s="1773" t="s">
        <v>758</v>
      </c>
      <c r="B2" s="1774"/>
      <c r="C2" s="1767" t="s">
        <v>759</v>
      </c>
      <c r="D2" s="1768"/>
      <c r="E2" s="1768"/>
      <c r="F2" s="1768"/>
      <c r="G2" s="1768"/>
      <c r="H2" s="1768"/>
      <c r="I2" s="1769"/>
      <c r="J2" s="1770" t="s">
        <v>808</v>
      </c>
      <c r="K2" s="1771"/>
      <c r="L2" s="1772"/>
      <c r="M2" s="1764" t="s">
        <v>1384</v>
      </c>
      <c r="N2" s="1764" t="s">
        <v>1385</v>
      </c>
    </row>
    <row r="3" spans="1:14" ht="67.5" customHeight="1">
      <c r="A3" s="1775"/>
      <c r="B3" s="1776"/>
      <c r="C3" s="1779" t="s">
        <v>1006</v>
      </c>
      <c r="D3" s="1781" t="s">
        <v>798</v>
      </c>
      <c r="E3" s="1779" t="s">
        <v>762</v>
      </c>
      <c r="F3" s="1779" t="s">
        <v>763</v>
      </c>
      <c r="G3" s="1782" t="s">
        <v>765</v>
      </c>
      <c r="H3" s="1779" t="s">
        <v>764</v>
      </c>
      <c r="I3" s="1779" t="s">
        <v>1415</v>
      </c>
      <c r="J3" s="1784" t="s">
        <v>799</v>
      </c>
      <c r="K3" s="1786" t="s">
        <v>1383</v>
      </c>
      <c r="L3" s="1786" t="s">
        <v>1416</v>
      </c>
      <c r="M3" s="1765"/>
      <c r="N3" s="1765"/>
    </row>
    <row r="4" spans="1:14" ht="39" customHeight="1">
      <c r="A4" s="1777"/>
      <c r="B4" s="1778"/>
      <c r="C4" s="1780"/>
      <c r="D4" s="1781"/>
      <c r="E4" s="1780"/>
      <c r="F4" s="1780"/>
      <c r="G4" s="1783"/>
      <c r="H4" s="1780"/>
      <c r="I4" s="1780"/>
      <c r="J4" s="1785"/>
      <c r="K4" s="1787"/>
      <c r="L4" s="1787"/>
      <c r="M4" s="1766"/>
      <c r="N4" s="1766"/>
    </row>
    <row r="5" spans="1:14" s="1015" customFormat="1" ht="14.25" customHeight="1">
      <c r="A5" s="1012"/>
      <c r="B5" s="1013"/>
      <c r="C5" s="1014">
        <v>1</v>
      </c>
      <c r="D5" s="1014">
        <f t="shared" ref="D5:H5" si="0">C5+1</f>
        <v>2</v>
      </c>
      <c r="E5" s="1014">
        <f t="shared" si="0"/>
        <v>3</v>
      </c>
      <c r="F5" s="1014">
        <f t="shared" si="0"/>
        <v>4</v>
      </c>
      <c r="G5" s="1014">
        <f t="shared" si="0"/>
        <v>5</v>
      </c>
      <c r="H5" s="1014">
        <f t="shared" si="0"/>
        <v>6</v>
      </c>
      <c r="I5" s="1014">
        <f t="shared" ref="I5" si="1">H5+1</f>
        <v>7</v>
      </c>
      <c r="J5" s="1014">
        <f t="shared" ref="J5" si="2">I5+1</f>
        <v>8</v>
      </c>
      <c r="K5" s="1014">
        <f t="shared" ref="K5" si="3">J5+1</f>
        <v>9</v>
      </c>
      <c r="L5" s="1014">
        <f t="shared" ref="L5" si="4">K5+1</f>
        <v>10</v>
      </c>
      <c r="M5" s="1014">
        <f t="shared" ref="M5:N5" si="5">L5+1</f>
        <v>11</v>
      </c>
      <c r="N5" s="1014">
        <f t="shared" si="5"/>
        <v>12</v>
      </c>
    </row>
    <row r="6" spans="1:14" s="1080" customFormat="1" ht="27" customHeight="1">
      <c r="A6" s="1076"/>
      <c r="B6" s="1077"/>
      <c r="C6" s="1078" t="s">
        <v>660</v>
      </c>
      <c r="D6" s="1079" t="s">
        <v>571</v>
      </c>
      <c r="E6" s="1079" t="s">
        <v>571</v>
      </c>
      <c r="F6" s="1079" t="s">
        <v>571</v>
      </c>
      <c r="G6" s="1079" t="s">
        <v>760</v>
      </c>
      <c r="H6" s="1079" t="s">
        <v>761</v>
      </c>
      <c r="I6" s="1079" t="s">
        <v>803</v>
      </c>
      <c r="J6" s="1079" t="s">
        <v>767</v>
      </c>
      <c r="K6" s="1079" t="s">
        <v>804</v>
      </c>
      <c r="L6" s="1079" t="s">
        <v>805</v>
      </c>
      <c r="M6" s="1079" t="s">
        <v>806</v>
      </c>
      <c r="N6" s="1079" t="s">
        <v>807</v>
      </c>
    </row>
    <row r="7" spans="1:14">
      <c r="A7" s="1021">
        <v>1</v>
      </c>
      <c r="B7" s="1022" t="s">
        <v>102</v>
      </c>
      <c r="C7" s="1023">
        <v>4</v>
      </c>
      <c r="D7" s="1024">
        <f>'Table 3 Levels 1&amp;2'!$AP$77</f>
        <v>5030.6952566221626</v>
      </c>
      <c r="E7" s="1107">
        <f>'Table 3 Levels 1&amp;2'!V8</f>
        <v>0.76939999999999997</v>
      </c>
      <c r="F7" s="1107">
        <f>'Table 3 Levels 1&amp;2'!W8</f>
        <v>0.2306</v>
      </c>
      <c r="G7" s="1024">
        <f>D7*E7</f>
        <v>3870.6169304450918</v>
      </c>
      <c r="H7" s="1025">
        <f>G7*C7</f>
        <v>15482.467721780367</v>
      </c>
      <c r="I7" s="1025">
        <f>ROUND(H7/12,0)</f>
        <v>1290</v>
      </c>
      <c r="J7" s="1024">
        <f>F7*D7</f>
        <v>1160.0783261770707</v>
      </c>
      <c r="K7" s="1111">
        <f>J7*C7</f>
        <v>4640.3133047082829</v>
      </c>
      <c r="L7" s="1111">
        <f>ROUND(K7/12,0)</f>
        <v>387</v>
      </c>
      <c r="M7" s="1119">
        <f>K7+H7</f>
        <v>20122.78102648865</v>
      </c>
      <c r="N7" s="1119">
        <f>I7+L7</f>
        <v>1677</v>
      </c>
    </row>
    <row r="8" spans="1:14">
      <c r="A8" s="1028">
        <v>2</v>
      </c>
      <c r="B8" s="1029" t="s">
        <v>103</v>
      </c>
      <c r="C8" s="1030">
        <v>3</v>
      </c>
      <c r="D8" s="1031">
        <f>'Table 3 Levels 1&amp;2'!$AP$77</f>
        <v>5030.6952566221626</v>
      </c>
      <c r="E8" s="1108">
        <f>'Table 3 Levels 1&amp;2'!V9</f>
        <v>0.85019999999999996</v>
      </c>
      <c r="F8" s="1108">
        <f>'Table 3 Levels 1&amp;2'!W9</f>
        <v>0.14979999999999999</v>
      </c>
      <c r="G8" s="1031">
        <f t="shared" ref="G8:G71" si="6">D8*E8</f>
        <v>4277.0971071801623</v>
      </c>
      <c r="H8" s="1087">
        <f t="shared" ref="H8:H71" si="7">G8*C8</f>
        <v>12831.291321540488</v>
      </c>
      <c r="I8" s="1087">
        <f t="shared" ref="I8:I71" si="8">ROUND(H8/12,0)</f>
        <v>1069</v>
      </c>
      <c r="J8" s="1031">
        <f t="shared" ref="J8:J71" si="9">F8*D8</f>
        <v>753.59814944199991</v>
      </c>
      <c r="K8" s="1112">
        <f t="shared" ref="K8:K71" si="10">J8*C8</f>
        <v>2260.7944483259998</v>
      </c>
      <c r="L8" s="1112">
        <f t="shared" ref="L8:L71" si="11">ROUND(K8/12,0)</f>
        <v>188</v>
      </c>
      <c r="M8" s="1120">
        <f t="shared" ref="M8:M71" si="12">K8+H8</f>
        <v>15092.085769866488</v>
      </c>
      <c r="N8" s="1120">
        <f t="shared" ref="N8:N71" si="13">I8+L8</f>
        <v>1257</v>
      </c>
    </row>
    <row r="9" spans="1:14" ht="12.75" customHeight="1">
      <c r="A9" s="1028">
        <v>3</v>
      </c>
      <c r="B9" s="1029" t="s">
        <v>104</v>
      </c>
      <c r="C9" s="1030">
        <v>18</v>
      </c>
      <c r="D9" s="1031">
        <f>'Table 3 Levels 1&amp;2'!$AP$77</f>
        <v>5030.6952566221626</v>
      </c>
      <c r="E9" s="1108">
        <f>'Table 3 Levels 1&amp;2'!V10</f>
        <v>0.67669999999999997</v>
      </c>
      <c r="F9" s="1108">
        <f>'Table 3 Levels 1&amp;2'!W10</f>
        <v>0.32329999999999998</v>
      </c>
      <c r="G9" s="1031">
        <f t="shared" si="6"/>
        <v>3404.2714801562174</v>
      </c>
      <c r="H9" s="1087">
        <f t="shared" si="7"/>
        <v>61276.886642811914</v>
      </c>
      <c r="I9" s="1087">
        <f t="shared" si="8"/>
        <v>5106</v>
      </c>
      <c r="J9" s="1031">
        <f t="shared" si="9"/>
        <v>1626.4237764659451</v>
      </c>
      <c r="K9" s="1112">
        <f t="shared" si="10"/>
        <v>29275.627976387012</v>
      </c>
      <c r="L9" s="1112">
        <f t="shared" si="11"/>
        <v>2440</v>
      </c>
      <c r="M9" s="1120">
        <f t="shared" si="12"/>
        <v>90552.514619198919</v>
      </c>
      <c r="N9" s="1120">
        <f t="shared" si="13"/>
        <v>7546</v>
      </c>
    </row>
    <row r="10" spans="1:14" ht="12.75" customHeight="1">
      <c r="A10" s="1028">
        <v>4</v>
      </c>
      <c r="B10" s="1029" t="s">
        <v>105</v>
      </c>
      <c r="C10" s="1030">
        <v>0</v>
      </c>
      <c r="D10" s="1031">
        <f>'Table 3 Levels 1&amp;2'!$AP$77</f>
        <v>5030.6952566221626</v>
      </c>
      <c r="E10" s="1108">
        <f>'Table 3 Levels 1&amp;2'!V11</f>
        <v>0.79890000000000005</v>
      </c>
      <c r="F10" s="1108">
        <f>'Table 3 Levels 1&amp;2'!W11</f>
        <v>0.2011</v>
      </c>
      <c r="G10" s="1031">
        <f t="shared" si="6"/>
        <v>4019.0224405154459</v>
      </c>
      <c r="H10" s="1087">
        <f t="shared" si="7"/>
        <v>0</v>
      </c>
      <c r="I10" s="1087">
        <f t="shared" si="8"/>
        <v>0</v>
      </c>
      <c r="J10" s="1031">
        <f t="shared" si="9"/>
        <v>1011.6728161067169</v>
      </c>
      <c r="K10" s="1112">
        <f t="shared" si="10"/>
        <v>0</v>
      </c>
      <c r="L10" s="1112">
        <f t="shared" si="11"/>
        <v>0</v>
      </c>
      <c r="M10" s="1120">
        <f t="shared" si="12"/>
        <v>0</v>
      </c>
      <c r="N10" s="1120">
        <f t="shared" si="13"/>
        <v>0</v>
      </c>
    </row>
    <row r="11" spans="1:14">
      <c r="A11" s="1032">
        <v>5</v>
      </c>
      <c r="B11" s="1033" t="s">
        <v>106</v>
      </c>
      <c r="C11" s="1034">
        <v>0</v>
      </c>
      <c r="D11" s="1035">
        <f>'Table 3 Levels 1&amp;2'!$AP$77</f>
        <v>5030.6952566221626</v>
      </c>
      <c r="E11" s="1109">
        <f>'Table 3 Levels 1&amp;2'!V12</f>
        <v>0.84040000000000004</v>
      </c>
      <c r="F11" s="1109">
        <f>'Table 3 Levels 1&amp;2'!W12</f>
        <v>0.15959999999999999</v>
      </c>
      <c r="G11" s="1035">
        <f t="shared" si="6"/>
        <v>4227.7962936652657</v>
      </c>
      <c r="H11" s="1090">
        <f t="shared" si="7"/>
        <v>0</v>
      </c>
      <c r="I11" s="1090">
        <f t="shared" si="8"/>
        <v>0</v>
      </c>
      <c r="J11" s="1035">
        <f t="shared" si="9"/>
        <v>802.89896295689709</v>
      </c>
      <c r="K11" s="1113">
        <f t="shared" si="10"/>
        <v>0</v>
      </c>
      <c r="L11" s="1113">
        <f t="shared" si="11"/>
        <v>0</v>
      </c>
      <c r="M11" s="1121">
        <f t="shared" si="12"/>
        <v>0</v>
      </c>
      <c r="N11" s="1121">
        <f t="shared" si="13"/>
        <v>0</v>
      </c>
    </row>
    <row r="12" spans="1:14" ht="12.75" customHeight="1">
      <c r="A12" s="1021">
        <v>6</v>
      </c>
      <c r="B12" s="1022" t="s">
        <v>107</v>
      </c>
      <c r="C12" s="1023">
        <v>6</v>
      </c>
      <c r="D12" s="1024">
        <f>'Table 3 Levels 1&amp;2'!$AP$77</f>
        <v>5030.6952566221626</v>
      </c>
      <c r="E12" s="1107">
        <f>'Table 3 Levels 1&amp;2'!V13</f>
        <v>0.77710000000000001</v>
      </c>
      <c r="F12" s="1107">
        <f>'Table 3 Levels 1&amp;2'!W13</f>
        <v>0.22289999999999999</v>
      </c>
      <c r="G12" s="1024">
        <f t="shared" si="6"/>
        <v>3909.3532839210825</v>
      </c>
      <c r="H12" s="1025">
        <f t="shared" si="7"/>
        <v>23456.119703526496</v>
      </c>
      <c r="I12" s="1025">
        <f t="shared" si="8"/>
        <v>1955</v>
      </c>
      <c r="J12" s="1024">
        <f t="shared" si="9"/>
        <v>1121.3419727010801</v>
      </c>
      <c r="K12" s="1111">
        <f t="shared" si="10"/>
        <v>6728.0518362064804</v>
      </c>
      <c r="L12" s="1111">
        <f t="shared" si="11"/>
        <v>561</v>
      </c>
      <c r="M12" s="1119">
        <f t="shared" si="12"/>
        <v>30184.171539732975</v>
      </c>
      <c r="N12" s="1119">
        <f t="shared" si="13"/>
        <v>2516</v>
      </c>
    </row>
    <row r="13" spans="1:14">
      <c r="A13" s="1028">
        <v>7</v>
      </c>
      <c r="B13" s="1029" t="s">
        <v>108</v>
      </c>
      <c r="C13" s="1030">
        <v>1</v>
      </c>
      <c r="D13" s="1031">
        <f>'Table 3 Levels 1&amp;2'!$AP$77</f>
        <v>5030.6952566221626</v>
      </c>
      <c r="E13" s="1108">
        <f>'Table 3 Levels 1&amp;2'!V14</f>
        <v>0.25</v>
      </c>
      <c r="F13" s="1108">
        <f>'Table 3 Levels 1&amp;2'!W14</f>
        <v>0.75</v>
      </c>
      <c r="G13" s="1031">
        <f t="shared" si="6"/>
        <v>1257.6738141555406</v>
      </c>
      <c r="H13" s="1087">
        <f t="shared" si="7"/>
        <v>1257.6738141555406</v>
      </c>
      <c r="I13" s="1087">
        <f t="shared" si="8"/>
        <v>105</v>
      </c>
      <c r="J13" s="1031">
        <f t="shared" si="9"/>
        <v>3773.0214424666219</v>
      </c>
      <c r="K13" s="1112">
        <f t="shared" si="10"/>
        <v>3773.0214424666219</v>
      </c>
      <c r="L13" s="1112">
        <f t="shared" si="11"/>
        <v>314</v>
      </c>
      <c r="M13" s="1120">
        <f t="shared" si="12"/>
        <v>5030.6952566221626</v>
      </c>
      <c r="N13" s="1120">
        <f t="shared" si="13"/>
        <v>419</v>
      </c>
    </row>
    <row r="14" spans="1:14">
      <c r="A14" s="1028">
        <v>8</v>
      </c>
      <c r="B14" s="1029" t="s">
        <v>109</v>
      </c>
      <c r="C14" s="1030">
        <v>6</v>
      </c>
      <c r="D14" s="1031">
        <f>'Table 3 Levels 1&amp;2'!$AP$77</f>
        <v>5030.6952566221626</v>
      </c>
      <c r="E14" s="1108">
        <f>'Table 3 Levels 1&amp;2'!V15</f>
        <v>0.63970000000000005</v>
      </c>
      <c r="F14" s="1108">
        <f>'Table 3 Levels 1&amp;2'!W15</f>
        <v>0.36030000000000001</v>
      </c>
      <c r="G14" s="1031">
        <f t="shared" si="6"/>
        <v>3218.1357556611974</v>
      </c>
      <c r="H14" s="1087">
        <f t="shared" si="7"/>
        <v>19308.814533967183</v>
      </c>
      <c r="I14" s="1087">
        <f t="shared" si="8"/>
        <v>1609</v>
      </c>
      <c r="J14" s="1031">
        <f t="shared" si="9"/>
        <v>1812.5595009609651</v>
      </c>
      <c r="K14" s="1112">
        <f t="shared" si="10"/>
        <v>10875.357005765791</v>
      </c>
      <c r="L14" s="1112">
        <f t="shared" si="11"/>
        <v>906</v>
      </c>
      <c r="M14" s="1120">
        <f t="shared" si="12"/>
        <v>30184.171539732975</v>
      </c>
      <c r="N14" s="1120">
        <f t="shared" si="13"/>
        <v>2515</v>
      </c>
    </row>
    <row r="15" spans="1:14">
      <c r="A15" s="1028">
        <v>9</v>
      </c>
      <c r="B15" s="1029" t="s">
        <v>110</v>
      </c>
      <c r="C15" s="1030">
        <v>8</v>
      </c>
      <c r="D15" s="1031">
        <f>'Table 3 Levels 1&amp;2'!$AP$77</f>
        <v>5030.6952566221626</v>
      </c>
      <c r="E15" s="1108">
        <f>'Table 3 Levels 1&amp;2'!V16</f>
        <v>0.65910000000000002</v>
      </c>
      <c r="F15" s="1108">
        <f>'Table 3 Levels 1&amp;2'!W16</f>
        <v>0.34089999999999998</v>
      </c>
      <c r="G15" s="1031">
        <f t="shared" si="6"/>
        <v>3315.7312436396674</v>
      </c>
      <c r="H15" s="1087">
        <f t="shared" si="7"/>
        <v>26525.849949117339</v>
      </c>
      <c r="I15" s="1087">
        <f t="shared" si="8"/>
        <v>2210</v>
      </c>
      <c r="J15" s="1031">
        <f t="shared" si="9"/>
        <v>1714.9640129824952</v>
      </c>
      <c r="K15" s="1112">
        <f t="shared" si="10"/>
        <v>13719.712103859962</v>
      </c>
      <c r="L15" s="1112">
        <f t="shared" si="11"/>
        <v>1143</v>
      </c>
      <c r="M15" s="1120">
        <f t="shared" si="12"/>
        <v>40245.5620529773</v>
      </c>
      <c r="N15" s="1120">
        <f t="shared" si="13"/>
        <v>3353</v>
      </c>
    </row>
    <row r="16" spans="1:14">
      <c r="A16" s="1032">
        <v>10</v>
      </c>
      <c r="B16" s="1033" t="s">
        <v>111</v>
      </c>
      <c r="C16" s="1034">
        <v>18</v>
      </c>
      <c r="D16" s="1035">
        <f>'Table 3 Levels 1&amp;2'!$AP$77</f>
        <v>5030.6952566221626</v>
      </c>
      <c r="E16" s="1109">
        <f>'Table 3 Levels 1&amp;2'!V17</f>
        <v>0.6381</v>
      </c>
      <c r="F16" s="1109">
        <f>'Table 3 Levels 1&amp;2'!W17</f>
        <v>0.3619</v>
      </c>
      <c r="G16" s="1035">
        <f t="shared" si="6"/>
        <v>3210.0866432506018</v>
      </c>
      <c r="H16" s="1090">
        <f t="shared" si="7"/>
        <v>57781.559578510831</v>
      </c>
      <c r="I16" s="1090">
        <f t="shared" si="8"/>
        <v>4815</v>
      </c>
      <c r="J16" s="1035">
        <f t="shared" si="9"/>
        <v>1820.6086133715605</v>
      </c>
      <c r="K16" s="1113">
        <f t="shared" si="10"/>
        <v>32770.955040688088</v>
      </c>
      <c r="L16" s="1113">
        <f t="shared" si="11"/>
        <v>2731</v>
      </c>
      <c r="M16" s="1121">
        <f t="shared" si="12"/>
        <v>90552.514619198919</v>
      </c>
      <c r="N16" s="1121">
        <f t="shared" si="13"/>
        <v>7546</v>
      </c>
    </row>
    <row r="17" spans="1:14">
      <c r="A17" s="1021">
        <v>11</v>
      </c>
      <c r="B17" s="1022" t="s">
        <v>112</v>
      </c>
      <c r="C17" s="1023">
        <v>1</v>
      </c>
      <c r="D17" s="1024">
        <f>'Table 3 Levels 1&amp;2'!$AP$77</f>
        <v>5030.6952566221626</v>
      </c>
      <c r="E17" s="1107">
        <f>'Table 3 Levels 1&amp;2'!V18</f>
        <v>0.82330000000000003</v>
      </c>
      <c r="F17" s="1107">
        <f>'Table 3 Levels 1&amp;2'!W18</f>
        <v>0.1767</v>
      </c>
      <c r="G17" s="1024">
        <f t="shared" si="6"/>
        <v>4141.7714047770269</v>
      </c>
      <c r="H17" s="1025">
        <f t="shared" si="7"/>
        <v>4141.7714047770269</v>
      </c>
      <c r="I17" s="1025">
        <f t="shared" si="8"/>
        <v>345</v>
      </c>
      <c r="J17" s="1024">
        <f t="shared" si="9"/>
        <v>888.92385184513614</v>
      </c>
      <c r="K17" s="1111">
        <f t="shared" si="10"/>
        <v>888.92385184513614</v>
      </c>
      <c r="L17" s="1111">
        <f t="shared" si="11"/>
        <v>74</v>
      </c>
      <c r="M17" s="1119">
        <f t="shared" si="12"/>
        <v>5030.6952566221626</v>
      </c>
      <c r="N17" s="1119">
        <f t="shared" si="13"/>
        <v>419</v>
      </c>
    </row>
    <row r="18" spans="1:14">
      <c r="A18" s="1028">
        <v>12</v>
      </c>
      <c r="B18" s="1029" t="s">
        <v>113</v>
      </c>
      <c r="C18" s="1030">
        <f>'[7]Summary by Parish'!E18</f>
        <v>0</v>
      </c>
      <c r="D18" s="1031">
        <f>'Table 3 Levels 1&amp;2'!$AP$77</f>
        <v>5030.6952566221626</v>
      </c>
      <c r="E18" s="1108">
        <f>'Table 3 Levels 1&amp;2'!V19</f>
        <v>0.27960000000000002</v>
      </c>
      <c r="F18" s="1108">
        <f>'Table 3 Levels 1&amp;2'!W19</f>
        <v>0.72040000000000004</v>
      </c>
      <c r="G18" s="1031">
        <f t="shared" si="6"/>
        <v>1406.5823937515568</v>
      </c>
      <c r="H18" s="1087">
        <f t="shared" si="7"/>
        <v>0</v>
      </c>
      <c r="I18" s="1087">
        <f t="shared" si="8"/>
        <v>0</v>
      </c>
      <c r="J18" s="1031">
        <f t="shared" si="9"/>
        <v>3624.112862870606</v>
      </c>
      <c r="K18" s="1112">
        <f t="shared" si="10"/>
        <v>0</v>
      </c>
      <c r="L18" s="1112">
        <f t="shared" si="11"/>
        <v>0</v>
      </c>
      <c r="M18" s="1120">
        <f t="shared" si="12"/>
        <v>0</v>
      </c>
      <c r="N18" s="1120">
        <f t="shared" si="13"/>
        <v>0</v>
      </c>
    </row>
    <row r="19" spans="1:14">
      <c r="A19" s="1028">
        <v>13</v>
      </c>
      <c r="B19" s="1029" t="s">
        <v>114</v>
      </c>
      <c r="C19" s="1030">
        <f>'[7]Summary by Parish'!E19</f>
        <v>0</v>
      </c>
      <c r="D19" s="1031">
        <f>'Table 3 Levels 1&amp;2'!$AP$77</f>
        <v>5030.6952566221626</v>
      </c>
      <c r="E19" s="1108">
        <f>'Table 3 Levels 1&amp;2'!V20</f>
        <v>0.83509999999999995</v>
      </c>
      <c r="F19" s="1108">
        <f>'Table 3 Levels 1&amp;2'!W20</f>
        <v>0.16489999999999999</v>
      </c>
      <c r="G19" s="1031">
        <f t="shared" si="6"/>
        <v>4201.1336088051676</v>
      </c>
      <c r="H19" s="1087">
        <f t="shared" si="7"/>
        <v>0</v>
      </c>
      <c r="I19" s="1087">
        <f t="shared" si="8"/>
        <v>0</v>
      </c>
      <c r="J19" s="1031">
        <f t="shared" si="9"/>
        <v>829.56164781699454</v>
      </c>
      <c r="K19" s="1112">
        <f t="shared" si="10"/>
        <v>0</v>
      </c>
      <c r="L19" s="1112">
        <f t="shared" si="11"/>
        <v>0</v>
      </c>
      <c r="M19" s="1120">
        <f t="shared" si="12"/>
        <v>0</v>
      </c>
      <c r="N19" s="1120">
        <f t="shared" si="13"/>
        <v>0</v>
      </c>
    </row>
    <row r="20" spans="1:14" ht="12.75" customHeight="1">
      <c r="A20" s="1028">
        <v>14</v>
      </c>
      <c r="B20" s="1029" t="s">
        <v>115</v>
      </c>
      <c r="C20" s="1030">
        <v>1</v>
      </c>
      <c r="D20" s="1031">
        <f>'Table 3 Levels 1&amp;2'!$AP$77</f>
        <v>5030.6952566221626</v>
      </c>
      <c r="E20" s="1108">
        <f>'Table 3 Levels 1&amp;2'!V21</f>
        <v>0.69640000000000002</v>
      </c>
      <c r="F20" s="1108">
        <f>'Table 3 Levels 1&amp;2'!W21</f>
        <v>0.30359999999999998</v>
      </c>
      <c r="G20" s="1031">
        <f t="shared" si="6"/>
        <v>3503.3761767116739</v>
      </c>
      <c r="H20" s="1087">
        <f t="shared" si="7"/>
        <v>3503.3761767116739</v>
      </c>
      <c r="I20" s="1087">
        <f t="shared" si="8"/>
        <v>292</v>
      </c>
      <c r="J20" s="1031">
        <f t="shared" si="9"/>
        <v>1527.3190799104884</v>
      </c>
      <c r="K20" s="1112">
        <f t="shared" si="10"/>
        <v>1527.3190799104884</v>
      </c>
      <c r="L20" s="1112">
        <f t="shared" si="11"/>
        <v>127</v>
      </c>
      <c r="M20" s="1120">
        <f t="shared" si="12"/>
        <v>5030.6952566221626</v>
      </c>
      <c r="N20" s="1120">
        <f t="shared" si="13"/>
        <v>419</v>
      </c>
    </row>
    <row r="21" spans="1:14">
      <c r="A21" s="1032">
        <v>15</v>
      </c>
      <c r="B21" s="1033" t="s">
        <v>116</v>
      </c>
      <c r="C21" s="1034">
        <v>0</v>
      </c>
      <c r="D21" s="1035">
        <f>'Table 3 Levels 1&amp;2'!$AP$77</f>
        <v>5030.6952566221626</v>
      </c>
      <c r="E21" s="1109">
        <f>'Table 3 Levels 1&amp;2'!V22</f>
        <v>0.78459999999999996</v>
      </c>
      <c r="F21" s="1109">
        <f>'Table 3 Levels 1&amp;2'!W22</f>
        <v>0.21540000000000001</v>
      </c>
      <c r="G21" s="1035">
        <f t="shared" si="6"/>
        <v>3947.0834983457485</v>
      </c>
      <c r="H21" s="1090">
        <f t="shared" si="7"/>
        <v>0</v>
      </c>
      <c r="I21" s="1090">
        <f t="shared" si="8"/>
        <v>0</v>
      </c>
      <c r="J21" s="1035">
        <f t="shared" si="9"/>
        <v>1083.6117582764139</v>
      </c>
      <c r="K21" s="1113">
        <f t="shared" si="10"/>
        <v>0</v>
      </c>
      <c r="L21" s="1113">
        <f t="shared" si="11"/>
        <v>0</v>
      </c>
      <c r="M21" s="1121">
        <f t="shared" si="12"/>
        <v>0</v>
      </c>
      <c r="N21" s="1121">
        <f t="shared" si="13"/>
        <v>0</v>
      </c>
    </row>
    <row r="22" spans="1:14">
      <c r="A22" s="1021">
        <v>16</v>
      </c>
      <c r="B22" s="1022" t="s">
        <v>117</v>
      </c>
      <c r="C22" s="1023">
        <v>1</v>
      </c>
      <c r="D22" s="1024">
        <f>'Table 3 Levels 1&amp;2'!$AP$77</f>
        <v>5030.6952566221626</v>
      </c>
      <c r="E22" s="1107">
        <f>'Table 3 Levels 1&amp;2'!V23</f>
        <v>0.25</v>
      </c>
      <c r="F22" s="1107">
        <f>'Table 3 Levels 1&amp;2'!W23</f>
        <v>0.75</v>
      </c>
      <c r="G22" s="1024">
        <f t="shared" si="6"/>
        <v>1257.6738141555406</v>
      </c>
      <c r="H22" s="1025">
        <f t="shared" si="7"/>
        <v>1257.6738141555406</v>
      </c>
      <c r="I22" s="1025">
        <f t="shared" si="8"/>
        <v>105</v>
      </c>
      <c r="J22" s="1024">
        <f t="shared" si="9"/>
        <v>3773.0214424666219</v>
      </c>
      <c r="K22" s="1111">
        <f t="shared" si="10"/>
        <v>3773.0214424666219</v>
      </c>
      <c r="L22" s="1111">
        <f t="shared" si="11"/>
        <v>314</v>
      </c>
      <c r="M22" s="1119">
        <f t="shared" si="12"/>
        <v>5030.6952566221626</v>
      </c>
      <c r="N22" s="1119">
        <f t="shared" si="13"/>
        <v>419</v>
      </c>
    </row>
    <row r="23" spans="1:14">
      <c r="A23" s="1028">
        <v>17</v>
      </c>
      <c r="B23" s="1029" t="s">
        <v>118</v>
      </c>
      <c r="C23" s="1030">
        <v>17</v>
      </c>
      <c r="D23" s="1031">
        <f>'Table 3 Levels 1&amp;2'!$AP$77</f>
        <v>5030.6952566221626</v>
      </c>
      <c r="E23" s="1108">
        <f>'Table 3 Levels 1&amp;2'!V24</f>
        <v>0.4914</v>
      </c>
      <c r="F23" s="1108">
        <f>'Table 3 Levels 1&amp;2'!W24</f>
        <v>0.50860000000000005</v>
      </c>
      <c r="G23" s="1031">
        <f t="shared" si="6"/>
        <v>2472.0836491041305</v>
      </c>
      <c r="H23" s="1087">
        <f t="shared" si="7"/>
        <v>42025.422034770221</v>
      </c>
      <c r="I23" s="1087">
        <f t="shared" si="8"/>
        <v>3502</v>
      </c>
      <c r="J23" s="1031">
        <f t="shared" si="9"/>
        <v>2558.6116075180321</v>
      </c>
      <c r="K23" s="1112">
        <f t="shared" si="10"/>
        <v>43496.397327806546</v>
      </c>
      <c r="L23" s="1112">
        <f t="shared" si="11"/>
        <v>3625</v>
      </c>
      <c r="M23" s="1120">
        <f t="shared" si="12"/>
        <v>85521.81936257676</v>
      </c>
      <c r="N23" s="1120">
        <f t="shared" si="13"/>
        <v>7127</v>
      </c>
    </row>
    <row r="24" spans="1:14">
      <c r="A24" s="1028">
        <v>18</v>
      </c>
      <c r="B24" s="1029" t="s">
        <v>119</v>
      </c>
      <c r="C24" s="1030">
        <v>0</v>
      </c>
      <c r="D24" s="1031">
        <f>'Table 3 Levels 1&amp;2'!$AP$77</f>
        <v>5030.6952566221626</v>
      </c>
      <c r="E24" s="1108">
        <f>'Table 3 Levels 1&amp;2'!V25</f>
        <v>0.83360000000000001</v>
      </c>
      <c r="F24" s="1108">
        <f>'Table 3 Levels 1&amp;2'!W25</f>
        <v>0.16639999999999999</v>
      </c>
      <c r="G24" s="1031">
        <f t="shared" si="6"/>
        <v>4193.5875659202347</v>
      </c>
      <c r="H24" s="1087">
        <f t="shared" si="7"/>
        <v>0</v>
      </c>
      <c r="I24" s="1087">
        <f t="shared" si="8"/>
        <v>0</v>
      </c>
      <c r="J24" s="1031">
        <f t="shared" si="9"/>
        <v>837.10769070192782</v>
      </c>
      <c r="K24" s="1112">
        <f t="shared" si="10"/>
        <v>0</v>
      </c>
      <c r="L24" s="1112">
        <f t="shared" si="11"/>
        <v>0</v>
      </c>
      <c r="M24" s="1120">
        <f t="shared" si="12"/>
        <v>0</v>
      </c>
      <c r="N24" s="1120">
        <f t="shared" si="13"/>
        <v>0</v>
      </c>
    </row>
    <row r="25" spans="1:14">
      <c r="A25" s="1028">
        <v>19</v>
      </c>
      <c r="B25" s="1029" t="s">
        <v>120</v>
      </c>
      <c r="C25" s="1030">
        <v>0</v>
      </c>
      <c r="D25" s="1031">
        <f>'Table 3 Levels 1&amp;2'!$AP$77</f>
        <v>5030.6952566221626</v>
      </c>
      <c r="E25" s="1108">
        <f>'Table 3 Levels 1&amp;2'!V26</f>
        <v>0.75790000000000002</v>
      </c>
      <c r="F25" s="1108">
        <f>'Table 3 Levels 1&amp;2'!W26</f>
        <v>0.24210000000000001</v>
      </c>
      <c r="G25" s="1031">
        <f t="shared" si="6"/>
        <v>3812.7639349939373</v>
      </c>
      <c r="H25" s="1087">
        <f t="shared" si="7"/>
        <v>0</v>
      </c>
      <c r="I25" s="1087">
        <f t="shared" si="8"/>
        <v>0</v>
      </c>
      <c r="J25" s="1031">
        <f t="shared" si="9"/>
        <v>1217.9313216282255</v>
      </c>
      <c r="K25" s="1112">
        <f t="shared" si="10"/>
        <v>0</v>
      </c>
      <c r="L25" s="1112">
        <f t="shared" si="11"/>
        <v>0</v>
      </c>
      <c r="M25" s="1120">
        <f t="shared" si="12"/>
        <v>0</v>
      </c>
      <c r="N25" s="1120">
        <f t="shared" si="13"/>
        <v>0</v>
      </c>
    </row>
    <row r="26" spans="1:14">
      <c r="A26" s="1032">
        <v>20</v>
      </c>
      <c r="B26" s="1033" t="s">
        <v>121</v>
      </c>
      <c r="C26" s="1034">
        <v>2</v>
      </c>
      <c r="D26" s="1035">
        <f>'Table 3 Levels 1&amp;2'!$AP$77</f>
        <v>5030.6952566221626</v>
      </c>
      <c r="E26" s="1109">
        <f>'Table 3 Levels 1&amp;2'!V27</f>
        <v>0.80759999999999998</v>
      </c>
      <c r="F26" s="1109">
        <f>'Table 3 Levels 1&amp;2'!W27</f>
        <v>0.19239999999999999</v>
      </c>
      <c r="G26" s="1035">
        <f t="shared" si="6"/>
        <v>4062.7894892480585</v>
      </c>
      <c r="H26" s="1090">
        <f t="shared" si="7"/>
        <v>8125.5789784961171</v>
      </c>
      <c r="I26" s="1090">
        <f t="shared" si="8"/>
        <v>677</v>
      </c>
      <c r="J26" s="1035">
        <f t="shared" si="9"/>
        <v>967.90576737410402</v>
      </c>
      <c r="K26" s="1113">
        <f t="shared" si="10"/>
        <v>1935.811534748208</v>
      </c>
      <c r="L26" s="1113">
        <f t="shared" si="11"/>
        <v>161</v>
      </c>
      <c r="M26" s="1121">
        <f t="shared" si="12"/>
        <v>10061.390513244325</v>
      </c>
      <c r="N26" s="1121">
        <f t="shared" si="13"/>
        <v>838</v>
      </c>
    </row>
    <row r="27" spans="1:14">
      <c r="A27" s="1021">
        <v>21</v>
      </c>
      <c r="B27" s="1022" t="s">
        <v>122</v>
      </c>
      <c r="C27" s="1023">
        <v>0</v>
      </c>
      <c r="D27" s="1024">
        <f>'Table 3 Levels 1&amp;2'!$AP$77</f>
        <v>5030.6952566221626</v>
      </c>
      <c r="E27" s="1107">
        <f>'Table 3 Levels 1&amp;2'!V28</f>
        <v>0.82709999999999995</v>
      </c>
      <c r="F27" s="1107">
        <f>'Table 3 Levels 1&amp;2'!W28</f>
        <v>0.1729</v>
      </c>
      <c r="G27" s="1024">
        <f t="shared" si="6"/>
        <v>4160.8880467521903</v>
      </c>
      <c r="H27" s="1025">
        <f t="shared" si="7"/>
        <v>0</v>
      </c>
      <c r="I27" s="1025">
        <f t="shared" si="8"/>
        <v>0</v>
      </c>
      <c r="J27" s="1024">
        <f t="shared" si="9"/>
        <v>869.80720986997187</v>
      </c>
      <c r="K27" s="1111">
        <f t="shared" si="10"/>
        <v>0</v>
      </c>
      <c r="L27" s="1111">
        <f t="shared" si="11"/>
        <v>0</v>
      </c>
      <c r="M27" s="1119">
        <f t="shared" si="12"/>
        <v>0</v>
      </c>
      <c r="N27" s="1119">
        <f t="shared" si="13"/>
        <v>0</v>
      </c>
    </row>
    <row r="28" spans="1:14">
      <c r="A28" s="1028">
        <v>22</v>
      </c>
      <c r="B28" s="1029" t="s">
        <v>123</v>
      </c>
      <c r="C28" s="1030">
        <v>4</v>
      </c>
      <c r="D28" s="1031">
        <f>'Table 3 Levels 1&amp;2'!$AP$77</f>
        <v>5030.6952566221626</v>
      </c>
      <c r="E28" s="1108">
        <f>'Table 3 Levels 1&amp;2'!V29</f>
        <v>0.89870000000000005</v>
      </c>
      <c r="F28" s="1108">
        <f>'Table 3 Levels 1&amp;2'!W29</f>
        <v>0.1013</v>
      </c>
      <c r="G28" s="1031">
        <f t="shared" si="6"/>
        <v>4521.0858271263378</v>
      </c>
      <c r="H28" s="1087">
        <f t="shared" si="7"/>
        <v>18084.343308505351</v>
      </c>
      <c r="I28" s="1087">
        <f t="shared" si="8"/>
        <v>1507</v>
      </c>
      <c r="J28" s="1031">
        <f t="shared" si="9"/>
        <v>509.60942949582505</v>
      </c>
      <c r="K28" s="1112">
        <f t="shared" si="10"/>
        <v>2038.4377179833002</v>
      </c>
      <c r="L28" s="1112">
        <f t="shared" si="11"/>
        <v>170</v>
      </c>
      <c r="M28" s="1120">
        <f t="shared" si="12"/>
        <v>20122.78102648865</v>
      </c>
      <c r="N28" s="1120">
        <f t="shared" si="13"/>
        <v>1677</v>
      </c>
    </row>
    <row r="29" spans="1:14">
      <c r="A29" s="1028">
        <v>23</v>
      </c>
      <c r="B29" s="1029" t="s">
        <v>124</v>
      </c>
      <c r="C29" s="1030">
        <v>1</v>
      </c>
      <c r="D29" s="1031">
        <f>'Table 3 Levels 1&amp;2'!$AP$77</f>
        <v>5030.6952566221626</v>
      </c>
      <c r="E29" s="1108">
        <f>'Table 3 Levels 1&amp;2'!V30</f>
        <v>0.7177</v>
      </c>
      <c r="F29" s="1108">
        <f>'Table 3 Levels 1&amp;2'!W30</f>
        <v>0.2823</v>
      </c>
      <c r="G29" s="1031">
        <f t="shared" si="6"/>
        <v>3610.529985677726</v>
      </c>
      <c r="H29" s="1087">
        <f t="shared" si="7"/>
        <v>3610.529985677726</v>
      </c>
      <c r="I29" s="1087">
        <f t="shared" si="8"/>
        <v>301</v>
      </c>
      <c r="J29" s="1031">
        <f t="shared" si="9"/>
        <v>1420.1652709444365</v>
      </c>
      <c r="K29" s="1112">
        <f t="shared" si="10"/>
        <v>1420.1652709444365</v>
      </c>
      <c r="L29" s="1112">
        <f t="shared" si="11"/>
        <v>118</v>
      </c>
      <c r="M29" s="1120">
        <f t="shared" si="12"/>
        <v>5030.6952566221626</v>
      </c>
      <c r="N29" s="1120">
        <f t="shared" si="13"/>
        <v>419</v>
      </c>
    </row>
    <row r="30" spans="1:14">
      <c r="A30" s="1028">
        <v>24</v>
      </c>
      <c r="B30" s="1029" t="s">
        <v>125</v>
      </c>
      <c r="C30" s="1030">
        <v>1</v>
      </c>
      <c r="D30" s="1031">
        <f>'Table 3 Levels 1&amp;2'!$AP$77</f>
        <v>5030.6952566221626</v>
      </c>
      <c r="E30" s="1108">
        <f>'Table 3 Levels 1&amp;2'!V31</f>
        <v>0.37909999999999999</v>
      </c>
      <c r="F30" s="1108">
        <f>'Table 3 Levels 1&amp;2'!W31</f>
        <v>0.62090000000000001</v>
      </c>
      <c r="G30" s="1031">
        <f t="shared" si="6"/>
        <v>1907.1365717854617</v>
      </c>
      <c r="H30" s="1087">
        <f t="shared" si="7"/>
        <v>1907.1365717854617</v>
      </c>
      <c r="I30" s="1087">
        <f t="shared" si="8"/>
        <v>159</v>
      </c>
      <c r="J30" s="1031">
        <f t="shared" si="9"/>
        <v>3123.5586848367006</v>
      </c>
      <c r="K30" s="1112">
        <f t="shared" si="10"/>
        <v>3123.5586848367006</v>
      </c>
      <c r="L30" s="1112">
        <f t="shared" si="11"/>
        <v>260</v>
      </c>
      <c r="M30" s="1120">
        <f t="shared" si="12"/>
        <v>5030.6952566221626</v>
      </c>
      <c r="N30" s="1120">
        <f t="shared" si="13"/>
        <v>419</v>
      </c>
    </row>
    <row r="31" spans="1:14">
      <c r="A31" s="1032">
        <v>25</v>
      </c>
      <c r="B31" s="1033" t="s">
        <v>126</v>
      </c>
      <c r="C31" s="1034">
        <f>'[7]Summary by Parish'!E31</f>
        <v>0</v>
      </c>
      <c r="D31" s="1035">
        <f>'Table 3 Levels 1&amp;2'!$AP$77</f>
        <v>5030.6952566221626</v>
      </c>
      <c r="E31" s="1109">
        <f>'Table 3 Levels 1&amp;2'!V32</f>
        <v>0.56850000000000001</v>
      </c>
      <c r="F31" s="1109">
        <f>'Table 3 Levels 1&amp;2'!W32</f>
        <v>0.43149999999999999</v>
      </c>
      <c r="G31" s="1035">
        <f t="shared" si="6"/>
        <v>2859.9502533896994</v>
      </c>
      <c r="H31" s="1090">
        <f t="shared" si="7"/>
        <v>0</v>
      </c>
      <c r="I31" s="1090">
        <f t="shared" si="8"/>
        <v>0</v>
      </c>
      <c r="J31" s="1035">
        <f t="shared" si="9"/>
        <v>2170.7450032324632</v>
      </c>
      <c r="K31" s="1113">
        <f t="shared" si="10"/>
        <v>0</v>
      </c>
      <c r="L31" s="1113">
        <f t="shared" si="11"/>
        <v>0</v>
      </c>
      <c r="M31" s="1121">
        <f t="shared" si="12"/>
        <v>0</v>
      </c>
      <c r="N31" s="1121">
        <f t="shared" si="13"/>
        <v>0</v>
      </c>
    </row>
    <row r="32" spans="1:14">
      <c r="A32" s="1021">
        <v>26</v>
      </c>
      <c r="B32" s="1022" t="s">
        <v>127</v>
      </c>
      <c r="C32" s="1023">
        <v>9</v>
      </c>
      <c r="D32" s="1024">
        <f>'Table 3 Levels 1&amp;2'!$AP$77</f>
        <v>5030.6952566221626</v>
      </c>
      <c r="E32" s="1107">
        <f>'Table 3 Levels 1&amp;2'!V33</f>
        <v>0.45639999999999997</v>
      </c>
      <c r="F32" s="1107">
        <f>'Table 3 Levels 1&amp;2'!W33</f>
        <v>0.54359999999999997</v>
      </c>
      <c r="G32" s="1024">
        <f t="shared" si="6"/>
        <v>2296.009315122355</v>
      </c>
      <c r="H32" s="1025">
        <f t="shared" si="7"/>
        <v>20664.083836101196</v>
      </c>
      <c r="I32" s="1025">
        <f t="shared" si="8"/>
        <v>1722</v>
      </c>
      <c r="J32" s="1024">
        <f t="shared" si="9"/>
        <v>2734.6859414998075</v>
      </c>
      <c r="K32" s="1111">
        <f t="shared" si="10"/>
        <v>24612.173473498267</v>
      </c>
      <c r="L32" s="1111">
        <f t="shared" si="11"/>
        <v>2051</v>
      </c>
      <c r="M32" s="1119">
        <f t="shared" si="12"/>
        <v>45276.257309599459</v>
      </c>
      <c r="N32" s="1119">
        <f t="shared" si="13"/>
        <v>3773</v>
      </c>
    </row>
    <row r="33" spans="1:14">
      <c r="A33" s="1028">
        <v>27</v>
      </c>
      <c r="B33" s="1029" t="s">
        <v>128</v>
      </c>
      <c r="C33" s="1036">
        <v>0</v>
      </c>
      <c r="D33" s="1037">
        <f>'Table 3 Levels 1&amp;2'!$AP$77</f>
        <v>5030.6952566221626</v>
      </c>
      <c r="E33" s="1108">
        <f>'Table 3 Levels 1&amp;2'!V34</f>
        <v>0.78390000000000004</v>
      </c>
      <c r="F33" s="1108">
        <f>'Table 3 Levels 1&amp;2'!W34</f>
        <v>0.21609999999999999</v>
      </c>
      <c r="G33" s="1037">
        <f t="shared" si="6"/>
        <v>3943.5620116661134</v>
      </c>
      <c r="H33" s="1094">
        <f t="shared" si="7"/>
        <v>0</v>
      </c>
      <c r="I33" s="1094">
        <f t="shared" si="8"/>
        <v>0</v>
      </c>
      <c r="J33" s="1037">
        <f t="shared" si="9"/>
        <v>1087.1332449560493</v>
      </c>
      <c r="K33" s="1114">
        <f t="shared" si="10"/>
        <v>0</v>
      </c>
      <c r="L33" s="1114">
        <f t="shared" si="11"/>
        <v>0</v>
      </c>
      <c r="M33" s="1122">
        <f t="shared" si="12"/>
        <v>0</v>
      </c>
      <c r="N33" s="1122">
        <f t="shared" si="13"/>
        <v>0</v>
      </c>
    </row>
    <row r="34" spans="1:14">
      <c r="A34" s="1028">
        <v>28</v>
      </c>
      <c r="B34" s="1029" t="s">
        <v>129</v>
      </c>
      <c r="C34" s="1036">
        <v>8</v>
      </c>
      <c r="D34" s="1037">
        <f>'Table 3 Levels 1&amp;2'!$AP$77</f>
        <v>5030.6952566221626</v>
      </c>
      <c r="E34" s="1108">
        <f>'Table 3 Levels 1&amp;2'!V35</f>
        <v>0.52229999999999999</v>
      </c>
      <c r="F34" s="1108">
        <f>'Table 3 Levels 1&amp;2'!W35</f>
        <v>0.47770000000000001</v>
      </c>
      <c r="G34" s="1037">
        <f t="shared" si="6"/>
        <v>2627.5321325337554</v>
      </c>
      <c r="H34" s="1094">
        <f t="shared" si="7"/>
        <v>21020.257060270043</v>
      </c>
      <c r="I34" s="1094">
        <f t="shared" si="8"/>
        <v>1752</v>
      </c>
      <c r="J34" s="1037">
        <f t="shared" si="9"/>
        <v>2403.1631240884071</v>
      </c>
      <c r="K34" s="1114">
        <f t="shared" si="10"/>
        <v>19225.304992707257</v>
      </c>
      <c r="L34" s="1114">
        <f t="shared" si="11"/>
        <v>1602</v>
      </c>
      <c r="M34" s="1122">
        <f t="shared" si="12"/>
        <v>40245.5620529773</v>
      </c>
      <c r="N34" s="1122">
        <f t="shared" si="13"/>
        <v>3354</v>
      </c>
    </row>
    <row r="35" spans="1:14">
      <c r="A35" s="1028">
        <v>29</v>
      </c>
      <c r="B35" s="1029" t="s">
        <v>130</v>
      </c>
      <c r="C35" s="1036">
        <v>3</v>
      </c>
      <c r="D35" s="1037">
        <f>'Table 3 Levels 1&amp;2'!$AP$77</f>
        <v>5030.6952566221626</v>
      </c>
      <c r="E35" s="1108">
        <f>'Table 3 Levels 1&amp;2'!V36</f>
        <v>0.62649999999999995</v>
      </c>
      <c r="F35" s="1108">
        <f>'Table 3 Levels 1&amp;2'!W36</f>
        <v>0.3735</v>
      </c>
      <c r="G35" s="1037">
        <f t="shared" si="6"/>
        <v>3151.7305782737844</v>
      </c>
      <c r="H35" s="1094">
        <f t="shared" si="7"/>
        <v>9455.1917348213537</v>
      </c>
      <c r="I35" s="1094">
        <f t="shared" si="8"/>
        <v>788</v>
      </c>
      <c r="J35" s="1037">
        <f t="shared" si="9"/>
        <v>1878.9646783483777</v>
      </c>
      <c r="K35" s="1114">
        <f t="shared" si="10"/>
        <v>5636.894035045133</v>
      </c>
      <c r="L35" s="1114">
        <f t="shared" si="11"/>
        <v>470</v>
      </c>
      <c r="M35" s="1122">
        <f t="shared" si="12"/>
        <v>15092.085769866488</v>
      </c>
      <c r="N35" s="1122">
        <f t="shared" si="13"/>
        <v>1258</v>
      </c>
    </row>
    <row r="36" spans="1:14">
      <c r="A36" s="1032">
        <v>30</v>
      </c>
      <c r="B36" s="1033" t="s">
        <v>131</v>
      </c>
      <c r="C36" s="1038">
        <v>1</v>
      </c>
      <c r="D36" s="1039">
        <f>'Table 3 Levels 1&amp;2'!$AP$77</f>
        <v>5030.6952566221626</v>
      </c>
      <c r="E36" s="1109">
        <f>'Table 3 Levels 1&amp;2'!V37</f>
        <v>0.78869999999999996</v>
      </c>
      <c r="F36" s="1109">
        <f>'Table 3 Levels 1&amp;2'!W37</f>
        <v>0.21129999999999999</v>
      </c>
      <c r="G36" s="1039">
        <f t="shared" si="6"/>
        <v>3967.7093488978994</v>
      </c>
      <c r="H36" s="1095">
        <f t="shared" si="7"/>
        <v>3967.7093488978994</v>
      </c>
      <c r="I36" s="1095">
        <f t="shared" si="8"/>
        <v>331</v>
      </c>
      <c r="J36" s="1039">
        <f t="shared" si="9"/>
        <v>1062.9859077242629</v>
      </c>
      <c r="K36" s="1115">
        <f t="shared" si="10"/>
        <v>1062.9859077242629</v>
      </c>
      <c r="L36" s="1115">
        <f t="shared" si="11"/>
        <v>89</v>
      </c>
      <c r="M36" s="1123">
        <f t="shared" si="12"/>
        <v>5030.6952566221626</v>
      </c>
      <c r="N36" s="1123">
        <f t="shared" si="13"/>
        <v>420</v>
      </c>
    </row>
    <row r="37" spans="1:14">
      <c r="A37" s="1021">
        <v>31</v>
      </c>
      <c r="B37" s="1022" t="s">
        <v>132</v>
      </c>
      <c r="C37" s="1040">
        <v>0</v>
      </c>
      <c r="D37" s="1041">
        <f>'Table 3 Levels 1&amp;2'!$AP$77</f>
        <v>5030.6952566221626</v>
      </c>
      <c r="E37" s="1107">
        <f>'Table 3 Levels 1&amp;2'!V38</f>
        <v>0.63280000000000003</v>
      </c>
      <c r="F37" s="1107">
        <f>'Table 3 Levels 1&amp;2'!W38</f>
        <v>0.36720000000000003</v>
      </c>
      <c r="G37" s="1041">
        <f t="shared" si="6"/>
        <v>3183.4239583905046</v>
      </c>
      <c r="H37" s="1096">
        <f t="shared" si="7"/>
        <v>0</v>
      </c>
      <c r="I37" s="1096">
        <f t="shared" si="8"/>
        <v>0</v>
      </c>
      <c r="J37" s="1041">
        <f t="shared" si="9"/>
        <v>1847.2712982316582</v>
      </c>
      <c r="K37" s="1116">
        <f t="shared" si="10"/>
        <v>0</v>
      </c>
      <c r="L37" s="1116">
        <f t="shared" si="11"/>
        <v>0</v>
      </c>
      <c r="M37" s="1124">
        <f t="shared" si="12"/>
        <v>0</v>
      </c>
      <c r="N37" s="1124">
        <f t="shared" si="13"/>
        <v>0</v>
      </c>
    </row>
    <row r="38" spans="1:14">
      <c r="A38" s="1028">
        <v>32</v>
      </c>
      <c r="B38" s="1029" t="s">
        <v>133</v>
      </c>
      <c r="C38" s="1036">
        <v>13</v>
      </c>
      <c r="D38" s="1037">
        <f>'Table 3 Levels 1&amp;2'!$AP$77</f>
        <v>5030.6952566221626</v>
      </c>
      <c r="E38" s="1108">
        <f>'Table 3 Levels 1&amp;2'!V39</f>
        <v>0.85340000000000005</v>
      </c>
      <c r="F38" s="1108">
        <f>'Table 3 Levels 1&amp;2'!W39</f>
        <v>0.14660000000000001</v>
      </c>
      <c r="G38" s="1037">
        <f t="shared" si="6"/>
        <v>4293.1953320013536</v>
      </c>
      <c r="H38" s="1094">
        <f t="shared" si="7"/>
        <v>55811.539316017595</v>
      </c>
      <c r="I38" s="1094">
        <f t="shared" si="8"/>
        <v>4651</v>
      </c>
      <c r="J38" s="1037">
        <f t="shared" si="9"/>
        <v>737.49992462080911</v>
      </c>
      <c r="K38" s="1114">
        <f t="shared" si="10"/>
        <v>9587.4990200705179</v>
      </c>
      <c r="L38" s="1114">
        <f t="shared" si="11"/>
        <v>799</v>
      </c>
      <c r="M38" s="1122">
        <f t="shared" si="12"/>
        <v>65399.03833608811</v>
      </c>
      <c r="N38" s="1122">
        <f t="shared" si="13"/>
        <v>5450</v>
      </c>
    </row>
    <row r="39" spans="1:14">
      <c r="A39" s="1028">
        <v>33</v>
      </c>
      <c r="B39" s="1029" t="s">
        <v>134</v>
      </c>
      <c r="C39" s="1036">
        <v>0</v>
      </c>
      <c r="D39" s="1037">
        <f>'Table 3 Levels 1&amp;2'!$AP$77</f>
        <v>5030.6952566221626</v>
      </c>
      <c r="E39" s="1108">
        <f>'Table 3 Levels 1&amp;2'!V40</f>
        <v>0.75719999999999998</v>
      </c>
      <c r="F39" s="1108">
        <f>'Table 3 Levels 1&amp;2'!W40</f>
        <v>0.24279999999999999</v>
      </c>
      <c r="G39" s="1037">
        <f t="shared" si="6"/>
        <v>3809.2424483143013</v>
      </c>
      <c r="H39" s="1094">
        <f t="shared" si="7"/>
        <v>0</v>
      </c>
      <c r="I39" s="1094">
        <f t="shared" si="8"/>
        <v>0</v>
      </c>
      <c r="J39" s="1037">
        <f t="shared" si="9"/>
        <v>1221.452808307861</v>
      </c>
      <c r="K39" s="1114">
        <f t="shared" si="10"/>
        <v>0</v>
      </c>
      <c r="L39" s="1114">
        <f t="shared" si="11"/>
        <v>0</v>
      </c>
      <c r="M39" s="1122">
        <f t="shared" si="12"/>
        <v>0</v>
      </c>
      <c r="N39" s="1122">
        <f t="shared" si="13"/>
        <v>0</v>
      </c>
    </row>
    <row r="40" spans="1:14">
      <c r="A40" s="1028">
        <v>34</v>
      </c>
      <c r="B40" s="1029" t="s">
        <v>135</v>
      </c>
      <c r="C40" s="1036">
        <f>'[7]Summary by Parish'!E40</f>
        <v>0</v>
      </c>
      <c r="D40" s="1037">
        <f>'Table 3 Levels 1&amp;2'!$AP$77</f>
        <v>5030.6952566221626</v>
      </c>
      <c r="E40" s="1108">
        <f>'Table 3 Levels 1&amp;2'!V41</f>
        <v>0.79210000000000003</v>
      </c>
      <c r="F40" s="1108">
        <f>'Table 3 Levels 1&amp;2'!W41</f>
        <v>0.2079</v>
      </c>
      <c r="G40" s="1037">
        <f t="shared" si="6"/>
        <v>3984.8137127704149</v>
      </c>
      <c r="H40" s="1094">
        <f t="shared" si="7"/>
        <v>0</v>
      </c>
      <c r="I40" s="1094">
        <f t="shared" si="8"/>
        <v>0</v>
      </c>
      <c r="J40" s="1037">
        <f t="shared" si="9"/>
        <v>1045.8815438517477</v>
      </c>
      <c r="K40" s="1114">
        <f t="shared" si="10"/>
        <v>0</v>
      </c>
      <c r="L40" s="1114">
        <f t="shared" si="11"/>
        <v>0</v>
      </c>
      <c r="M40" s="1122">
        <f t="shared" si="12"/>
        <v>0</v>
      </c>
      <c r="N40" s="1122">
        <f t="shared" si="13"/>
        <v>0</v>
      </c>
    </row>
    <row r="41" spans="1:14">
      <c r="A41" s="1032">
        <v>35</v>
      </c>
      <c r="B41" s="1033" t="s">
        <v>136</v>
      </c>
      <c r="C41" s="1038">
        <v>18</v>
      </c>
      <c r="D41" s="1039">
        <f>'Table 3 Levels 1&amp;2'!$AP$77</f>
        <v>5030.6952566221626</v>
      </c>
      <c r="E41" s="1109">
        <f>'Table 3 Levels 1&amp;2'!V42</f>
        <v>0.70950000000000002</v>
      </c>
      <c r="F41" s="1109">
        <f>'Table 3 Levels 1&amp;2'!W42</f>
        <v>0.29049999999999998</v>
      </c>
      <c r="G41" s="1039">
        <f t="shared" si="6"/>
        <v>3569.2782845734246</v>
      </c>
      <c r="H41" s="1095">
        <f t="shared" si="7"/>
        <v>64247.009122321644</v>
      </c>
      <c r="I41" s="1095">
        <f t="shared" si="8"/>
        <v>5354</v>
      </c>
      <c r="J41" s="1039">
        <f t="shared" si="9"/>
        <v>1461.4169720487382</v>
      </c>
      <c r="K41" s="1115">
        <f t="shared" si="10"/>
        <v>26305.505496877289</v>
      </c>
      <c r="L41" s="1115">
        <f t="shared" si="11"/>
        <v>2192</v>
      </c>
      <c r="M41" s="1123">
        <f t="shared" si="12"/>
        <v>90552.514619198933</v>
      </c>
      <c r="N41" s="1123">
        <f t="shared" si="13"/>
        <v>7546</v>
      </c>
    </row>
    <row r="42" spans="1:14">
      <c r="A42" s="1021">
        <v>36</v>
      </c>
      <c r="B42" s="1022" t="s">
        <v>137</v>
      </c>
      <c r="C42" s="1040">
        <v>5</v>
      </c>
      <c r="D42" s="1041">
        <f>'Table 3 Levels 1&amp;2'!$AP$77</f>
        <v>5030.6952566221626</v>
      </c>
      <c r="E42" s="1107">
        <f>'Table 3 Levels 1&amp;2'!V43</f>
        <v>0.54549999999999998</v>
      </c>
      <c r="F42" s="1107">
        <f>'Table 3 Levels 1&amp;2'!W43</f>
        <v>0.45450000000000002</v>
      </c>
      <c r="G42" s="1041">
        <f t="shared" si="6"/>
        <v>2744.2442624873897</v>
      </c>
      <c r="H42" s="1096">
        <f t="shared" si="7"/>
        <v>13721.221312436948</v>
      </c>
      <c r="I42" s="1096">
        <f t="shared" si="8"/>
        <v>1143</v>
      </c>
      <c r="J42" s="1041">
        <f t="shared" si="9"/>
        <v>2286.4509941347728</v>
      </c>
      <c r="K42" s="1116">
        <f t="shared" si="10"/>
        <v>11432.254970673865</v>
      </c>
      <c r="L42" s="1116">
        <f t="shared" si="11"/>
        <v>953</v>
      </c>
      <c r="M42" s="1124">
        <f t="shared" si="12"/>
        <v>25153.476283110813</v>
      </c>
      <c r="N42" s="1124">
        <f t="shared" si="13"/>
        <v>2096</v>
      </c>
    </row>
    <row r="43" spans="1:14">
      <c r="A43" s="1028">
        <v>37</v>
      </c>
      <c r="B43" s="1029" t="s">
        <v>138</v>
      </c>
      <c r="C43" s="1036">
        <v>8</v>
      </c>
      <c r="D43" s="1037">
        <f>'Table 3 Levels 1&amp;2'!$AP$77</f>
        <v>5030.6952566221626</v>
      </c>
      <c r="E43" s="1108">
        <f>'Table 3 Levels 1&amp;2'!V44</f>
        <v>0.79600000000000004</v>
      </c>
      <c r="F43" s="1108">
        <f>'Table 3 Levels 1&amp;2'!W44</f>
        <v>0.20399999999999999</v>
      </c>
      <c r="G43" s="1037">
        <f t="shared" si="6"/>
        <v>4004.4334242712416</v>
      </c>
      <c r="H43" s="1094">
        <f t="shared" si="7"/>
        <v>32035.467394169933</v>
      </c>
      <c r="I43" s="1094">
        <f t="shared" si="8"/>
        <v>2670</v>
      </c>
      <c r="J43" s="1037">
        <f t="shared" si="9"/>
        <v>1026.2618323509212</v>
      </c>
      <c r="K43" s="1114">
        <f t="shared" si="10"/>
        <v>8210.0946588073693</v>
      </c>
      <c r="L43" s="1114">
        <f t="shared" si="11"/>
        <v>684</v>
      </c>
      <c r="M43" s="1122">
        <f t="shared" si="12"/>
        <v>40245.5620529773</v>
      </c>
      <c r="N43" s="1122">
        <f t="shared" si="13"/>
        <v>3354</v>
      </c>
    </row>
    <row r="44" spans="1:14">
      <c r="A44" s="1028">
        <v>38</v>
      </c>
      <c r="B44" s="1029" t="s">
        <v>139</v>
      </c>
      <c r="C44" s="1036">
        <v>2</v>
      </c>
      <c r="D44" s="1037">
        <f>'Table 3 Levels 1&amp;2'!$AP$77</f>
        <v>5030.6952566221626</v>
      </c>
      <c r="E44" s="1108">
        <f>'Table 3 Levels 1&amp;2'!V45</f>
        <v>0.25</v>
      </c>
      <c r="F44" s="1108">
        <f>'Table 3 Levels 1&amp;2'!W45</f>
        <v>0.75</v>
      </c>
      <c r="G44" s="1037">
        <f t="shared" si="6"/>
        <v>1257.6738141555406</v>
      </c>
      <c r="H44" s="1094">
        <f t="shared" si="7"/>
        <v>2515.3476283110813</v>
      </c>
      <c r="I44" s="1094">
        <f t="shared" si="8"/>
        <v>210</v>
      </c>
      <c r="J44" s="1037">
        <f t="shared" si="9"/>
        <v>3773.0214424666219</v>
      </c>
      <c r="K44" s="1114">
        <f t="shared" si="10"/>
        <v>7546.0428849332438</v>
      </c>
      <c r="L44" s="1114">
        <f t="shared" si="11"/>
        <v>629</v>
      </c>
      <c r="M44" s="1122">
        <f t="shared" si="12"/>
        <v>10061.390513244325</v>
      </c>
      <c r="N44" s="1122">
        <f t="shared" si="13"/>
        <v>839</v>
      </c>
    </row>
    <row r="45" spans="1:14">
      <c r="A45" s="1028">
        <v>39</v>
      </c>
      <c r="B45" s="1029" t="s">
        <v>140</v>
      </c>
      <c r="C45" s="1036">
        <v>5</v>
      </c>
      <c r="D45" s="1037">
        <f>'Table 3 Levels 1&amp;2'!$AP$77</f>
        <v>5030.6952566221626</v>
      </c>
      <c r="E45" s="1108">
        <f>'Table 3 Levels 1&amp;2'!V46</f>
        <v>0.52159999999999995</v>
      </c>
      <c r="F45" s="1108">
        <f>'Table 3 Levels 1&amp;2'!W46</f>
        <v>0.47839999999999999</v>
      </c>
      <c r="G45" s="1037">
        <f t="shared" si="6"/>
        <v>2624.01064585412</v>
      </c>
      <c r="H45" s="1094">
        <f t="shared" si="7"/>
        <v>13120.053229270599</v>
      </c>
      <c r="I45" s="1094">
        <f t="shared" si="8"/>
        <v>1093</v>
      </c>
      <c r="J45" s="1037">
        <f t="shared" si="9"/>
        <v>2406.6846107680426</v>
      </c>
      <c r="K45" s="1114">
        <f t="shared" si="10"/>
        <v>12033.423053840213</v>
      </c>
      <c r="L45" s="1114">
        <f t="shared" si="11"/>
        <v>1003</v>
      </c>
      <c r="M45" s="1122">
        <f t="shared" si="12"/>
        <v>25153.476283110813</v>
      </c>
      <c r="N45" s="1122">
        <f t="shared" si="13"/>
        <v>2096</v>
      </c>
    </row>
    <row r="46" spans="1:14">
      <c r="A46" s="1032">
        <v>40</v>
      </c>
      <c r="B46" s="1033" t="s">
        <v>141</v>
      </c>
      <c r="C46" s="1038">
        <v>8</v>
      </c>
      <c r="D46" s="1039">
        <f>'Table 3 Levels 1&amp;2'!$AP$77</f>
        <v>5030.6952566221626</v>
      </c>
      <c r="E46" s="1109">
        <f>'Table 3 Levels 1&amp;2'!V47</f>
        <v>0.73929999999999996</v>
      </c>
      <c r="F46" s="1109">
        <f>'Table 3 Levels 1&amp;2'!W47</f>
        <v>0.26069999999999999</v>
      </c>
      <c r="G46" s="1039">
        <f t="shared" si="6"/>
        <v>3719.1930032207647</v>
      </c>
      <c r="H46" s="1095">
        <f t="shared" si="7"/>
        <v>29753.544025766118</v>
      </c>
      <c r="I46" s="1095">
        <f t="shared" si="8"/>
        <v>2479</v>
      </c>
      <c r="J46" s="1039">
        <f t="shared" si="9"/>
        <v>1311.5022534013976</v>
      </c>
      <c r="K46" s="1115">
        <f t="shared" si="10"/>
        <v>10492.018027211181</v>
      </c>
      <c r="L46" s="1115">
        <f t="shared" si="11"/>
        <v>874</v>
      </c>
      <c r="M46" s="1123">
        <f t="shared" si="12"/>
        <v>40245.5620529773</v>
      </c>
      <c r="N46" s="1123">
        <f t="shared" si="13"/>
        <v>3353</v>
      </c>
    </row>
    <row r="47" spans="1:14">
      <c r="A47" s="1021">
        <v>41</v>
      </c>
      <c r="B47" s="1022" t="s">
        <v>142</v>
      </c>
      <c r="C47" s="1040">
        <v>0</v>
      </c>
      <c r="D47" s="1041">
        <f>'Table 3 Levels 1&amp;2'!$AP$77</f>
        <v>5030.6952566221626</v>
      </c>
      <c r="E47" s="1107">
        <f>'Table 3 Levels 1&amp;2'!V48</f>
        <v>0.25</v>
      </c>
      <c r="F47" s="1107">
        <f>'Table 3 Levels 1&amp;2'!W48</f>
        <v>0.75</v>
      </c>
      <c r="G47" s="1041">
        <f t="shared" si="6"/>
        <v>1257.6738141555406</v>
      </c>
      <c r="H47" s="1096">
        <f t="shared" si="7"/>
        <v>0</v>
      </c>
      <c r="I47" s="1096">
        <f t="shared" si="8"/>
        <v>0</v>
      </c>
      <c r="J47" s="1041">
        <f t="shared" si="9"/>
        <v>3773.0214424666219</v>
      </c>
      <c r="K47" s="1116">
        <f t="shared" si="10"/>
        <v>0</v>
      </c>
      <c r="L47" s="1116">
        <f t="shared" si="11"/>
        <v>0</v>
      </c>
      <c r="M47" s="1124">
        <f t="shared" si="12"/>
        <v>0</v>
      </c>
      <c r="N47" s="1124">
        <f t="shared" si="13"/>
        <v>0</v>
      </c>
    </row>
    <row r="48" spans="1:14">
      <c r="A48" s="1028">
        <v>42</v>
      </c>
      <c r="B48" s="1029" t="s">
        <v>143</v>
      </c>
      <c r="C48" s="1036">
        <v>0</v>
      </c>
      <c r="D48" s="1037">
        <f>'Table 3 Levels 1&amp;2'!$AP$77</f>
        <v>5030.6952566221626</v>
      </c>
      <c r="E48" s="1108">
        <f>'Table 3 Levels 1&amp;2'!V49</f>
        <v>0.76149999999999995</v>
      </c>
      <c r="F48" s="1108">
        <f>'Table 3 Levels 1&amp;2'!W49</f>
        <v>0.23849999999999999</v>
      </c>
      <c r="G48" s="1037">
        <f t="shared" si="6"/>
        <v>3830.8744379177765</v>
      </c>
      <c r="H48" s="1094">
        <f t="shared" si="7"/>
        <v>0</v>
      </c>
      <c r="I48" s="1094">
        <f t="shared" si="8"/>
        <v>0</v>
      </c>
      <c r="J48" s="1037">
        <f t="shared" si="9"/>
        <v>1199.8208187043858</v>
      </c>
      <c r="K48" s="1114">
        <f t="shared" si="10"/>
        <v>0</v>
      </c>
      <c r="L48" s="1114">
        <f t="shared" si="11"/>
        <v>0</v>
      </c>
      <c r="M48" s="1122">
        <f t="shared" si="12"/>
        <v>0</v>
      </c>
      <c r="N48" s="1122">
        <f t="shared" si="13"/>
        <v>0</v>
      </c>
    </row>
    <row r="49" spans="1:14">
      <c r="A49" s="1028">
        <v>43</v>
      </c>
      <c r="B49" s="1029" t="s">
        <v>144</v>
      </c>
      <c r="C49" s="1036">
        <v>4</v>
      </c>
      <c r="D49" s="1037">
        <f>'Table 3 Levels 1&amp;2'!$AP$77</f>
        <v>5030.6952566221626</v>
      </c>
      <c r="E49" s="1108">
        <f>'Table 3 Levels 1&amp;2'!V50</f>
        <v>0.75419999999999998</v>
      </c>
      <c r="F49" s="1108">
        <f>'Table 3 Levels 1&amp;2'!W50</f>
        <v>0.24579999999999999</v>
      </c>
      <c r="G49" s="1037">
        <f t="shared" si="6"/>
        <v>3794.1503625444348</v>
      </c>
      <c r="H49" s="1094">
        <f t="shared" si="7"/>
        <v>15176.601450177739</v>
      </c>
      <c r="I49" s="1094">
        <f t="shared" si="8"/>
        <v>1265</v>
      </c>
      <c r="J49" s="1037">
        <f t="shared" si="9"/>
        <v>1236.5448940777276</v>
      </c>
      <c r="K49" s="1114">
        <f t="shared" si="10"/>
        <v>4946.1795763109103</v>
      </c>
      <c r="L49" s="1114">
        <f t="shared" si="11"/>
        <v>412</v>
      </c>
      <c r="M49" s="1122">
        <f t="shared" si="12"/>
        <v>20122.78102648865</v>
      </c>
      <c r="N49" s="1122">
        <f t="shared" si="13"/>
        <v>1677</v>
      </c>
    </row>
    <row r="50" spans="1:14">
      <c r="A50" s="1028">
        <v>44</v>
      </c>
      <c r="B50" s="1029" t="s">
        <v>145</v>
      </c>
      <c r="C50" s="1036">
        <v>3</v>
      </c>
      <c r="D50" s="1037">
        <f>'Table 3 Levels 1&amp;2'!$AP$77</f>
        <v>5030.6952566221626</v>
      </c>
      <c r="E50" s="1108">
        <f>'Table 3 Levels 1&amp;2'!V51</f>
        <v>0.61629999999999996</v>
      </c>
      <c r="F50" s="1108">
        <f>'Table 3 Levels 1&amp;2'!W51</f>
        <v>0.38369999999999999</v>
      </c>
      <c r="G50" s="1037">
        <f t="shared" si="6"/>
        <v>3100.4174866562385</v>
      </c>
      <c r="H50" s="1094">
        <f t="shared" si="7"/>
        <v>9301.2524599687149</v>
      </c>
      <c r="I50" s="1094">
        <f t="shared" si="8"/>
        <v>775</v>
      </c>
      <c r="J50" s="1037">
        <f t="shared" si="9"/>
        <v>1930.2777699659237</v>
      </c>
      <c r="K50" s="1114">
        <f t="shared" si="10"/>
        <v>5790.833309897771</v>
      </c>
      <c r="L50" s="1114">
        <f t="shared" si="11"/>
        <v>483</v>
      </c>
      <c r="M50" s="1122">
        <f t="shared" si="12"/>
        <v>15092.085769866486</v>
      </c>
      <c r="N50" s="1122">
        <f t="shared" si="13"/>
        <v>1258</v>
      </c>
    </row>
    <row r="51" spans="1:14">
      <c r="A51" s="1032">
        <v>45</v>
      </c>
      <c r="B51" s="1033" t="s">
        <v>146</v>
      </c>
      <c r="C51" s="1038">
        <v>6</v>
      </c>
      <c r="D51" s="1039">
        <f>'Table 3 Levels 1&amp;2'!$AP$77</f>
        <v>5030.6952566221626</v>
      </c>
      <c r="E51" s="1109">
        <f>'Table 3 Levels 1&amp;2'!V52</f>
        <v>0.35160000000000002</v>
      </c>
      <c r="F51" s="1109">
        <f>'Table 3 Levels 1&amp;2'!W52</f>
        <v>0.64839999999999998</v>
      </c>
      <c r="G51" s="1039">
        <f t="shared" si="6"/>
        <v>1768.7924522283524</v>
      </c>
      <c r="H51" s="1095">
        <f t="shared" si="7"/>
        <v>10612.754713370115</v>
      </c>
      <c r="I51" s="1095">
        <f t="shared" si="8"/>
        <v>884</v>
      </c>
      <c r="J51" s="1039">
        <f t="shared" si="9"/>
        <v>3261.9028043938101</v>
      </c>
      <c r="K51" s="1115">
        <f t="shared" si="10"/>
        <v>19571.41682636286</v>
      </c>
      <c r="L51" s="1115">
        <f t="shared" si="11"/>
        <v>1631</v>
      </c>
      <c r="M51" s="1123">
        <f t="shared" si="12"/>
        <v>30184.171539732975</v>
      </c>
      <c r="N51" s="1123">
        <f t="shared" si="13"/>
        <v>2515</v>
      </c>
    </row>
    <row r="52" spans="1:14">
      <c r="A52" s="1021">
        <v>46</v>
      </c>
      <c r="B52" s="1022" t="s">
        <v>147</v>
      </c>
      <c r="C52" s="1040">
        <f>'[7]Summary by Parish'!E52</f>
        <v>0</v>
      </c>
      <c r="D52" s="1041">
        <f>'Table 3 Levels 1&amp;2'!$AP$77</f>
        <v>5030.6952566221626</v>
      </c>
      <c r="E52" s="1107">
        <f>'Table 3 Levels 1&amp;2'!V53</f>
        <v>0.81940000000000002</v>
      </c>
      <c r="F52" s="1107">
        <f>'Table 3 Levels 1&amp;2'!W53</f>
        <v>0.18060000000000001</v>
      </c>
      <c r="G52" s="1041">
        <f t="shared" si="6"/>
        <v>4122.1516932761997</v>
      </c>
      <c r="H52" s="1096">
        <f t="shared" si="7"/>
        <v>0</v>
      </c>
      <c r="I52" s="1096">
        <f t="shared" si="8"/>
        <v>0</v>
      </c>
      <c r="J52" s="1041">
        <f t="shared" si="9"/>
        <v>908.54356334596264</v>
      </c>
      <c r="K52" s="1116">
        <f t="shared" si="10"/>
        <v>0</v>
      </c>
      <c r="L52" s="1116">
        <f t="shared" si="11"/>
        <v>0</v>
      </c>
      <c r="M52" s="1124">
        <f t="shared" si="12"/>
        <v>0</v>
      </c>
      <c r="N52" s="1124">
        <f t="shared" si="13"/>
        <v>0</v>
      </c>
    </row>
    <row r="53" spans="1:14">
      <c r="A53" s="1028">
        <v>47</v>
      </c>
      <c r="B53" s="1029" t="s">
        <v>148</v>
      </c>
      <c r="C53" s="1036">
        <v>3</v>
      </c>
      <c r="D53" s="1037">
        <f>'Table 3 Levels 1&amp;2'!$AP$77</f>
        <v>5030.6952566221626</v>
      </c>
      <c r="E53" s="1108">
        <f>'Table 3 Levels 1&amp;2'!V54</f>
        <v>0.44890000000000002</v>
      </c>
      <c r="F53" s="1108">
        <f>'Table 3 Levels 1&amp;2'!W54</f>
        <v>0.55110000000000003</v>
      </c>
      <c r="G53" s="1037">
        <f t="shared" si="6"/>
        <v>2258.279100697689</v>
      </c>
      <c r="H53" s="1094">
        <f t="shared" si="7"/>
        <v>6774.8373020930667</v>
      </c>
      <c r="I53" s="1094">
        <f t="shared" si="8"/>
        <v>565</v>
      </c>
      <c r="J53" s="1037">
        <f t="shared" si="9"/>
        <v>2772.416155924474</v>
      </c>
      <c r="K53" s="1114">
        <f t="shared" si="10"/>
        <v>8317.248467773421</v>
      </c>
      <c r="L53" s="1114">
        <f t="shared" si="11"/>
        <v>693</v>
      </c>
      <c r="M53" s="1122">
        <f t="shared" si="12"/>
        <v>15092.085769866488</v>
      </c>
      <c r="N53" s="1122">
        <f t="shared" si="13"/>
        <v>1258</v>
      </c>
    </row>
    <row r="54" spans="1:14">
      <c r="A54" s="1028">
        <v>48</v>
      </c>
      <c r="B54" s="1029" t="s">
        <v>222</v>
      </c>
      <c r="C54" s="1036">
        <v>3</v>
      </c>
      <c r="D54" s="1037">
        <f>'Table 3 Levels 1&amp;2'!$AP$77</f>
        <v>5030.6952566221626</v>
      </c>
      <c r="E54" s="1108">
        <f>'Table 3 Levels 1&amp;2'!V55</f>
        <v>0.61929999999999996</v>
      </c>
      <c r="F54" s="1108">
        <f>'Table 3 Levels 1&amp;2'!W55</f>
        <v>0.38069999999999998</v>
      </c>
      <c r="G54" s="1037">
        <f t="shared" si="6"/>
        <v>3115.509572426105</v>
      </c>
      <c r="H54" s="1094">
        <f t="shared" si="7"/>
        <v>9346.5287172783155</v>
      </c>
      <c r="I54" s="1094">
        <f t="shared" si="8"/>
        <v>779</v>
      </c>
      <c r="J54" s="1037">
        <f t="shared" si="9"/>
        <v>1915.1856841960573</v>
      </c>
      <c r="K54" s="1114">
        <f t="shared" si="10"/>
        <v>5745.5570525881722</v>
      </c>
      <c r="L54" s="1114">
        <f t="shared" si="11"/>
        <v>479</v>
      </c>
      <c r="M54" s="1122">
        <f t="shared" si="12"/>
        <v>15092.085769866488</v>
      </c>
      <c r="N54" s="1122">
        <f t="shared" si="13"/>
        <v>1258</v>
      </c>
    </row>
    <row r="55" spans="1:14">
      <c r="A55" s="1028">
        <v>49</v>
      </c>
      <c r="B55" s="1029" t="s">
        <v>149</v>
      </c>
      <c r="C55" s="1036">
        <v>2</v>
      </c>
      <c r="D55" s="1037">
        <f>'Table 3 Levels 1&amp;2'!$AP$77</f>
        <v>5030.6952566221626</v>
      </c>
      <c r="E55" s="1108">
        <f>'Table 3 Levels 1&amp;2'!V56</f>
        <v>0.76070000000000004</v>
      </c>
      <c r="F55" s="1108">
        <f>'Table 3 Levels 1&amp;2'!W56</f>
        <v>0.23930000000000001</v>
      </c>
      <c r="G55" s="1037">
        <f t="shared" si="6"/>
        <v>3826.8498817124791</v>
      </c>
      <c r="H55" s="1094">
        <f t="shared" si="7"/>
        <v>7653.6997634249583</v>
      </c>
      <c r="I55" s="1094">
        <f t="shared" si="8"/>
        <v>638</v>
      </c>
      <c r="J55" s="1037">
        <f t="shared" si="9"/>
        <v>1203.8453749096836</v>
      </c>
      <c r="K55" s="1114">
        <f t="shared" si="10"/>
        <v>2407.6907498193673</v>
      </c>
      <c r="L55" s="1114">
        <f t="shared" si="11"/>
        <v>201</v>
      </c>
      <c r="M55" s="1122">
        <f t="shared" si="12"/>
        <v>10061.390513244325</v>
      </c>
      <c r="N55" s="1122">
        <f t="shared" si="13"/>
        <v>839</v>
      </c>
    </row>
    <row r="56" spans="1:14">
      <c r="A56" s="1032">
        <v>50</v>
      </c>
      <c r="B56" s="1033" t="s">
        <v>150</v>
      </c>
      <c r="C56" s="1038">
        <v>2</v>
      </c>
      <c r="D56" s="1039">
        <f>'Table 3 Levels 1&amp;2'!$AP$77</f>
        <v>5030.6952566221626</v>
      </c>
      <c r="E56" s="1109">
        <f>'Table 3 Levels 1&amp;2'!V57</f>
        <v>0.76700000000000002</v>
      </c>
      <c r="F56" s="1109">
        <f>'Table 3 Levels 1&amp;2'!W57</f>
        <v>0.23300000000000001</v>
      </c>
      <c r="G56" s="1039">
        <f t="shared" si="6"/>
        <v>3858.5432618291989</v>
      </c>
      <c r="H56" s="1095">
        <f t="shared" si="7"/>
        <v>7717.0865236583977</v>
      </c>
      <c r="I56" s="1095">
        <f t="shared" si="8"/>
        <v>643</v>
      </c>
      <c r="J56" s="1039">
        <f t="shared" si="9"/>
        <v>1172.1519947929639</v>
      </c>
      <c r="K56" s="1115">
        <f t="shared" si="10"/>
        <v>2344.3039895859279</v>
      </c>
      <c r="L56" s="1115">
        <f t="shared" si="11"/>
        <v>195</v>
      </c>
      <c r="M56" s="1123">
        <f t="shared" si="12"/>
        <v>10061.390513244325</v>
      </c>
      <c r="N56" s="1123">
        <f t="shared" si="13"/>
        <v>838</v>
      </c>
    </row>
    <row r="57" spans="1:14">
      <c r="A57" s="1021">
        <v>51</v>
      </c>
      <c r="B57" s="1022" t="s">
        <v>151</v>
      </c>
      <c r="C57" s="1040">
        <v>4</v>
      </c>
      <c r="D57" s="1041">
        <f>'Table 3 Levels 1&amp;2'!$AP$77</f>
        <v>5030.6952566221626</v>
      </c>
      <c r="E57" s="1107">
        <f>'Table 3 Levels 1&amp;2'!V58</f>
        <v>0.63800000000000001</v>
      </c>
      <c r="F57" s="1107">
        <f>'Table 3 Levels 1&amp;2'!W58</f>
        <v>0.36199999999999999</v>
      </c>
      <c r="G57" s="1041">
        <f t="shared" si="6"/>
        <v>3209.5835737249399</v>
      </c>
      <c r="H57" s="1096">
        <f t="shared" si="7"/>
        <v>12838.33429489976</v>
      </c>
      <c r="I57" s="1096">
        <f t="shared" si="8"/>
        <v>1070</v>
      </c>
      <c r="J57" s="1041">
        <f t="shared" si="9"/>
        <v>1821.1116828972229</v>
      </c>
      <c r="K57" s="1116">
        <f t="shared" si="10"/>
        <v>7284.4467315888915</v>
      </c>
      <c r="L57" s="1116">
        <f t="shared" si="11"/>
        <v>607</v>
      </c>
      <c r="M57" s="1124">
        <f t="shared" si="12"/>
        <v>20122.78102648865</v>
      </c>
      <c r="N57" s="1124">
        <f t="shared" si="13"/>
        <v>1677</v>
      </c>
    </row>
    <row r="58" spans="1:14">
      <c r="A58" s="1028">
        <v>52</v>
      </c>
      <c r="B58" s="1029" t="s">
        <v>152</v>
      </c>
      <c r="C58" s="1036">
        <v>27</v>
      </c>
      <c r="D58" s="1037">
        <f>'Table 3 Levels 1&amp;2'!$AP$77</f>
        <v>5030.6952566221626</v>
      </c>
      <c r="E58" s="1108">
        <f>'Table 3 Levels 1&amp;2'!V59</f>
        <v>0.69810000000000005</v>
      </c>
      <c r="F58" s="1108">
        <f>'Table 3 Levels 1&amp;2'!W59</f>
        <v>0.3019</v>
      </c>
      <c r="G58" s="1037">
        <f t="shared" si="6"/>
        <v>3511.9283586479319</v>
      </c>
      <c r="H58" s="1094">
        <f t="shared" si="7"/>
        <v>94822.065683494162</v>
      </c>
      <c r="I58" s="1094">
        <f t="shared" si="8"/>
        <v>7902</v>
      </c>
      <c r="J58" s="1037">
        <f t="shared" si="9"/>
        <v>1518.7668979742309</v>
      </c>
      <c r="K58" s="1114">
        <f t="shared" si="10"/>
        <v>41006.706245304238</v>
      </c>
      <c r="L58" s="1114">
        <f t="shared" si="11"/>
        <v>3417</v>
      </c>
      <c r="M58" s="1122">
        <f t="shared" si="12"/>
        <v>135828.77192879841</v>
      </c>
      <c r="N58" s="1122">
        <f t="shared" si="13"/>
        <v>11319</v>
      </c>
    </row>
    <row r="59" spans="1:14">
      <c r="A59" s="1028">
        <v>53</v>
      </c>
      <c r="B59" s="1029" t="s">
        <v>153</v>
      </c>
      <c r="C59" s="1036">
        <v>10</v>
      </c>
      <c r="D59" s="1037">
        <f>'Table 3 Levels 1&amp;2'!$AP$77</f>
        <v>5030.6952566221626</v>
      </c>
      <c r="E59" s="1108">
        <f>'Table 3 Levels 1&amp;2'!V60</f>
        <v>0.78249999999999997</v>
      </c>
      <c r="F59" s="1108">
        <f>'Table 3 Levels 1&amp;2'!W60</f>
        <v>0.2175</v>
      </c>
      <c r="G59" s="1037">
        <f t="shared" si="6"/>
        <v>3936.519038306842</v>
      </c>
      <c r="H59" s="1094">
        <f t="shared" si="7"/>
        <v>39365.190383068417</v>
      </c>
      <c r="I59" s="1094">
        <f t="shared" si="8"/>
        <v>3280</v>
      </c>
      <c r="J59" s="1037">
        <f t="shared" si="9"/>
        <v>1094.1762183153203</v>
      </c>
      <c r="K59" s="1114">
        <f t="shared" si="10"/>
        <v>10941.762183153203</v>
      </c>
      <c r="L59" s="1114">
        <f t="shared" si="11"/>
        <v>912</v>
      </c>
      <c r="M59" s="1122">
        <f t="shared" si="12"/>
        <v>50306.952566221618</v>
      </c>
      <c r="N59" s="1122">
        <f t="shared" si="13"/>
        <v>4192</v>
      </c>
    </row>
    <row r="60" spans="1:14">
      <c r="A60" s="1028">
        <v>54</v>
      </c>
      <c r="B60" s="1029" t="s">
        <v>154</v>
      </c>
      <c r="C60" s="1036">
        <v>0</v>
      </c>
      <c r="D60" s="1037">
        <f>'Table 3 Levels 1&amp;2'!$AP$77</f>
        <v>5030.6952566221626</v>
      </c>
      <c r="E60" s="1108">
        <f>'Table 3 Levels 1&amp;2'!V61</f>
        <v>0.76039999999999996</v>
      </c>
      <c r="F60" s="1108">
        <f>'Table 3 Levels 1&amp;2'!W61</f>
        <v>0.23960000000000001</v>
      </c>
      <c r="G60" s="1037">
        <f t="shared" si="6"/>
        <v>3825.3406731354921</v>
      </c>
      <c r="H60" s="1094">
        <f t="shared" si="7"/>
        <v>0</v>
      </c>
      <c r="I60" s="1094">
        <f t="shared" si="8"/>
        <v>0</v>
      </c>
      <c r="J60" s="1037">
        <f t="shared" si="9"/>
        <v>1205.3545834866702</v>
      </c>
      <c r="K60" s="1114">
        <f t="shared" si="10"/>
        <v>0</v>
      </c>
      <c r="L60" s="1114">
        <f t="shared" si="11"/>
        <v>0</v>
      </c>
      <c r="M60" s="1122">
        <f t="shared" si="12"/>
        <v>0</v>
      </c>
      <c r="N60" s="1122">
        <f t="shared" si="13"/>
        <v>0</v>
      </c>
    </row>
    <row r="61" spans="1:14">
      <c r="A61" s="1032">
        <v>55</v>
      </c>
      <c r="B61" s="1033" t="s">
        <v>155</v>
      </c>
      <c r="C61" s="1038">
        <v>10</v>
      </c>
      <c r="D61" s="1039">
        <f>'Table 3 Levels 1&amp;2'!$AP$77</f>
        <v>5030.6952566221626</v>
      </c>
      <c r="E61" s="1109">
        <f>'Table 3 Levels 1&amp;2'!V62</f>
        <v>0.6542</v>
      </c>
      <c r="F61" s="1109">
        <f>'Table 3 Levels 1&amp;2'!W62</f>
        <v>0.3458</v>
      </c>
      <c r="G61" s="1039">
        <f t="shared" si="6"/>
        <v>3291.0808368822186</v>
      </c>
      <c r="H61" s="1095">
        <f t="shared" si="7"/>
        <v>32910.808368822189</v>
      </c>
      <c r="I61" s="1095">
        <f t="shared" si="8"/>
        <v>2743</v>
      </c>
      <c r="J61" s="1039">
        <f t="shared" si="9"/>
        <v>1739.6144197399437</v>
      </c>
      <c r="K61" s="1115">
        <f t="shared" si="10"/>
        <v>17396.144197399437</v>
      </c>
      <c r="L61" s="1115">
        <f t="shared" si="11"/>
        <v>1450</v>
      </c>
      <c r="M61" s="1123">
        <f t="shared" si="12"/>
        <v>50306.952566221626</v>
      </c>
      <c r="N61" s="1123">
        <f t="shared" si="13"/>
        <v>4193</v>
      </c>
    </row>
    <row r="62" spans="1:14">
      <c r="A62" s="1021">
        <v>56</v>
      </c>
      <c r="B62" s="1022" t="s">
        <v>156</v>
      </c>
      <c r="C62" s="1040">
        <v>3</v>
      </c>
      <c r="D62" s="1041">
        <f>'Table 3 Levels 1&amp;2'!$AP$77</f>
        <v>5030.6952566221626</v>
      </c>
      <c r="E62" s="1107">
        <f>'Table 3 Levels 1&amp;2'!V63</f>
        <v>0.71779999999999999</v>
      </c>
      <c r="F62" s="1107">
        <f>'Table 3 Levels 1&amp;2'!W63</f>
        <v>0.28220000000000001</v>
      </c>
      <c r="G62" s="1041">
        <f t="shared" si="6"/>
        <v>3611.0330552033884</v>
      </c>
      <c r="H62" s="1096">
        <f t="shared" si="7"/>
        <v>10833.099165610165</v>
      </c>
      <c r="I62" s="1096">
        <f t="shared" si="8"/>
        <v>903</v>
      </c>
      <c r="J62" s="1041">
        <f t="shared" si="9"/>
        <v>1419.6622014187742</v>
      </c>
      <c r="K62" s="1116">
        <f t="shared" si="10"/>
        <v>4258.9866042563226</v>
      </c>
      <c r="L62" s="1116">
        <f t="shared" si="11"/>
        <v>355</v>
      </c>
      <c r="M62" s="1124">
        <f t="shared" si="12"/>
        <v>15092.085769866488</v>
      </c>
      <c r="N62" s="1124">
        <f t="shared" si="13"/>
        <v>1258</v>
      </c>
    </row>
    <row r="63" spans="1:14">
      <c r="A63" s="1028">
        <v>57</v>
      </c>
      <c r="B63" s="1029" t="s">
        <v>157</v>
      </c>
      <c r="C63" s="1036">
        <v>4</v>
      </c>
      <c r="D63" s="1037">
        <f>'Table 3 Levels 1&amp;2'!$AP$77</f>
        <v>5030.6952566221626</v>
      </c>
      <c r="E63" s="1108">
        <f>'Table 3 Levels 1&amp;2'!V64</f>
        <v>0.69879999999999998</v>
      </c>
      <c r="F63" s="1108">
        <f>'Table 3 Levels 1&amp;2'!W64</f>
        <v>0.30120000000000002</v>
      </c>
      <c r="G63" s="1037">
        <f t="shared" si="6"/>
        <v>3515.4498453275669</v>
      </c>
      <c r="H63" s="1094">
        <f t="shared" si="7"/>
        <v>14061.799381310268</v>
      </c>
      <c r="I63" s="1094">
        <f t="shared" si="8"/>
        <v>1172</v>
      </c>
      <c r="J63" s="1037">
        <f t="shared" si="9"/>
        <v>1515.2454112945954</v>
      </c>
      <c r="K63" s="1114">
        <f t="shared" si="10"/>
        <v>6060.9816451783818</v>
      </c>
      <c r="L63" s="1114">
        <f t="shared" si="11"/>
        <v>505</v>
      </c>
      <c r="M63" s="1122">
        <f t="shared" si="12"/>
        <v>20122.78102648865</v>
      </c>
      <c r="N63" s="1122">
        <f t="shared" si="13"/>
        <v>1677</v>
      </c>
    </row>
    <row r="64" spans="1:14">
      <c r="A64" s="1028">
        <v>58</v>
      </c>
      <c r="B64" s="1029" t="s">
        <v>158</v>
      </c>
      <c r="C64" s="1036">
        <v>13</v>
      </c>
      <c r="D64" s="1037">
        <f>'Table 3 Levels 1&amp;2'!$AP$77</f>
        <v>5030.6952566221626</v>
      </c>
      <c r="E64" s="1108">
        <f>'Table 3 Levels 1&amp;2'!V65</f>
        <v>0.85450000000000004</v>
      </c>
      <c r="F64" s="1108">
        <f>'Table 3 Levels 1&amp;2'!W65</f>
        <v>0.14549999999999999</v>
      </c>
      <c r="G64" s="1037">
        <f t="shared" si="6"/>
        <v>4298.7290967836379</v>
      </c>
      <c r="H64" s="1094">
        <f t="shared" si="7"/>
        <v>55883.478258187293</v>
      </c>
      <c r="I64" s="1094">
        <f t="shared" si="8"/>
        <v>4657</v>
      </c>
      <c r="J64" s="1037">
        <f t="shared" si="9"/>
        <v>731.96615983852462</v>
      </c>
      <c r="K64" s="1114">
        <f t="shared" si="10"/>
        <v>9515.56007790082</v>
      </c>
      <c r="L64" s="1114">
        <f t="shared" si="11"/>
        <v>793</v>
      </c>
      <c r="M64" s="1122">
        <f t="shared" si="12"/>
        <v>65399.03833608811</v>
      </c>
      <c r="N64" s="1122">
        <f t="shared" si="13"/>
        <v>5450</v>
      </c>
    </row>
    <row r="65" spans="1:14">
      <c r="A65" s="1028">
        <v>59</v>
      </c>
      <c r="B65" s="1029" t="s">
        <v>159</v>
      </c>
      <c r="C65" s="1036">
        <v>0</v>
      </c>
      <c r="D65" s="1037">
        <f>'Table 3 Levels 1&amp;2'!$AP$77</f>
        <v>5030.6952566221626</v>
      </c>
      <c r="E65" s="1108">
        <f>'Table 3 Levels 1&amp;2'!V66</f>
        <v>0.89410000000000001</v>
      </c>
      <c r="F65" s="1108">
        <f>'Table 3 Levels 1&amp;2'!W66</f>
        <v>0.10589999999999999</v>
      </c>
      <c r="G65" s="1037">
        <f t="shared" si="6"/>
        <v>4497.9446289458756</v>
      </c>
      <c r="H65" s="1094">
        <f t="shared" si="7"/>
        <v>0</v>
      </c>
      <c r="I65" s="1094">
        <f t="shared" si="8"/>
        <v>0</v>
      </c>
      <c r="J65" s="1037">
        <f t="shared" si="9"/>
        <v>532.75062767628697</v>
      </c>
      <c r="K65" s="1114">
        <f t="shared" si="10"/>
        <v>0</v>
      </c>
      <c r="L65" s="1114">
        <f t="shared" si="11"/>
        <v>0</v>
      </c>
      <c r="M65" s="1122">
        <f t="shared" si="12"/>
        <v>0</v>
      </c>
      <c r="N65" s="1122">
        <f t="shared" si="13"/>
        <v>0</v>
      </c>
    </row>
    <row r="66" spans="1:14">
      <c r="A66" s="1032">
        <v>60</v>
      </c>
      <c r="B66" s="1033" t="s">
        <v>160</v>
      </c>
      <c r="C66" s="1038">
        <v>4</v>
      </c>
      <c r="D66" s="1039">
        <f>'Table 3 Levels 1&amp;2'!$AP$77</f>
        <v>5030.6952566221626</v>
      </c>
      <c r="E66" s="1109">
        <f>'Table 3 Levels 1&amp;2'!V67</f>
        <v>0.70940000000000003</v>
      </c>
      <c r="F66" s="1109">
        <f>'Table 3 Levels 1&amp;2'!W67</f>
        <v>0.29060000000000002</v>
      </c>
      <c r="G66" s="1039">
        <f t="shared" si="6"/>
        <v>3568.7752150477622</v>
      </c>
      <c r="H66" s="1095">
        <f t="shared" si="7"/>
        <v>14275.100860191049</v>
      </c>
      <c r="I66" s="1095">
        <f t="shared" si="8"/>
        <v>1190</v>
      </c>
      <c r="J66" s="1039">
        <f t="shared" si="9"/>
        <v>1461.9200415744006</v>
      </c>
      <c r="K66" s="1115">
        <f t="shared" si="10"/>
        <v>5847.6801662976022</v>
      </c>
      <c r="L66" s="1115">
        <f t="shared" si="11"/>
        <v>487</v>
      </c>
      <c r="M66" s="1123">
        <f t="shared" si="12"/>
        <v>20122.78102648865</v>
      </c>
      <c r="N66" s="1123">
        <f t="shared" si="13"/>
        <v>1677</v>
      </c>
    </row>
    <row r="67" spans="1:14">
      <c r="A67" s="1021">
        <v>61</v>
      </c>
      <c r="B67" s="1022" t="s">
        <v>161</v>
      </c>
      <c r="C67" s="1040">
        <v>1</v>
      </c>
      <c r="D67" s="1041">
        <f>'Table 3 Levels 1&amp;2'!$AP$77</f>
        <v>5030.6952566221626</v>
      </c>
      <c r="E67" s="1107">
        <f>'Table 3 Levels 1&amp;2'!V68</f>
        <v>0.48409999999999997</v>
      </c>
      <c r="F67" s="1107">
        <f>'Table 3 Levels 1&amp;2'!W68</f>
        <v>0.51590000000000003</v>
      </c>
      <c r="G67" s="1041">
        <f t="shared" si="6"/>
        <v>2435.3595737307887</v>
      </c>
      <c r="H67" s="1096">
        <f t="shared" si="7"/>
        <v>2435.3595737307887</v>
      </c>
      <c r="I67" s="1096">
        <f t="shared" si="8"/>
        <v>203</v>
      </c>
      <c r="J67" s="1041">
        <f t="shared" si="9"/>
        <v>2595.3356828913738</v>
      </c>
      <c r="K67" s="1116">
        <f t="shared" si="10"/>
        <v>2595.3356828913738</v>
      </c>
      <c r="L67" s="1116">
        <f t="shared" si="11"/>
        <v>216</v>
      </c>
      <c r="M67" s="1124">
        <f t="shared" si="12"/>
        <v>5030.6952566221626</v>
      </c>
      <c r="N67" s="1124">
        <f t="shared" si="13"/>
        <v>419</v>
      </c>
    </row>
    <row r="68" spans="1:14">
      <c r="A68" s="1028">
        <v>62</v>
      </c>
      <c r="B68" s="1029" t="s">
        <v>162</v>
      </c>
      <c r="C68" s="1036">
        <v>0</v>
      </c>
      <c r="D68" s="1037">
        <f>'Table 3 Levels 1&amp;2'!$AP$77</f>
        <v>5030.6952566221626</v>
      </c>
      <c r="E68" s="1108">
        <f>'Table 3 Levels 1&amp;2'!V69</f>
        <v>0.84219999999999995</v>
      </c>
      <c r="F68" s="1108">
        <f>'Table 3 Levels 1&amp;2'!W69</f>
        <v>0.1578</v>
      </c>
      <c r="G68" s="1037">
        <f t="shared" si="6"/>
        <v>4236.8515451271851</v>
      </c>
      <c r="H68" s="1094">
        <f t="shared" si="7"/>
        <v>0</v>
      </c>
      <c r="I68" s="1094">
        <f t="shared" si="8"/>
        <v>0</v>
      </c>
      <c r="J68" s="1037">
        <f t="shared" si="9"/>
        <v>793.84371149497724</v>
      </c>
      <c r="K68" s="1114">
        <f t="shared" si="10"/>
        <v>0</v>
      </c>
      <c r="L68" s="1114">
        <f t="shared" si="11"/>
        <v>0</v>
      </c>
      <c r="M68" s="1122">
        <f t="shared" si="12"/>
        <v>0</v>
      </c>
      <c r="N68" s="1122">
        <f t="shared" si="13"/>
        <v>0</v>
      </c>
    </row>
    <row r="69" spans="1:14">
      <c r="A69" s="1028">
        <v>63</v>
      </c>
      <c r="B69" s="1029" t="s">
        <v>163</v>
      </c>
      <c r="C69" s="1036">
        <f>'[7]Summary by Parish'!E69</f>
        <v>1.994429</v>
      </c>
      <c r="D69" s="1037">
        <f>'Table 3 Levels 1&amp;2'!$AP$77</f>
        <v>5030.6952566221626</v>
      </c>
      <c r="E69" s="1108">
        <f>'Table 3 Levels 1&amp;2'!V70</f>
        <v>0.47639999999999999</v>
      </c>
      <c r="F69" s="1108">
        <f>'Table 3 Levels 1&amp;2'!W70</f>
        <v>0.52359999999999995</v>
      </c>
      <c r="G69" s="1037">
        <f t="shared" si="6"/>
        <v>2396.6232202547981</v>
      </c>
      <c r="H69" s="1094">
        <f t="shared" si="7"/>
        <v>4779.8948525495571</v>
      </c>
      <c r="I69" s="1094">
        <f t="shared" si="8"/>
        <v>398</v>
      </c>
      <c r="J69" s="1037">
        <f t="shared" si="9"/>
        <v>2634.072036367364</v>
      </c>
      <c r="K69" s="1114">
        <f t="shared" si="10"/>
        <v>5253.4696574201253</v>
      </c>
      <c r="L69" s="1114">
        <f t="shared" si="11"/>
        <v>438</v>
      </c>
      <c r="M69" s="1122">
        <f t="shared" si="12"/>
        <v>10033.364509969682</v>
      </c>
      <c r="N69" s="1122">
        <f t="shared" si="13"/>
        <v>836</v>
      </c>
    </row>
    <row r="70" spans="1:14">
      <c r="A70" s="1028">
        <v>64</v>
      </c>
      <c r="B70" s="1029" t="s">
        <v>164</v>
      </c>
      <c r="C70" s="1036">
        <v>2</v>
      </c>
      <c r="D70" s="1037">
        <f>'Table 3 Levels 1&amp;2'!$AP$77</f>
        <v>5030.6952566221626</v>
      </c>
      <c r="E70" s="1108">
        <f>'Table 3 Levels 1&amp;2'!V71</f>
        <v>0.7964</v>
      </c>
      <c r="F70" s="1108">
        <f>'Table 3 Levels 1&amp;2'!W71</f>
        <v>0.2036</v>
      </c>
      <c r="G70" s="1037">
        <f t="shared" si="6"/>
        <v>4006.4457023738901</v>
      </c>
      <c r="H70" s="1094">
        <f t="shared" si="7"/>
        <v>8012.8914047477801</v>
      </c>
      <c r="I70" s="1094">
        <f t="shared" si="8"/>
        <v>668</v>
      </c>
      <c r="J70" s="1037">
        <f t="shared" si="9"/>
        <v>1024.2495542482723</v>
      </c>
      <c r="K70" s="1114">
        <f t="shared" si="10"/>
        <v>2048.4991084965445</v>
      </c>
      <c r="L70" s="1114">
        <f t="shared" si="11"/>
        <v>171</v>
      </c>
      <c r="M70" s="1122">
        <f t="shared" si="12"/>
        <v>10061.390513244325</v>
      </c>
      <c r="N70" s="1122">
        <f t="shared" si="13"/>
        <v>839</v>
      </c>
    </row>
    <row r="71" spans="1:14">
      <c r="A71" s="1032">
        <v>65</v>
      </c>
      <c r="B71" s="1033" t="s">
        <v>165</v>
      </c>
      <c r="C71" s="1038">
        <v>2</v>
      </c>
      <c r="D71" s="1039">
        <f>'Table 3 Levels 1&amp;2'!$AP$77</f>
        <v>5030.6952566221626</v>
      </c>
      <c r="E71" s="1109">
        <f>'Table 3 Levels 1&amp;2'!V72</f>
        <v>0.6542</v>
      </c>
      <c r="F71" s="1109">
        <f>'Table 3 Levels 1&amp;2'!W72</f>
        <v>0.3458</v>
      </c>
      <c r="G71" s="1039">
        <f t="shared" si="6"/>
        <v>3291.0808368822186</v>
      </c>
      <c r="H71" s="1095">
        <f t="shared" si="7"/>
        <v>6582.1616737644372</v>
      </c>
      <c r="I71" s="1095">
        <f t="shared" si="8"/>
        <v>549</v>
      </c>
      <c r="J71" s="1039">
        <f t="shared" si="9"/>
        <v>1739.6144197399437</v>
      </c>
      <c r="K71" s="1115">
        <f t="shared" si="10"/>
        <v>3479.2288394798875</v>
      </c>
      <c r="L71" s="1115">
        <f t="shared" si="11"/>
        <v>290</v>
      </c>
      <c r="M71" s="1123">
        <f t="shared" si="12"/>
        <v>10061.390513244325</v>
      </c>
      <c r="N71" s="1123">
        <f t="shared" si="13"/>
        <v>839</v>
      </c>
    </row>
    <row r="72" spans="1:14">
      <c r="A72" s="1021">
        <v>66</v>
      </c>
      <c r="B72" s="1022" t="s">
        <v>166</v>
      </c>
      <c r="C72" s="1040">
        <v>0</v>
      </c>
      <c r="D72" s="1041">
        <f>'Table 3 Levels 1&amp;2'!$AP$77</f>
        <v>5030.6952566221626</v>
      </c>
      <c r="E72" s="1107">
        <f>'Table 3 Levels 1&amp;2'!V73</f>
        <v>0.74729999999999996</v>
      </c>
      <c r="F72" s="1107">
        <f>'Table 3 Levels 1&amp;2'!W73</f>
        <v>0.25269999999999998</v>
      </c>
      <c r="G72" s="1041">
        <f t="shared" ref="G72:G76" si="14">D72*E72</f>
        <v>3759.4385652737419</v>
      </c>
      <c r="H72" s="1096">
        <f t="shared" ref="H72:H76" si="15">G72*C72</f>
        <v>0</v>
      </c>
      <c r="I72" s="1096">
        <f t="shared" ref="I72:I76" si="16">ROUND(H72/12,0)</f>
        <v>0</v>
      </c>
      <c r="J72" s="1041">
        <f t="shared" ref="J72:J75" si="17">F72*D72</f>
        <v>1271.2566913484204</v>
      </c>
      <c r="K72" s="1116">
        <f t="shared" ref="K72:K75" si="18">J72*C72</f>
        <v>0</v>
      </c>
      <c r="L72" s="1116">
        <f t="shared" ref="L72:L75" si="19">ROUND(K72/12,0)</f>
        <v>0</v>
      </c>
      <c r="M72" s="1124">
        <f t="shared" ref="M72:M76" si="20">K72+H72</f>
        <v>0</v>
      </c>
      <c r="N72" s="1124">
        <f t="shared" ref="N72:N76" si="21">I72+L72</f>
        <v>0</v>
      </c>
    </row>
    <row r="73" spans="1:14">
      <c r="A73" s="1028">
        <v>67</v>
      </c>
      <c r="B73" s="1029" t="s">
        <v>33</v>
      </c>
      <c r="C73" s="1036">
        <v>6</v>
      </c>
      <c r="D73" s="1037">
        <f>'Table 3 Levels 1&amp;2'!$AP$77</f>
        <v>5030.6952566221626</v>
      </c>
      <c r="E73" s="1108">
        <f>'Table 3 Levels 1&amp;2'!V74</f>
        <v>0.74939999999999996</v>
      </c>
      <c r="F73" s="1108">
        <f>'Table 3 Levels 1&amp;2'!W74</f>
        <v>0.25059999999999999</v>
      </c>
      <c r="G73" s="1037">
        <f t="shared" si="14"/>
        <v>3770.0030253126483</v>
      </c>
      <c r="H73" s="1094">
        <f t="shared" si="15"/>
        <v>22620.018151875891</v>
      </c>
      <c r="I73" s="1094">
        <f t="shared" si="16"/>
        <v>1885</v>
      </c>
      <c r="J73" s="1037">
        <f t="shared" si="17"/>
        <v>1260.6922313095138</v>
      </c>
      <c r="K73" s="1114">
        <f t="shared" si="18"/>
        <v>7564.1533878570826</v>
      </c>
      <c r="L73" s="1114">
        <f t="shared" si="19"/>
        <v>630</v>
      </c>
      <c r="M73" s="1122">
        <f t="shared" si="20"/>
        <v>30184.171539732975</v>
      </c>
      <c r="N73" s="1122">
        <f t="shared" si="21"/>
        <v>2515</v>
      </c>
    </row>
    <row r="74" spans="1:14">
      <c r="A74" s="1028">
        <v>68</v>
      </c>
      <c r="B74" s="1029" t="s">
        <v>31</v>
      </c>
      <c r="C74" s="1036">
        <f>'[7]Summary by Parish'!E74</f>
        <v>0</v>
      </c>
      <c r="D74" s="1037">
        <f>'Table 3 Levels 1&amp;2'!$AP$77</f>
        <v>5030.6952566221626</v>
      </c>
      <c r="E74" s="1108">
        <f>'Table 3 Levels 1&amp;2'!V75</f>
        <v>0.79110000000000003</v>
      </c>
      <c r="F74" s="1108">
        <f>'Table 3 Levels 1&amp;2'!W75</f>
        <v>0.2089</v>
      </c>
      <c r="G74" s="1037">
        <f t="shared" si="14"/>
        <v>3979.7830175137929</v>
      </c>
      <c r="H74" s="1094">
        <f t="shared" si="15"/>
        <v>0</v>
      </c>
      <c r="I74" s="1094">
        <f t="shared" si="16"/>
        <v>0</v>
      </c>
      <c r="J74" s="1037">
        <f t="shared" si="17"/>
        <v>1050.9122391083697</v>
      </c>
      <c r="K74" s="1114">
        <f t="shared" si="18"/>
        <v>0</v>
      </c>
      <c r="L74" s="1114">
        <f t="shared" si="19"/>
        <v>0</v>
      </c>
      <c r="M74" s="1122">
        <f t="shared" si="20"/>
        <v>0</v>
      </c>
      <c r="N74" s="1122">
        <f t="shared" si="21"/>
        <v>0</v>
      </c>
    </row>
    <row r="75" spans="1:14">
      <c r="A75" s="1042">
        <v>69</v>
      </c>
      <c r="B75" s="1043" t="s">
        <v>235</v>
      </c>
      <c r="C75" s="1044">
        <f>'[7]Summary by Parish'!E75</f>
        <v>0</v>
      </c>
      <c r="D75" s="1045">
        <f>'Table 3 Levels 1&amp;2'!$AP$77</f>
        <v>5030.6952566221626</v>
      </c>
      <c r="E75" s="1110">
        <f>'Table 3 Levels 1&amp;2'!V76</f>
        <v>0.80089999999999995</v>
      </c>
      <c r="F75" s="1110">
        <f>'Table 3 Levels 1&amp;2'!W76</f>
        <v>0.1991</v>
      </c>
      <c r="G75" s="1045">
        <f t="shared" si="14"/>
        <v>4029.0838310286899</v>
      </c>
      <c r="H75" s="1097">
        <f t="shared" si="15"/>
        <v>0</v>
      </c>
      <c r="I75" s="1097">
        <f t="shared" si="16"/>
        <v>0</v>
      </c>
      <c r="J75" s="1045">
        <f t="shared" si="17"/>
        <v>1001.6114255934725</v>
      </c>
      <c r="K75" s="1117">
        <f t="shared" si="18"/>
        <v>0</v>
      </c>
      <c r="L75" s="1117">
        <f t="shared" si="19"/>
        <v>0</v>
      </c>
      <c r="M75" s="1125">
        <f t="shared" si="20"/>
        <v>0</v>
      </c>
      <c r="N75" s="1125">
        <f t="shared" si="21"/>
        <v>0</v>
      </c>
    </row>
    <row r="76" spans="1:14">
      <c r="A76" s="1319"/>
      <c r="B76" s="1320" t="s">
        <v>1204</v>
      </c>
      <c r="C76" s="1321">
        <v>12</v>
      </c>
      <c r="D76" s="1322">
        <v>5031</v>
      </c>
      <c r="E76" s="1323">
        <v>0.65</v>
      </c>
      <c r="F76" s="1323">
        <v>0.35</v>
      </c>
      <c r="G76" s="1045">
        <f t="shared" si="14"/>
        <v>3270.15</v>
      </c>
      <c r="H76" s="1097">
        <f t="shared" si="15"/>
        <v>39241.800000000003</v>
      </c>
      <c r="I76" s="1097">
        <f t="shared" si="16"/>
        <v>3270</v>
      </c>
      <c r="J76" s="1322">
        <v>0</v>
      </c>
      <c r="K76" s="1324">
        <v>0</v>
      </c>
      <c r="L76" s="1324">
        <v>0</v>
      </c>
      <c r="M76" s="1125">
        <f t="shared" si="20"/>
        <v>39241.800000000003</v>
      </c>
      <c r="N76" s="1125">
        <f t="shared" si="21"/>
        <v>3270</v>
      </c>
    </row>
    <row r="77" spans="1:14" s="1053" customFormat="1" ht="13.5" thickBot="1">
      <c r="A77" s="1046"/>
      <c r="B77" s="1047" t="s">
        <v>167</v>
      </c>
      <c r="C77" s="1048">
        <f>SUM(C7:C76)</f>
        <v>294.99442900000003</v>
      </c>
      <c r="D77" s="1049">
        <f>'Table 3 Levels 1&amp;2'!AP77</f>
        <v>5030.6952566221626</v>
      </c>
      <c r="E77" s="1075">
        <f>'Table 3 Levels 1&amp;2'!V77</f>
        <v>0.65</v>
      </c>
      <c r="F77" s="1075">
        <f>'Table 3 Levels 1&amp;2'!W77</f>
        <v>0.35</v>
      </c>
      <c r="G77" s="1049"/>
      <c r="H77" s="1050">
        <f>SUM(H7:H76)</f>
        <v>992132.68253089651</v>
      </c>
      <c r="I77" s="1050">
        <f>SUM(I7:I76)</f>
        <v>82679</v>
      </c>
      <c r="J77" s="1049">
        <f t="shared" ref="J77:N77" si="22">SUM(J7:J76)</f>
        <v>113069.40351831405</v>
      </c>
      <c r="K77" s="1118">
        <f t="shared" si="22"/>
        <v>470767.84908990067</v>
      </c>
      <c r="L77" s="1118">
        <f t="shared" si="22"/>
        <v>39230</v>
      </c>
      <c r="M77" s="1126">
        <f t="shared" si="22"/>
        <v>1462900.5316207975</v>
      </c>
      <c r="N77" s="1126">
        <f t="shared" si="22"/>
        <v>121909</v>
      </c>
    </row>
    <row r="78" spans="1:14" s="1053" customFormat="1" ht="1.5" customHeight="1" thickTop="1">
      <c r="A78" s="1054"/>
      <c r="B78" s="1054"/>
      <c r="C78" s="1055"/>
      <c r="D78" s="1055"/>
      <c r="E78" s="1055"/>
      <c r="F78" s="1055"/>
      <c r="H78" s="1056">
        <f>D77*C77</f>
        <v>1484027.0747002633</v>
      </c>
      <c r="I78" s="1056"/>
      <c r="J78" s="1057"/>
      <c r="K78" s="1057"/>
      <c r="L78" s="1057"/>
    </row>
    <row r="79" spans="1:14" ht="12.75" hidden="1" customHeight="1">
      <c r="A79" s="1059"/>
      <c r="C79" s="1060"/>
      <c r="H79" s="1056">
        <f>H78-H77</f>
        <v>491894.39216936682</v>
      </c>
      <c r="I79" s="1056"/>
    </row>
    <row r="80" spans="1:14" ht="12.75" hidden="1" customHeight="1"/>
    <row r="81" spans="3:9" hidden="1"/>
    <row r="82" spans="3:9" hidden="1"/>
    <row r="83" spans="3:9" hidden="1"/>
    <row r="84" spans="3:9" hidden="1">
      <c r="G84" s="1061" t="s">
        <v>581</v>
      </c>
      <c r="H84" s="1061"/>
      <c r="I84" s="1061"/>
    </row>
    <row r="85" spans="3:9" ht="10.5" hidden="1" customHeight="1"/>
    <row r="86" spans="3:9" hidden="1"/>
    <row r="87" spans="3:9" hidden="1">
      <c r="C87" s="1063">
        <v>85661</v>
      </c>
      <c r="D87" s="1064" t="s">
        <v>582</v>
      </c>
      <c r="E87" s="1064"/>
      <c r="F87" s="1064"/>
    </row>
    <row r="88" spans="3:9" hidden="1">
      <c r="C88" s="1063">
        <v>650290</v>
      </c>
      <c r="D88" s="1064" t="s">
        <v>583</v>
      </c>
      <c r="E88" s="1064"/>
      <c r="F88" s="1064"/>
    </row>
    <row r="89" spans="3:9" hidden="1">
      <c r="C89" s="1065">
        <f>C87/C88</f>
        <v>0.13172738316750987</v>
      </c>
      <c r="D89" s="1064" t="s">
        <v>584</v>
      </c>
      <c r="E89" s="1064"/>
      <c r="F89" s="1064"/>
    </row>
    <row r="90" spans="3:9" hidden="1">
      <c r="C90" s="1063"/>
      <c r="D90" s="1064"/>
      <c r="E90" s="1064"/>
      <c r="F90" s="1064"/>
    </row>
    <row r="91" spans="3:9" hidden="1">
      <c r="C91" s="1063">
        <v>128510</v>
      </c>
      <c r="D91" s="1064" t="s">
        <v>585</v>
      </c>
      <c r="E91" s="1064"/>
      <c r="F91" s="1064"/>
    </row>
    <row r="92" spans="3:9" hidden="1">
      <c r="C92" s="1063">
        <v>911320</v>
      </c>
      <c r="D92" s="1064" t="s">
        <v>586</v>
      </c>
      <c r="E92" s="1064"/>
      <c r="F92" s="1064"/>
    </row>
    <row r="93" spans="3:9" hidden="1">
      <c r="C93" s="1065">
        <f>C91/C92</f>
        <v>0.14101523065443533</v>
      </c>
      <c r="D93" s="1064" t="s">
        <v>587</v>
      </c>
      <c r="E93" s="1064"/>
      <c r="F93" s="1064"/>
    </row>
    <row r="94" spans="3:9" hidden="1">
      <c r="C94" s="1063"/>
      <c r="D94" s="1064"/>
      <c r="E94" s="1064"/>
      <c r="F94" s="1064"/>
    </row>
    <row r="95" spans="3:9" hidden="1">
      <c r="C95" s="1066">
        <v>2663489616</v>
      </c>
      <c r="D95" s="1067" t="s">
        <v>588</v>
      </c>
      <c r="E95" s="1067"/>
      <c r="F95" s="1067"/>
    </row>
    <row r="96" spans="3:9" hidden="1">
      <c r="C96" s="1068">
        <f>C93</f>
        <v>0.14101523065443533</v>
      </c>
      <c r="D96" s="1067"/>
      <c r="E96" s="1067"/>
      <c r="F96" s="1067"/>
    </row>
    <row r="97" spans="3:6" hidden="1">
      <c r="C97" s="1069">
        <f>C95*C96</f>
        <v>375592602.54593337</v>
      </c>
      <c r="D97" s="1064" t="s">
        <v>589</v>
      </c>
      <c r="E97" s="1064"/>
      <c r="F97" s="1064"/>
    </row>
    <row r="98" spans="3:6" hidden="1">
      <c r="C98" s="1070">
        <f>50%/C93</f>
        <v>3.5457162866702978</v>
      </c>
      <c r="D98" s="1067" t="s">
        <v>590</v>
      </c>
      <c r="E98" s="1067"/>
      <c r="F98" s="1067"/>
    </row>
    <row r="99" spans="3:6" hidden="1">
      <c r="C99" s="1069">
        <f>C97*C98</f>
        <v>1331744808</v>
      </c>
      <c r="D99" s="1071" t="s">
        <v>591</v>
      </c>
      <c r="E99" s="1071"/>
      <c r="F99" s="1071"/>
    </row>
    <row r="100" spans="3:6" hidden="1">
      <c r="C100" s="1072">
        <f>C88</f>
        <v>650290</v>
      </c>
      <c r="D100" s="1067" t="s">
        <v>592</v>
      </c>
      <c r="E100" s="1067"/>
      <c r="F100" s="1067"/>
    </row>
    <row r="101" spans="3:6" hidden="1">
      <c r="C101" s="1069">
        <f>C99/C100</f>
        <v>2047.9244767719017</v>
      </c>
      <c r="D101" s="1067" t="s">
        <v>593</v>
      </c>
      <c r="E101" s="1067"/>
      <c r="F101" s="1067"/>
    </row>
    <row r="102" spans="3:6" hidden="1">
      <c r="C102" s="1073">
        <f>(C97/C100)*-1</f>
        <v>-577.57708490970697</v>
      </c>
      <c r="D102" s="1067" t="s">
        <v>594</v>
      </c>
      <c r="E102" s="1067"/>
      <c r="F102" s="1067"/>
    </row>
    <row r="103" spans="3:6" hidden="1">
      <c r="C103" s="1074">
        <f>SUM(C101:C102)</f>
        <v>1470.3473918621949</v>
      </c>
      <c r="D103" s="1067" t="s">
        <v>595</v>
      </c>
      <c r="E103" s="1067"/>
      <c r="F103" s="1067"/>
    </row>
    <row r="104" spans="3:6" hidden="1">
      <c r="C104" s="1074"/>
      <c r="D104" s="1067"/>
      <c r="E104" s="1067"/>
      <c r="F104" s="1067"/>
    </row>
    <row r="105" spans="3:6" hidden="1">
      <c r="C105" s="1074"/>
      <c r="D105" s="1067"/>
      <c r="E105" s="1067"/>
      <c r="F105" s="1067"/>
    </row>
    <row r="106" spans="3:6" hidden="1">
      <c r="D106" s="1067"/>
      <c r="E106" s="1067"/>
      <c r="F106" s="1067"/>
    </row>
    <row r="107" spans="3:6" hidden="1"/>
  </sheetData>
  <mergeCells count="15">
    <mergeCell ref="N2:N4"/>
    <mergeCell ref="C2:I2"/>
    <mergeCell ref="J2:L2"/>
    <mergeCell ref="A2:B4"/>
    <mergeCell ref="M2:M4"/>
    <mergeCell ref="C3:C4"/>
    <mergeCell ref="D3:D4"/>
    <mergeCell ref="G3:G4"/>
    <mergeCell ref="H3:H4"/>
    <mergeCell ref="J3:J4"/>
    <mergeCell ref="K3:K4"/>
    <mergeCell ref="E3:E4"/>
    <mergeCell ref="F3:F4"/>
    <mergeCell ref="I3:I4"/>
    <mergeCell ref="L3:L4"/>
  </mergeCells>
  <printOptions horizontalCentered="1"/>
  <pageMargins left="0.27" right="0.25" top="0.87" bottom="0.2" header="0.25" footer="0.2"/>
  <pageSetup paperSize="5" scale="83" firstPageNumber="38" fitToWidth="3" orientation="portrait" useFirstPageNumber="1" r:id="rId1"/>
  <headerFooter alignWithMargins="0">
    <oddHeader xml:space="preserve">&amp;L&amp;"Arial,Bold"&amp;16Table 5A2:  FY2012-13 MFP Budget Letter
&amp;14Louisiana School for Math, Science and the Arts (LSMSA)&amp;R&amp;"Arial,Bold"&amp;12&amp;KFF0000
</oddHeader>
    <oddFooter>&amp;R&amp;P</oddFooter>
  </headerFooter>
  <colBreaks count="1" manualBreakCount="1">
    <brk id="9" min="1" max="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transitionEvaluation="1" transitionEntry="1"/>
  <dimension ref="A1:N108"/>
  <sheetViews>
    <sheetView view="pageBreakPreview" zoomScaleNormal="100" zoomScaleSheetLayoutView="10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B109" sqref="B109"/>
    </sheetView>
  </sheetViews>
  <sheetFormatPr defaultColWidth="12.5703125" defaultRowHeight="12.75"/>
  <cols>
    <col min="1" max="1" width="3.85546875" style="1005" customWidth="1"/>
    <col min="2" max="2" width="17.85546875" style="1005" bestFit="1" customWidth="1"/>
    <col min="3" max="3" width="11" style="1008" customWidth="1"/>
    <col min="4" max="4" width="14.28515625" style="1008" customWidth="1"/>
    <col min="5" max="5" width="11.5703125" style="1008" customWidth="1"/>
    <col min="6" max="6" width="10.85546875" style="1008" customWidth="1"/>
    <col min="7" max="7" width="11" style="1008" customWidth="1"/>
    <col min="8" max="9" width="9.85546875" style="1008" customWidth="1"/>
    <col min="10" max="10" width="11" style="1008" customWidth="1"/>
    <col min="11" max="12" width="10.42578125" style="1008" customWidth="1"/>
    <col min="13" max="14" width="12.5703125" style="1005" customWidth="1"/>
    <col min="15" max="16384" width="12.5703125" style="1005"/>
  </cols>
  <sheetData>
    <row r="1" spans="1:14" ht="9" customHeight="1">
      <c r="B1" s="1006"/>
      <c r="C1" s="1007"/>
      <c r="D1" s="1007"/>
      <c r="E1" s="1007"/>
      <c r="F1" s="1007"/>
    </row>
    <row r="2" spans="1:14" s="1010" customFormat="1" ht="39.75" customHeight="1">
      <c r="A2" s="1773" t="s">
        <v>766</v>
      </c>
      <c r="B2" s="1774"/>
      <c r="C2" s="1767" t="s">
        <v>759</v>
      </c>
      <c r="D2" s="1768"/>
      <c r="E2" s="1768"/>
      <c r="F2" s="1768"/>
      <c r="G2" s="1768"/>
      <c r="H2" s="1768"/>
      <c r="I2" s="1769"/>
      <c r="J2" s="1770" t="s">
        <v>808</v>
      </c>
      <c r="K2" s="1771"/>
      <c r="L2" s="1772"/>
      <c r="M2" s="1764" t="s">
        <v>1387</v>
      </c>
      <c r="N2" s="1764" t="s">
        <v>1385</v>
      </c>
    </row>
    <row r="3" spans="1:14" ht="67.5" customHeight="1">
      <c r="A3" s="1775"/>
      <c r="B3" s="1776"/>
      <c r="C3" s="1788" t="s">
        <v>1189</v>
      </c>
      <c r="D3" s="1790" t="s">
        <v>768</v>
      </c>
      <c r="E3" s="1779" t="s">
        <v>769</v>
      </c>
      <c r="F3" s="1779" t="s">
        <v>770</v>
      </c>
      <c r="G3" s="1782" t="s">
        <v>800</v>
      </c>
      <c r="H3" s="1779" t="s">
        <v>801</v>
      </c>
      <c r="I3" s="1779" t="s">
        <v>1415</v>
      </c>
      <c r="J3" s="1784" t="s">
        <v>802</v>
      </c>
      <c r="K3" s="1786" t="s">
        <v>1386</v>
      </c>
      <c r="L3" s="1786" t="s">
        <v>1416</v>
      </c>
      <c r="M3" s="1765"/>
      <c r="N3" s="1765"/>
    </row>
    <row r="4" spans="1:14" ht="38.25" customHeight="1">
      <c r="A4" s="1777"/>
      <c r="B4" s="1778"/>
      <c r="C4" s="1789"/>
      <c r="D4" s="1790"/>
      <c r="E4" s="1780"/>
      <c r="F4" s="1780"/>
      <c r="G4" s="1783"/>
      <c r="H4" s="1780"/>
      <c r="I4" s="1780"/>
      <c r="J4" s="1785"/>
      <c r="K4" s="1787"/>
      <c r="L4" s="1787"/>
      <c r="M4" s="1766"/>
      <c r="N4" s="1766"/>
    </row>
    <row r="5" spans="1:14" s="1015" customFormat="1" ht="14.25" customHeight="1">
      <c r="A5" s="1012"/>
      <c r="B5" s="1013"/>
      <c r="C5" s="1014">
        <v>1</v>
      </c>
      <c r="D5" s="1014">
        <f t="shared" ref="D5:H5" si="0">C5+1</f>
        <v>2</v>
      </c>
      <c r="E5" s="1014">
        <f t="shared" si="0"/>
        <v>3</v>
      </c>
      <c r="F5" s="1014">
        <f t="shared" si="0"/>
        <v>4</v>
      </c>
      <c r="G5" s="1014">
        <f t="shared" si="0"/>
        <v>5</v>
      </c>
      <c r="H5" s="1014">
        <f t="shared" si="0"/>
        <v>6</v>
      </c>
      <c r="I5" s="1014">
        <f t="shared" ref="I5" si="1">H5+1</f>
        <v>7</v>
      </c>
      <c r="J5" s="1014">
        <f t="shared" ref="J5" si="2">I5+1</f>
        <v>8</v>
      </c>
      <c r="K5" s="1014">
        <f t="shared" ref="K5" si="3">J5+1</f>
        <v>9</v>
      </c>
      <c r="L5" s="1014">
        <f t="shared" ref="L5" si="4">K5+1</f>
        <v>10</v>
      </c>
      <c r="M5" s="1014">
        <f t="shared" ref="M5:N5" si="5">L5+1</f>
        <v>11</v>
      </c>
      <c r="N5" s="1014">
        <f t="shared" si="5"/>
        <v>12</v>
      </c>
    </row>
    <row r="6" spans="1:14" s="1080" customFormat="1" ht="27" customHeight="1">
      <c r="A6" s="1076"/>
      <c r="B6" s="1077"/>
      <c r="C6" s="1078" t="s">
        <v>660</v>
      </c>
      <c r="D6" s="1079" t="s">
        <v>571</v>
      </c>
      <c r="E6" s="1079" t="s">
        <v>571</v>
      </c>
      <c r="F6" s="1079" t="s">
        <v>571</v>
      </c>
      <c r="G6" s="1079" t="s">
        <v>760</v>
      </c>
      <c r="H6" s="1079" t="s">
        <v>761</v>
      </c>
      <c r="I6" s="1079" t="s">
        <v>803</v>
      </c>
      <c r="J6" s="1079" t="s">
        <v>767</v>
      </c>
      <c r="K6" s="1079" t="s">
        <v>804</v>
      </c>
      <c r="L6" s="1079" t="s">
        <v>805</v>
      </c>
      <c r="M6" s="1079" t="s">
        <v>806</v>
      </c>
      <c r="N6" s="1079" t="s">
        <v>807</v>
      </c>
    </row>
    <row r="7" spans="1:14">
      <c r="A7" s="1021">
        <v>1</v>
      </c>
      <c r="B7" s="1022" t="s">
        <v>102</v>
      </c>
      <c r="C7" s="1023"/>
      <c r="D7" s="1024">
        <f>'Table 3 Levels 1&amp;2'!$AP$77</f>
        <v>5030.6952566221626</v>
      </c>
      <c r="E7" s="1107">
        <f>'Table 3 Levels 1&amp;2'!V8</f>
        <v>0.76939999999999997</v>
      </c>
      <c r="F7" s="1107">
        <f>'Table 3 Levels 1&amp;2'!W8</f>
        <v>0.2306</v>
      </c>
      <c r="G7" s="1024">
        <f>D7*E7</f>
        <v>3870.6169304450918</v>
      </c>
      <c r="H7" s="1025">
        <f>G7*C7</f>
        <v>0</v>
      </c>
      <c r="I7" s="1025">
        <f>ROUND(H7/12,0)</f>
        <v>0</v>
      </c>
      <c r="J7" s="1024">
        <f>D7*F7</f>
        <v>1160.0783261770707</v>
      </c>
      <c r="K7" s="1111">
        <f>J7*C7</f>
        <v>0</v>
      </c>
      <c r="L7" s="1111">
        <f>ROUND(K7/12,0)</f>
        <v>0</v>
      </c>
      <c r="M7" s="1119">
        <f>K7+H7</f>
        <v>0</v>
      </c>
      <c r="N7" s="1119">
        <f>I7+L7</f>
        <v>0</v>
      </c>
    </row>
    <row r="8" spans="1:14">
      <c r="A8" s="1028">
        <v>2</v>
      </c>
      <c r="B8" s="1029" t="s">
        <v>103</v>
      </c>
      <c r="C8" s="1030"/>
      <c r="D8" s="1031">
        <f>'Table 3 Levels 1&amp;2'!$AP$77</f>
        <v>5030.6952566221626</v>
      </c>
      <c r="E8" s="1108">
        <f>'Table 3 Levels 1&amp;2'!V9</f>
        <v>0.85019999999999996</v>
      </c>
      <c r="F8" s="1108">
        <f>'Table 3 Levels 1&amp;2'!W9</f>
        <v>0.14979999999999999</v>
      </c>
      <c r="G8" s="1031">
        <f t="shared" ref="G8:G71" si="6">D8*E8</f>
        <v>4277.0971071801623</v>
      </c>
      <c r="H8" s="1087">
        <f t="shared" ref="H8:H71" si="7">G8*C8</f>
        <v>0</v>
      </c>
      <c r="I8" s="1087">
        <f t="shared" ref="I8:I71" si="8">ROUND(H8/12,0)</f>
        <v>0</v>
      </c>
      <c r="J8" s="1031">
        <f t="shared" ref="J8:J71" si="9">D8*F8</f>
        <v>753.59814944199991</v>
      </c>
      <c r="K8" s="1112">
        <f t="shared" ref="K8:K71" si="10">J8*C8</f>
        <v>0</v>
      </c>
      <c r="L8" s="1112">
        <f t="shared" ref="L8:L71" si="11">ROUND(K8/12,0)</f>
        <v>0</v>
      </c>
      <c r="M8" s="1120">
        <f t="shared" ref="M8:M71" si="12">K8+H8</f>
        <v>0</v>
      </c>
      <c r="N8" s="1120">
        <f t="shared" ref="N8:N71" si="13">I8+L8</f>
        <v>0</v>
      </c>
    </row>
    <row r="9" spans="1:14" ht="12.75" customHeight="1">
      <c r="A9" s="1028">
        <v>3</v>
      </c>
      <c r="B9" s="1029" t="s">
        <v>104</v>
      </c>
      <c r="C9" s="1030"/>
      <c r="D9" s="1031">
        <f>'Table 3 Levels 1&amp;2'!$AP$77</f>
        <v>5030.6952566221626</v>
      </c>
      <c r="E9" s="1108">
        <f>'Table 3 Levels 1&amp;2'!V10</f>
        <v>0.67669999999999997</v>
      </c>
      <c r="F9" s="1108">
        <f>'Table 3 Levels 1&amp;2'!W10</f>
        <v>0.32329999999999998</v>
      </c>
      <c r="G9" s="1031">
        <f t="shared" si="6"/>
        <v>3404.2714801562174</v>
      </c>
      <c r="H9" s="1087">
        <f t="shared" si="7"/>
        <v>0</v>
      </c>
      <c r="I9" s="1087">
        <f t="shared" si="8"/>
        <v>0</v>
      </c>
      <c r="J9" s="1031">
        <f t="shared" si="9"/>
        <v>1626.4237764659451</v>
      </c>
      <c r="K9" s="1112">
        <f t="shared" si="10"/>
        <v>0</v>
      </c>
      <c r="L9" s="1112">
        <f t="shared" si="11"/>
        <v>0</v>
      </c>
      <c r="M9" s="1120">
        <f t="shared" si="12"/>
        <v>0</v>
      </c>
      <c r="N9" s="1120">
        <f t="shared" si="13"/>
        <v>0</v>
      </c>
    </row>
    <row r="10" spans="1:14" ht="12.75" customHeight="1">
      <c r="A10" s="1028">
        <v>4</v>
      </c>
      <c r="B10" s="1029" t="s">
        <v>105</v>
      </c>
      <c r="C10" s="1030"/>
      <c r="D10" s="1031">
        <f>'Table 3 Levels 1&amp;2'!$AP$77</f>
        <v>5030.6952566221626</v>
      </c>
      <c r="E10" s="1108">
        <f>'Table 3 Levels 1&amp;2'!V11</f>
        <v>0.79890000000000005</v>
      </c>
      <c r="F10" s="1108">
        <f>'Table 3 Levels 1&amp;2'!W11</f>
        <v>0.2011</v>
      </c>
      <c r="G10" s="1031">
        <f t="shared" si="6"/>
        <v>4019.0224405154459</v>
      </c>
      <c r="H10" s="1087">
        <f t="shared" si="7"/>
        <v>0</v>
      </c>
      <c r="I10" s="1087">
        <f t="shared" si="8"/>
        <v>0</v>
      </c>
      <c r="J10" s="1031">
        <f t="shared" si="9"/>
        <v>1011.6728161067169</v>
      </c>
      <c r="K10" s="1112">
        <f t="shared" si="10"/>
        <v>0</v>
      </c>
      <c r="L10" s="1112">
        <f t="shared" si="11"/>
        <v>0</v>
      </c>
      <c r="M10" s="1120">
        <f t="shared" si="12"/>
        <v>0</v>
      </c>
      <c r="N10" s="1120">
        <f t="shared" si="13"/>
        <v>0</v>
      </c>
    </row>
    <row r="11" spans="1:14">
      <c r="A11" s="1032">
        <v>5</v>
      </c>
      <c r="B11" s="1033" t="s">
        <v>106</v>
      </c>
      <c r="C11" s="1034"/>
      <c r="D11" s="1035">
        <f>'Table 3 Levels 1&amp;2'!$AP$77</f>
        <v>5030.6952566221626</v>
      </c>
      <c r="E11" s="1109">
        <f>'Table 3 Levels 1&amp;2'!V12</f>
        <v>0.84040000000000004</v>
      </c>
      <c r="F11" s="1109">
        <f>'Table 3 Levels 1&amp;2'!W12</f>
        <v>0.15959999999999999</v>
      </c>
      <c r="G11" s="1035">
        <f t="shared" si="6"/>
        <v>4227.7962936652657</v>
      </c>
      <c r="H11" s="1090">
        <f t="shared" si="7"/>
        <v>0</v>
      </c>
      <c r="I11" s="1090">
        <f t="shared" si="8"/>
        <v>0</v>
      </c>
      <c r="J11" s="1035">
        <f t="shared" si="9"/>
        <v>802.89896295689709</v>
      </c>
      <c r="K11" s="1113">
        <f t="shared" si="10"/>
        <v>0</v>
      </c>
      <c r="L11" s="1113">
        <f t="shared" si="11"/>
        <v>0</v>
      </c>
      <c r="M11" s="1121">
        <f t="shared" si="12"/>
        <v>0</v>
      </c>
      <c r="N11" s="1121">
        <f t="shared" si="13"/>
        <v>0</v>
      </c>
    </row>
    <row r="12" spans="1:14" ht="12.75" customHeight="1">
      <c r="A12" s="1021">
        <v>6</v>
      </c>
      <c r="B12" s="1022" t="s">
        <v>107</v>
      </c>
      <c r="C12" s="1023"/>
      <c r="D12" s="1024">
        <f>'Table 3 Levels 1&amp;2'!$AP$77</f>
        <v>5030.6952566221626</v>
      </c>
      <c r="E12" s="1107">
        <f>'Table 3 Levels 1&amp;2'!V13</f>
        <v>0.77710000000000001</v>
      </c>
      <c r="F12" s="1107">
        <f>'Table 3 Levels 1&amp;2'!W13</f>
        <v>0.22289999999999999</v>
      </c>
      <c r="G12" s="1024">
        <f t="shared" si="6"/>
        <v>3909.3532839210825</v>
      </c>
      <c r="H12" s="1025">
        <f t="shared" si="7"/>
        <v>0</v>
      </c>
      <c r="I12" s="1025">
        <f t="shared" si="8"/>
        <v>0</v>
      </c>
      <c r="J12" s="1024">
        <f t="shared" si="9"/>
        <v>1121.3419727010801</v>
      </c>
      <c r="K12" s="1111">
        <f t="shared" si="10"/>
        <v>0</v>
      </c>
      <c r="L12" s="1111">
        <f t="shared" si="11"/>
        <v>0</v>
      </c>
      <c r="M12" s="1119">
        <f t="shared" si="12"/>
        <v>0</v>
      </c>
      <c r="N12" s="1119">
        <f t="shared" si="13"/>
        <v>0</v>
      </c>
    </row>
    <row r="13" spans="1:14">
      <c r="A13" s="1028">
        <v>7</v>
      </c>
      <c r="B13" s="1029" t="s">
        <v>108</v>
      </c>
      <c r="C13" s="1030"/>
      <c r="D13" s="1031">
        <f>'Table 3 Levels 1&amp;2'!$AP$77</f>
        <v>5030.6952566221626</v>
      </c>
      <c r="E13" s="1108">
        <f>'Table 3 Levels 1&amp;2'!V14</f>
        <v>0.25</v>
      </c>
      <c r="F13" s="1108">
        <f>'Table 3 Levels 1&amp;2'!W14</f>
        <v>0.75</v>
      </c>
      <c r="G13" s="1031">
        <f t="shared" si="6"/>
        <v>1257.6738141555406</v>
      </c>
      <c r="H13" s="1087">
        <f t="shared" si="7"/>
        <v>0</v>
      </c>
      <c r="I13" s="1087">
        <f t="shared" si="8"/>
        <v>0</v>
      </c>
      <c r="J13" s="1031">
        <f t="shared" si="9"/>
        <v>3773.0214424666219</v>
      </c>
      <c r="K13" s="1112">
        <f t="shared" si="10"/>
        <v>0</v>
      </c>
      <c r="L13" s="1112">
        <f t="shared" si="11"/>
        <v>0</v>
      </c>
      <c r="M13" s="1120">
        <f t="shared" si="12"/>
        <v>0</v>
      </c>
      <c r="N13" s="1120">
        <f t="shared" si="13"/>
        <v>0</v>
      </c>
    </row>
    <row r="14" spans="1:14">
      <c r="A14" s="1028">
        <v>8</v>
      </c>
      <c r="B14" s="1029" t="s">
        <v>109</v>
      </c>
      <c r="C14" s="1030"/>
      <c r="D14" s="1031">
        <f>'Table 3 Levels 1&amp;2'!$AP$77</f>
        <v>5030.6952566221626</v>
      </c>
      <c r="E14" s="1108">
        <f>'Table 3 Levels 1&amp;2'!V15</f>
        <v>0.63970000000000005</v>
      </c>
      <c r="F14" s="1108">
        <f>'Table 3 Levels 1&amp;2'!W15</f>
        <v>0.36030000000000001</v>
      </c>
      <c r="G14" s="1031">
        <f t="shared" si="6"/>
        <v>3218.1357556611974</v>
      </c>
      <c r="H14" s="1087">
        <f t="shared" si="7"/>
        <v>0</v>
      </c>
      <c r="I14" s="1087">
        <f t="shared" si="8"/>
        <v>0</v>
      </c>
      <c r="J14" s="1031">
        <f t="shared" si="9"/>
        <v>1812.5595009609651</v>
      </c>
      <c r="K14" s="1112">
        <f t="shared" si="10"/>
        <v>0</v>
      </c>
      <c r="L14" s="1112">
        <f t="shared" si="11"/>
        <v>0</v>
      </c>
      <c r="M14" s="1120">
        <f t="shared" si="12"/>
        <v>0</v>
      </c>
      <c r="N14" s="1120">
        <f t="shared" si="13"/>
        <v>0</v>
      </c>
    </row>
    <row r="15" spans="1:14">
      <c r="A15" s="1028">
        <v>9</v>
      </c>
      <c r="B15" s="1029" t="s">
        <v>110</v>
      </c>
      <c r="C15" s="1030"/>
      <c r="D15" s="1031">
        <f>'Table 3 Levels 1&amp;2'!$AP$77</f>
        <v>5030.6952566221626</v>
      </c>
      <c r="E15" s="1108">
        <f>'Table 3 Levels 1&amp;2'!V16</f>
        <v>0.65910000000000002</v>
      </c>
      <c r="F15" s="1108">
        <f>'Table 3 Levels 1&amp;2'!W16</f>
        <v>0.34089999999999998</v>
      </c>
      <c r="G15" s="1031">
        <f t="shared" si="6"/>
        <v>3315.7312436396674</v>
      </c>
      <c r="H15" s="1087">
        <f t="shared" si="7"/>
        <v>0</v>
      </c>
      <c r="I15" s="1087">
        <f t="shared" si="8"/>
        <v>0</v>
      </c>
      <c r="J15" s="1031">
        <f t="shared" si="9"/>
        <v>1714.9640129824952</v>
      </c>
      <c r="K15" s="1112">
        <f t="shared" si="10"/>
        <v>0</v>
      </c>
      <c r="L15" s="1112">
        <f t="shared" si="11"/>
        <v>0</v>
      </c>
      <c r="M15" s="1120">
        <f t="shared" si="12"/>
        <v>0</v>
      </c>
      <c r="N15" s="1120">
        <f t="shared" si="13"/>
        <v>0</v>
      </c>
    </row>
    <row r="16" spans="1:14">
      <c r="A16" s="1032">
        <v>10</v>
      </c>
      <c r="B16" s="1033" t="s">
        <v>111</v>
      </c>
      <c r="C16" s="1034"/>
      <c r="D16" s="1035">
        <f>'Table 3 Levels 1&amp;2'!$AP$77</f>
        <v>5030.6952566221626</v>
      </c>
      <c r="E16" s="1109">
        <f>'Table 3 Levels 1&amp;2'!V17</f>
        <v>0.6381</v>
      </c>
      <c r="F16" s="1109">
        <f>'Table 3 Levels 1&amp;2'!W17</f>
        <v>0.3619</v>
      </c>
      <c r="G16" s="1035">
        <f t="shared" si="6"/>
        <v>3210.0866432506018</v>
      </c>
      <c r="H16" s="1090">
        <f t="shared" si="7"/>
        <v>0</v>
      </c>
      <c r="I16" s="1090">
        <f t="shared" si="8"/>
        <v>0</v>
      </c>
      <c r="J16" s="1035">
        <f t="shared" si="9"/>
        <v>1820.6086133715605</v>
      </c>
      <c r="K16" s="1113">
        <f t="shared" si="10"/>
        <v>0</v>
      </c>
      <c r="L16" s="1113">
        <f t="shared" si="11"/>
        <v>0</v>
      </c>
      <c r="M16" s="1121">
        <f t="shared" si="12"/>
        <v>0</v>
      </c>
      <c r="N16" s="1121">
        <f t="shared" si="13"/>
        <v>0</v>
      </c>
    </row>
    <row r="17" spans="1:14">
      <c r="A17" s="1021">
        <v>11</v>
      </c>
      <c r="B17" s="1022" t="s">
        <v>112</v>
      </c>
      <c r="C17" s="1023"/>
      <c r="D17" s="1024">
        <f>'Table 3 Levels 1&amp;2'!$AP$77</f>
        <v>5030.6952566221626</v>
      </c>
      <c r="E17" s="1107">
        <f>'Table 3 Levels 1&amp;2'!V18</f>
        <v>0.82330000000000003</v>
      </c>
      <c r="F17" s="1107">
        <f>'Table 3 Levels 1&amp;2'!W18</f>
        <v>0.1767</v>
      </c>
      <c r="G17" s="1024">
        <f t="shared" si="6"/>
        <v>4141.7714047770269</v>
      </c>
      <c r="H17" s="1025">
        <f t="shared" si="7"/>
        <v>0</v>
      </c>
      <c r="I17" s="1025">
        <f t="shared" si="8"/>
        <v>0</v>
      </c>
      <c r="J17" s="1024">
        <f t="shared" si="9"/>
        <v>888.92385184513614</v>
      </c>
      <c r="K17" s="1111">
        <f t="shared" si="10"/>
        <v>0</v>
      </c>
      <c r="L17" s="1111">
        <f t="shared" si="11"/>
        <v>0</v>
      </c>
      <c r="M17" s="1119">
        <f t="shared" si="12"/>
        <v>0</v>
      </c>
      <c r="N17" s="1119">
        <f t="shared" si="13"/>
        <v>0</v>
      </c>
    </row>
    <row r="18" spans="1:14">
      <c r="A18" s="1028">
        <v>12</v>
      </c>
      <c r="B18" s="1029" t="s">
        <v>113</v>
      </c>
      <c r="C18" s="1030"/>
      <c r="D18" s="1031">
        <f>'Table 3 Levels 1&amp;2'!$AP$77</f>
        <v>5030.6952566221626</v>
      </c>
      <c r="E18" s="1108">
        <f>'Table 3 Levels 1&amp;2'!V19</f>
        <v>0.27960000000000002</v>
      </c>
      <c r="F18" s="1108">
        <f>'Table 3 Levels 1&amp;2'!W19</f>
        <v>0.72040000000000004</v>
      </c>
      <c r="G18" s="1031">
        <f t="shared" si="6"/>
        <v>1406.5823937515568</v>
      </c>
      <c r="H18" s="1087">
        <f t="shared" si="7"/>
        <v>0</v>
      </c>
      <c r="I18" s="1087">
        <f t="shared" si="8"/>
        <v>0</v>
      </c>
      <c r="J18" s="1031">
        <f t="shared" si="9"/>
        <v>3624.112862870606</v>
      </c>
      <c r="K18" s="1112">
        <f t="shared" si="10"/>
        <v>0</v>
      </c>
      <c r="L18" s="1112">
        <f t="shared" si="11"/>
        <v>0</v>
      </c>
      <c r="M18" s="1120">
        <f t="shared" si="12"/>
        <v>0</v>
      </c>
      <c r="N18" s="1120">
        <f t="shared" si="13"/>
        <v>0</v>
      </c>
    </row>
    <row r="19" spans="1:14">
      <c r="A19" s="1028">
        <v>13</v>
      </c>
      <c r="B19" s="1029" t="s">
        <v>114</v>
      </c>
      <c r="C19" s="1030"/>
      <c r="D19" s="1031">
        <f>'Table 3 Levels 1&amp;2'!$AP$77</f>
        <v>5030.6952566221626</v>
      </c>
      <c r="E19" s="1108">
        <f>'Table 3 Levels 1&amp;2'!V20</f>
        <v>0.83509999999999995</v>
      </c>
      <c r="F19" s="1108">
        <f>'Table 3 Levels 1&amp;2'!W20</f>
        <v>0.16489999999999999</v>
      </c>
      <c r="G19" s="1031">
        <f t="shared" si="6"/>
        <v>4201.1336088051676</v>
      </c>
      <c r="H19" s="1087">
        <f t="shared" si="7"/>
        <v>0</v>
      </c>
      <c r="I19" s="1087">
        <f t="shared" si="8"/>
        <v>0</v>
      </c>
      <c r="J19" s="1031">
        <f t="shared" si="9"/>
        <v>829.56164781699454</v>
      </c>
      <c r="K19" s="1112">
        <f t="shared" si="10"/>
        <v>0</v>
      </c>
      <c r="L19" s="1112">
        <f t="shared" si="11"/>
        <v>0</v>
      </c>
      <c r="M19" s="1120">
        <f t="shared" si="12"/>
        <v>0</v>
      </c>
      <c r="N19" s="1120">
        <f t="shared" si="13"/>
        <v>0</v>
      </c>
    </row>
    <row r="20" spans="1:14" ht="12.75" customHeight="1">
      <c r="A20" s="1028">
        <v>14</v>
      </c>
      <c r="B20" s="1029" t="s">
        <v>115</v>
      </c>
      <c r="C20" s="1030"/>
      <c r="D20" s="1031">
        <f>'Table 3 Levels 1&amp;2'!$AP$77</f>
        <v>5030.6952566221626</v>
      </c>
      <c r="E20" s="1108">
        <f>'Table 3 Levels 1&amp;2'!V21</f>
        <v>0.69640000000000002</v>
      </c>
      <c r="F20" s="1108">
        <f>'Table 3 Levels 1&amp;2'!W21</f>
        <v>0.30359999999999998</v>
      </c>
      <c r="G20" s="1031">
        <f t="shared" si="6"/>
        <v>3503.3761767116739</v>
      </c>
      <c r="H20" s="1087">
        <f t="shared" si="7"/>
        <v>0</v>
      </c>
      <c r="I20" s="1087">
        <f t="shared" si="8"/>
        <v>0</v>
      </c>
      <c r="J20" s="1031">
        <f t="shared" si="9"/>
        <v>1527.3190799104884</v>
      </c>
      <c r="K20" s="1112">
        <f t="shared" si="10"/>
        <v>0</v>
      </c>
      <c r="L20" s="1112">
        <f t="shared" si="11"/>
        <v>0</v>
      </c>
      <c r="M20" s="1120">
        <f t="shared" si="12"/>
        <v>0</v>
      </c>
      <c r="N20" s="1120">
        <f t="shared" si="13"/>
        <v>0</v>
      </c>
    </row>
    <row r="21" spans="1:14">
      <c r="A21" s="1032">
        <v>15</v>
      </c>
      <c r="B21" s="1033" t="s">
        <v>116</v>
      </c>
      <c r="C21" s="1034"/>
      <c r="D21" s="1035">
        <f>'Table 3 Levels 1&amp;2'!$AP$77</f>
        <v>5030.6952566221626</v>
      </c>
      <c r="E21" s="1109">
        <f>'Table 3 Levels 1&amp;2'!V22</f>
        <v>0.78459999999999996</v>
      </c>
      <c r="F21" s="1109">
        <f>'Table 3 Levels 1&amp;2'!W22</f>
        <v>0.21540000000000001</v>
      </c>
      <c r="G21" s="1035">
        <f t="shared" si="6"/>
        <v>3947.0834983457485</v>
      </c>
      <c r="H21" s="1090">
        <f t="shared" si="7"/>
        <v>0</v>
      </c>
      <c r="I21" s="1090">
        <f t="shared" si="8"/>
        <v>0</v>
      </c>
      <c r="J21" s="1035">
        <f t="shared" si="9"/>
        <v>1083.6117582764139</v>
      </c>
      <c r="K21" s="1113">
        <f t="shared" si="10"/>
        <v>0</v>
      </c>
      <c r="L21" s="1113">
        <f t="shared" si="11"/>
        <v>0</v>
      </c>
      <c r="M21" s="1121">
        <f t="shared" si="12"/>
        <v>0</v>
      </c>
      <c r="N21" s="1121">
        <f t="shared" si="13"/>
        <v>0</v>
      </c>
    </row>
    <row r="22" spans="1:14">
      <c r="A22" s="1021">
        <v>16</v>
      </c>
      <c r="B22" s="1022" t="s">
        <v>117</v>
      </c>
      <c r="C22" s="1023"/>
      <c r="D22" s="1024">
        <f>'Table 3 Levels 1&amp;2'!$AP$77</f>
        <v>5030.6952566221626</v>
      </c>
      <c r="E22" s="1107">
        <f>'Table 3 Levels 1&amp;2'!V23</f>
        <v>0.25</v>
      </c>
      <c r="F22" s="1107">
        <f>'Table 3 Levels 1&amp;2'!W23</f>
        <v>0.75</v>
      </c>
      <c r="G22" s="1024">
        <f t="shared" si="6"/>
        <v>1257.6738141555406</v>
      </c>
      <c r="H22" s="1025">
        <f t="shared" si="7"/>
        <v>0</v>
      </c>
      <c r="I22" s="1025">
        <f t="shared" si="8"/>
        <v>0</v>
      </c>
      <c r="J22" s="1024">
        <f t="shared" si="9"/>
        <v>3773.0214424666219</v>
      </c>
      <c r="K22" s="1111">
        <f t="shared" si="10"/>
        <v>0</v>
      </c>
      <c r="L22" s="1111">
        <f t="shared" si="11"/>
        <v>0</v>
      </c>
      <c r="M22" s="1119">
        <f t="shared" si="12"/>
        <v>0</v>
      </c>
      <c r="N22" s="1119">
        <f t="shared" si="13"/>
        <v>0</v>
      </c>
    </row>
    <row r="23" spans="1:14">
      <c r="A23" s="1028">
        <v>17</v>
      </c>
      <c r="B23" s="1029" t="s">
        <v>118</v>
      </c>
      <c r="C23" s="1030">
        <f>1*2</f>
        <v>2</v>
      </c>
      <c r="D23" s="1031">
        <f>'Table 3 Levels 1&amp;2'!$AP$77</f>
        <v>5030.6952566221626</v>
      </c>
      <c r="E23" s="1108">
        <f>'Table 3 Levels 1&amp;2'!V24</f>
        <v>0.4914</v>
      </c>
      <c r="F23" s="1108">
        <f>'Table 3 Levels 1&amp;2'!W24</f>
        <v>0.50860000000000005</v>
      </c>
      <c r="G23" s="1031">
        <f t="shared" si="6"/>
        <v>2472.0836491041305</v>
      </c>
      <c r="H23" s="1087">
        <f t="shared" si="7"/>
        <v>4944.1672982082609</v>
      </c>
      <c r="I23" s="1087">
        <f t="shared" si="8"/>
        <v>412</v>
      </c>
      <c r="J23" s="1031">
        <f t="shared" si="9"/>
        <v>2558.6116075180321</v>
      </c>
      <c r="K23" s="1112">
        <f t="shared" si="10"/>
        <v>5117.2232150360642</v>
      </c>
      <c r="L23" s="1112">
        <f t="shared" si="11"/>
        <v>426</v>
      </c>
      <c r="M23" s="1120">
        <f t="shared" si="12"/>
        <v>10061.390513244325</v>
      </c>
      <c r="N23" s="1120">
        <f t="shared" si="13"/>
        <v>838</v>
      </c>
    </row>
    <row r="24" spans="1:14">
      <c r="A24" s="1028">
        <v>18</v>
      </c>
      <c r="B24" s="1029" t="s">
        <v>119</v>
      </c>
      <c r="C24" s="1030"/>
      <c r="D24" s="1031">
        <f>'Table 3 Levels 1&amp;2'!$AP$77</f>
        <v>5030.6952566221626</v>
      </c>
      <c r="E24" s="1108">
        <f>'Table 3 Levels 1&amp;2'!V25</f>
        <v>0.83360000000000001</v>
      </c>
      <c r="F24" s="1108">
        <f>'Table 3 Levels 1&amp;2'!W25</f>
        <v>0.16639999999999999</v>
      </c>
      <c r="G24" s="1031">
        <f t="shared" si="6"/>
        <v>4193.5875659202347</v>
      </c>
      <c r="H24" s="1087">
        <f t="shared" si="7"/>
        <v>0</v>
      </c>
      <c r="I24" s="1087">
        <f t="shared" si="8"/>
        <v>0</v>
      </c>
      <c r="J24" s="1031">
        <f t="shared" si="9"/>
        <v>837.10769070192782</v>
      </c>
      <c r="K24" s="1112">
        <f t="shared" si="10"/>
        <v>0</v>
      </c>
      <c r="L24" s="1112">
        <f t="shared" si="11"/>
        <v>0</v>
      </c>
      <c r="M24" s="1120">
        <f t="shared" si="12"/>
        <v>0</v>
      </c>
      <c r="N24" s="1120">
        <f t="shared" si="13"/>
        <v>0</v>
      </c>
    </row>
    <row r="25" spans="1:14">
      <c r="A25" s="1028">
        <v>19</v>
      </c>
      <c r="B25" s="1029" t="s">
        <v>120</v>
      </c>
      <c r="C25" s="1030"/>
      <c r="D25" s="1031">
        <f>'Table 3 Levels 1&amp;2'!$AP$77</f>
        <v>5030.6952566221626</v>
      </c>
      <c r="E25" s="1108">
        <f>'Table 3 Levels 1&amp;2'!V26</f>
        <v>0.75790000000000002</v>
      </c>
      <c r="F25" s="1108">
        <f>'Table 3 Levels 1&amp;2'!W26</f>
        <v>0.24210000000000001</v>
      </c>
      <c r="G25" s="1031">
        <f t="shared" si="6"/>
        <v>3812.7639349939373</v>
      </c>
      <c r="H25" s="1087">
        <f t="shared" si="7"/>
        <v>0</v>
      </c>
      <c r="I25" s="1087">
        <f t="shared" si="8"/>
        <v>0</v>
      </c>
      <c r="J25" s="1031">
        <f t="shared" si="9"/>
        <v>1217.9313216282255</v>
      </c>
      <c r="K25" s="1112">
        <f t="shared" si="10"/>
        <v>0</v>
      </c>
      <c r="L25" s="1112">
        <f t="shared" si="11"/>
        <v>0</v>
      </c>
      <c r="M25" s="1120">
        <f t="shared" si="12"/>
        <v>0</v>
      </c>
      <c r="N25" s="1120">
        <f t="shared" si="13"/>
        <v>0</v>
      </c>
    </row>
    <row r="26" spans="1:14">
      <c r="A26" s="1032">
        <v>20</v>
      </c>
      <c r="B26" s="1033" t="s">
        <v>121</v>
      </c>
      <c r="C26" s="1034"/>
      <c r="D26" s="1035">
        <f>'Table 3 Levels 1&amp;2'!$AP$77</f>
        <v>5030.6952566221626</v>
      </c>
      <c r="E26" s="1109">
        <f>'Table 3 Levels 1&amp;2'!V27</f>
        <v>0.80759999999999998</v>
      </c>
      <c r="F26" s="1109">
        <f>'Table 3 Levels 1&amp;2'!W27</f>
        <v>0.19239999999999999</v>
      </c>
      <c r="G26" s="1035">
        <f t="shared" si="6"/>
        <v>4062.7894892480585</v>
      </c>
      <c r="H26" s="1090">
        <f t="shared" si="7"/>
        <v>0</v>
      </c>
      <c r="I26" s="1090">
        <f t="shared" si="8"/>
        <v>0</v>
      </c>
      <c r="J26" s="1035">
        <f t="shared" si="9"/>
        <v>967.90576737410402</v>
      </c>
      <c r="K26" s="1113">
        <f t="shared" si="10"/>
        <v>0</v>
      </c>
      <c r="L26" s="1113">
        <f t="shared" si="11"/>
        <v>0</v>
      </c>
      <c r="M26" s="1121">
        <f t="shared" si="12"/>
        <v>0</v>
      </c>
      <c r="N26" s="1121">
        <f t="shared" si="13"/>
        <v>0</v>
      </c>
    </row>
    <row r="27" spans="1:14">
      <c r="A27" s="1021">
        <v>21</v>
      </c>
      <c r="B27" s="1022" t="s">
        <v>122</v>
      </c>
      <c r="C27" s="1023"/>
      <c r="D27" s="1024">
        <f>'Table 3 Levels 1&amp;2'!$AP$77</f>
        <v>5030.6952566221626</v>
      </c>
      <c r="E27" s="1107">
        <f>'Table 3 Levels 1&amp;2'!V28</f>
        <v>0.82709999999999995</v>
      </c>
      <c r="F27" s="1107">
        <f>'Table 3 Levels 1&amp;2'!W28</f>
        <v>0.1729</v>
      </c>
      <c r="G27" s="1024">
        <f t="shared" si="6"/>
        <v>4160.8880467521903</v>
      </c>
      <c r="H27" s="1025">
        <f t="shared" si="7"/>
        <v>0</v>
      </c>
      <c r="I27" s="1025">
        <f t="shared" si="8"/>
        <v>0</v>
      </c>
      <c r="J27" s="1024">
        <f t="shared" si="9"/>
        <v>869.80720986997187</v>
      </c>
      <c r="K27" s="1111">
        <f t="shared" si="10"/>
        <v>0</v>
      </c>
      <c r="L27" s="1111">
        <f t="shared" si="11"/>
        <v>0</v>
      </c>
      <c r="M27" s="1119">
        <f t="shared" si="12"/>
        <v>0</v>
      </c>
      <c r="N27" s="1119">
        <f t="shared" si="13"/>
        <v>0</v>
      </c>
    </row>
    <row r="28" spans="1:14">
      <c r="A28" s="1028">
        <v>22</v>
      </c>
      <c r="B28" s="1029" t="s">
        <v>123</v>
      </c>
      <c r="C28" s="1030"/>
      <c r="D28" s="1031">
        <f>'Table 3 Levels 1&amp;2'!$AP$77</f>
        <v>5030.6952566221626</v>
      </c>
      <c r="E28" s="1108">
        <f>'Table 3 Levels 1&amp;2'!V29</f>
        <v>0.89870000000000005</v>
      </c>
      <c r="F28" s="1108">
        <f>'Table 3 Levels 1&amp;2'!W29</f>
        <v>0.1013</v>
      </c>
      <c r="G28" s="1031">
        <f t="shared" si="6"/>
        <v>4521.0858271263378</v>
      </c>
      <c r="H28" s="1087">
        <f t="shared" si="7"/>
        <v>0</v>
      </c>
      <c r="I28" s="1087">
        <f t="shared" si="8"/>
        <v>0</v>
      </c>
      <c r="J28" s="1031">
        <f t="shared" si="9"/>
        <v>509.60942949582505</v>
      </c>
      <c r="K28" s="1112">
        <f t="shared" si="10"/>
        <v>0</v>
      </c>
      <c r="L28" s="1112">
        <f t="shared" si="11"/>
        <v>0</v>
      </c>
      <c r="M28" s="1120">
        <f t="shared" si="12"/>
        <v>0</v>
      </c>
      <c r="N28" s="1120">
        <f t="shared" si="13"/>
        <v>0</v>
      </c>
    </row>
    <row r="29" spans="1:14">
      <c r="A29" s="1028">
        <v>23</v>
      </c>
      <c r="B29" s="1029" t="s">
        <v>124</v>
      </c>
      <c r="C29" s="1030"/>
      <c r="D29" s="1031">
        <f>'Table 3 Levels 1&amp;2'!$AP$77</f>
        <v>5030.6952566221626</v>
      </c>
      <c r="E29" s="1108">
        <f>'Table 3 Levels 1&amp;2'!V30</f>
        <v>0.7177</v>
      </c>
      <c r="F29" s="1108">
        <f>'Table 3 Levels 1&amp;2'!W30</f>
        <v>0.2823</v>
      </c>
      <c r="G29" s="1031">
        <f t="shared" si="6"/>
        <v>3610.529985677726</v>
      </c>
      <c r="H29" s="1087">
        <f t="shared" si="7"/>
        <v>0</v>
      </c>
      <c r="I29" s="1087">
        <f t="shared" si="8"/>
        <v>0</v>
      </c>
      <c r="J29" s="1031">
        <f t="shared" si="9"/>
        <v>1420.1652709444365</v>
      </c>
      <c r="K29" s="1112">
        <f t="shared" si="10"/>
        <v>0</v>
      </c>
      <c r="L29" s="1112">
        <f t="shared" si="11"/>
        <v>0</v>
      </c>
      <c r="M29" s="1120">
        <f t="shared" si="12"/>
        <v>0</v>
      </c>
      <c r="N29" s="1120">
        <f t="shared" si="13"/>
        <v>0</v>
      </c>
    </row>
    <row r="30" spans="1:14">
      <c r="A30" s="1028">
        <v>24</v>
      </c>
      <c r="B30" s="1029" t="s">
        <v>125</v>
      </c>
      <c r="C30" s="1030"/>
      <c r="D30" s="1031">
        <f>'Table 3 Levels 1&amp;2'!$AP$77</f>
        <v>5030.6952566221626</v>
      </c>
      <c r="E30" s="1108">
        <f>'Table 3 Levels 1&amp;2'!V31</f>
        <v>0.37909999999999999</v>
      </c>
      <c r="F30" s="1108">
        <f>'Table 3 Levels 1&amp;2'!W31</f>
        <v>0.62090000000000001</v>
      </c>
      <c r="G30" s="1031">
        <f t="shared" si="6"/>
        <v>1907.1365717854617</v>
      </c>
      <c r="H30" s="1087">
        <f t="shared" si="7"/>
        <v>0</v>
      </c>
      <c r="I30" s="1087">
        <f t="shared" si="8"/>
        <v>0</v>
      </c>
      <c r="J30" s="1031">
        <f t="shared" si="9"/>
        <v>3123.5586848367006</v>
      </c>
      <c r="K30" s="1112">
        <f t="shared" si="10"/>
        <v>0</v>
      </c>
      <c r="L30" s="1112">
        <f t="shared" si="11"/>
        <v>0</v>
      </c>
      <c r="M30" s="1120">
        <f t="shared" si="12"/>
        <v>0</v>
      </c>
      <c r="N30" s="1120">
        <f t="shared" si="13"/>
        <v>0</v>
      </c>
    </row>
    <row r="31" spans="1:14">
      <c r="A31" s="1032">
        <v>25</v>
      </c>
      <c r="B31" s="1033" t="s">
        <v>126</v>
      </c>
      <c r="C31" s="1034"/>
      <c r="D31" s="1035">
        <f>'Table 3 Levels 1&amp;2'!$AP$77</f>
        <v>5030.6952566221626</v>
      </c>
      <c r="E31" s="1109">
        <f>'Table 3 Levels 1&amp;2'!V32</f>
        <v>0.56850000000000001</v>
      </c>
      <c r="F31" s="1109">
        <f>'Table 3 Levels 1&amp;2'!W32</f>
        <v>0.43149999999999999</v>
      </c>
      <c r="G31" s="1035">
        <f t="shared" si="6"/>
        <v>2859.9502533896994</v>
      </c>
      <c r="H31" s="1090">
        <f t="shared" si="7"/>
        <v>0</v>
      </c>
      <c r="I31" s="1090">
        <f t="shared" si="8"/>
        <v>0</v>
      </c>
      <c r="J31" s="1035">
        <f t="shared" si="9"/>
        <v>2170.7450032324632</v>
      </c>
      <c r="K31" s="1113">
        <f t="shared" si="10"/>
        <v>0</v>
      </c>
      <c r="L31" s="1113">
        <f t="shared" si="11"/>
        <v>0</v>
      </c>
      <c r="M31" s="1121">
        <f t="shared" si="12"/>
        <v>0</v>
      </c>
      <c r="N31" s="1121">
        <f t="shared" si="13"/>
        <v>0</v>
      </c>
    </row>
    <row r="32" spans="1:14">
      <c r="A32" s="1021">
        <v>26</v>
      </c>
      <c r="B32" s="1022" t="s">
        <v>127</v>
      </c>
      <c r="C32" s="1023">
        <v>39</v>
      </c>
      <c r="D32" s="1024">
        <f>'Table 3 Levels 1&amp;2'!$AP$77</f>
        <v>5030.6952566221626</v>
      </c>
      <c r="E32" s="1107">
        <f>'Table 3 Levels 1&amp;2'!V33</f>
        <v>0.45639999999999997</v>
      </c>
      <c r="F32" s="1107">
        <f>'Table 3 Levels 1&amp;2'!W33</f>
        <v>0.54359999999999997</v>
      </c>
      <c r="G32" s="1024">
        <f t="shared" si="6"/>
        <v>2296.009315122355</v>
      </c>
      <c r="H32" s="1025">
        <f t="shared" si="7"/>
        <v>89544.363289771849</v>
      </c>
      <c r="I32" s="1025">
        <f t="shared" si="8"/>
        <v>7462</v>
      </c>
      <c r="J32" s="1024">
        <f t="shared" si="9"/>
        <v>2734.6859414998075</v>
      </c>
      <c r="K32" s="1111">
        <f t="shared" si="10"/>
        <v>106652.75171849249</v>
      </c>
      <c r="L32" s="1111">
        <f t="shared" si="11"/>
        <v>8888</v>
      </c>
      <c r="M32" s="1119">
        <f t="shared" si="12"/>
        <v>196197.11500826434</v>
      </c>
      <c r="N32" s="1119">
        <f t="shared" si="13"/>
        <v>16350</v>
      </c>
    </row>
    <row r="33" spans="1:14">
      <c r="A33" s="1028">
        <v>27</v>
      </c>
      <c r="B33" s="1029" t="s">
        <v>128</v>
      </c>
      <c r="C33" s="1036"/>
      <c r="D33" s="1037">
        <f>'Table 3 Levels 1&amp;2'!$AP$77</f>
        <v>5030.6952566221626</v>
      </c>
      <c r="E33" s="1108">
        <f>'Table 3 Levels 1&amp;2'!V34</f>
        <v>0.78390000000000004</v>
      </c>
      <c r="F33" s="1108">
        <f>'Table 3 Levels 1&amp;2'!W34</f>
        <v>0.21609999999999999</v>
      </c>
      <c r="G33" s="1037">
        <f t="shared" si="6"/>
        <v>3943.5620116661134</v>
      </c>
      <c r="H33" s="1094">
        <f t="shared" si="7"/>
        <v>0</v>
      </c>
      <c r="I33" s="1094">
        <f t="shared" si="8"/>
        <v>0</v>
      </c>
      <c r="J33" s="1037">
        <f t="shared" si="9"/>
        <v>1087.1332449560493</v>
      </c>
      <c r="K33" s="1114">
        <f t="shared" si="10"/>
        <v>0</v>
      </c>
      <c r="L33" s="1114">
        <f t="shared" si="11"/>
        <v>0</v>
      </c>
      <c r="M33" s="1122">
        <f t="shared" si="12"/>
        <v>0</v>
      </c>
      <c r="N33" s="1122">
        <f t="shared" si="13"/>
        <v>0</v>
      </c>
    </row>
    <row r="34" spans="1:14">
      <c r="A34" s="1028">
        <v>28</v>
      </c>
      <c r="B34" s="1029" t="s">
        <v>129</v>
      </c>
      <c r="C34" s="1036"/>
      <c r="D34" s="1037">
        <f>'Table 3 Levels 1&amp;2'!$AP$77</f>
        <v>5030.6952566221626</v>
      </c>
      <c r="E34" s="1108">
        <f>'Table 3 Levels 1&amp;2'!V35</f>
        <v>0.52229999999999999</v>
      </c>
      <c r="F34" s="1108">
        <f>'Table 3 Levels 1&amp;2'!W35</f>
        <v>0.47770000000000001</v>
      </c>
      <c r="G34" s="1037">
        <f t="shared" si="6"/>
        <v>2627.5321325337554</v>
      </c>
      <c r="H34" s="1094">
        <f t="shared" si="7"/>
        <v>0</v>
      </c>
      <c r="I34" s="1094">
        <f t="shared" si="8"/>
        <v>0</v>
      </c>
      <c r="J34" s="1037">
        <f t="shared" si="9"/>
        <v>2403.1631240884071</v>
      </c>
      <c r="K34" s="1114">
        <f t="shared" si="10"/>
        <v>0</v>
      </c>
      <c r="L34" s="1114">
        <f t="shared" si="11"/>
        <v>0</v>
      </c>
      <c r="M34" s="1122">
        <f t="shared" si="12"/>
        <v>0</v>
      </c>
      <c r="N34" s="1122">
        <f t="shared" si="13"/>
        <v>0</v>
      </c>
    </row>
    <row r="35" spans="1:14">
      <c r="A35" s="1028">
        <v>29</v>
      </c>
      <c r="B35" s="1029" t="s">
        <v>130</v>
      </c>
      <c r="C35" s="1036"/>
      <c r="D35" s="1037">
        <f>'Table 3 Levels 1&amp;2'!$AP$77</f>
        <v>5030.6952566221626</v>
      </c>
      <c r="E35" s="1108">
        <f>'Table 3 Levels 1&amp;2'!V36</f>
        <v>0.62649999999999995</v>
      </c>
      <c r="F35" s="1108">
        <f>'Table 3 Levels 1&amp;2'!W36</f>
        <v>0.3735</v>
      </c>
      <c r="G35" s="1037">
        <f t="shared" si="6"/>
        <v>3151.7305782737844</v>
      </c>
      <c r="H35" s="1094">
        <f t="shared" si="7"/>
        <v>0</v>
      </c>
      <c r="I35" s="1094">
        <f t="shared" si="8"/>
        <v>0</v>
      </c>
      <c r="J35" s="1037">
        <f t="shared" si="9"/>
        <v>1878.9646783483777</v>
      </c>
      <c r="K35" s="1114">
        <f t="shared" si="10"/>
        <v>0</v>
      </c>
      <c r="L35" s="1114">
        <f t="shared" si="11"/>
        <v>0</v>
      </c>
      <c r="M35" s="1122">
        <f t="shared" si="12"/>
        <v>0</v>
      </c>
      <c r="N35" s="1122">
        <f t="shared" si="13"/>
        <v>0</v>
      </c>
    </row>
    <row r="36" spans="1:14">
      <c r="A36" s="1032">
        <v>30</v>
      </c>
      <c r="B36" s="1033" t="s">
        <v>131</v>
      </c>
      <c r="C36" s="1038"/>
      <c r="D36" s="1039">
        <f>'Table 3 Levels 1&amp;2'!$AP$77</f>
        <v>5030.6952566221626</v>
      </c>
      <c r="E36" s="1109">
        <f>'Table 3 Levels 1&amp;2'!V37</f>
        <v>0.78869999999999996</v>
      </c>
      <c r="F36" s="1109">
        <f>'Table 3 Levels 1&amp;2'!W37</f>
        <v>0.21129999999999999</v>
      </c>
      <c r="G36" s="1039">
        <f t="shared" si="6"/>
        <v>3967.7093488978994</v>
      </c>
      <c r="H36" s="1095">
        <f t="shared" si="7"/>
        <v>0</v>
      </c>
      <c r="I36" s="1095">
        <f t="shared" si="8"/>
        <v>0</v>
      </c>
      <c r="J36" s="1039">
        <f t="shared" si="9"/>
        <v>1062.9859077242629</v>
      </c>
      <c r="K36" s="1115">
        <f t="shared" si="10"/>
        <v>0</v>
      </c>
      <c r="L36" s="1115">
        <f t="shared" si="11"/>
        <v>0</v>
      </c>
      <c r="M36" s="1123">
        <f t="shared" si="12"/>
        <v>0</v>
      </c>
      <c r="N36" s="1123">
        <f t="shared" si="13"/>
        <v>0</v>
      </c>
    </row>
    <row r="37" spans="1:14">
      <c r="A37" s="1021">
        <v>31</v>
      </c>
      <c r="B37" s="1022" t="s">
        <v>132</v>
      </c>
      <c r="C37" s="1040"/>
      <c r="D37" s="1041">
        <f>'Table 3 Levels 1&amp;2'!$AP$77</f>
        <v>5030.6952566221626</v>
      </c>
      <c r="E37" s="1107">
        <f>'Table 3 Levels 1&amp;2'!V38</f>
        <v>0.63280000000000003</v>
      </c>
      <c r="F37" s="1107">
        <f>'Table 3 Levels 1&amp;2'!W38</f>
        <v>0.36720000000000003</v>
      </c>
      <c r="G37" s="1041">
        <f t="shared" si="6"/>
        <v>3183.4239583905046</v>
      </c>
      <c r="H37" s="1096">
        <f t="shared" si="7"/>
        <v>0</v>
      </c>
      <c r="I37" s="1096">
        <f t="shared" si="8"/>
        <v>0</v>
      </c>
      <c r="J37" s="1041">
        <f t="shared" si="9"/>
        <v>1847.2712982316582</v>
      </c>
      <c r="K37" s="1116">
        <f t="shared" si="10"/>
        <v>0</v>
      </c>
      <c r="L37" s="1116">
        <f t="shared" si="11"/>
        <v>0</v>
      </c>
      <c r="M37" s="1124">
        <f t="shared" si="12"/>
        <v>0</v>
      </c>
      <c r="N37" s="1124">
        <f t="shared" si="13"/>
        <v>0</v>
      </c>
    </row>
    <row r="38" spans="1:14">
      <c r="A38" s="1028">
        <v>32</v>
      </c>
      <c r="B38" s="1029" t="s">
        <v>133</v>
      </c>
      <c r="C38" s="1036"/>
      <c r="D38" s="1037">
        <f>'Table 3 Levels 1&amp;2'!$AP$77</f>
        <v>5030.6952566221626</v>
      </c>
      <c r="E38" s="1108">
        <f>'Table 3 Levels 1&amp;2'!V39</f>
        <v>0.85340000000000005</v>
      </c>
      <c r="F38" s="1108">
        <f>'Table 3 Levels 1&amp;2'!W39</f>
        <v>0.14660000000000001</v>
      </c>
      <c r="G38" s="1037">
        <f t="shared" si="6"/>
        <v>4293.1953320013536</v>
      </c>
      <c r="H38" s="1094">
        <f t="shared" si="7"/>
        <v>0</v>
      </c>
      <c r="I38" s="1094">
        <f t="shared" si="8"/>
        <v>0</v>
      </c>
      <c r="J38" s="1037">
        <f t="shared" si="9"/>
        <v>737.49992462080911</v>
      </c>
      <c r="K38" s="1114">
        <f t="shared" si="10"/>
        <v>0</v>
      </c>
      <c r="L38" s="1114">
        <f t="shared" si="11"/>
        <v>0</v>
      </c>
      <c r="M38" s="1122">
        <f t="shared" si="12"/>
        <v>0</v>
      </c>
      <c r="N38" s="1122">
        <f t="shared" si="13"/>
        <v>0</v>
      </c>
    </row>
    <row r="39" spans="1:14">
      <c r="A39" s="1028">
        <v>33</v>
      </c>
      <c r="B39" s="1029" t="s">
        <v>134</v>
      </c>
      <c r="C39" s="1036"/>
      <c r="D39" s="1037">
        <f>'Table 3 Levels 1&amp;2'!$AP$77</f>
        <v>5030.6952566221626</v>
      </c>
      <c r="E39" s="1108">
        <f>'Table 3 Levels 1&amp;2'!V40</f>
        <v>0.75719999999999998</v>
      </c>
      <c r="F39" s="1108">
        <f>'Table 3 Levels 1&amp;2'!W40</f>
        <v>0.24279999999999999</v>
      </c>
      <c r="G39" s="1037">
        <f t="shared" si="6"/>
        <v>3809.2424483143013</v>
      </c>
      <c r="H39" s="1094">
        <f t="shared" si="7"/>
        <v>0</v>
      </c>
      <c r="I39" s="1094">
        <f t="shared" si="8"/>
        <v>0</v>
      </c>
      <c r="J39" s="1037">
        <f t="shared" si="9"/>
        <v>1221.452808307861</v>
      </c>
      <c r="K39" s="1114">
        <f t="shared" si="10"/>
        <v>0</v>
      </c>
      <c r="L39" s="1114">
        <f t="shared" si="11"/>
        <v>0</v>
      </c>
      <c r="M39" s="1122">
        <f t="shared" si="12"/>
        <v>0</v>
      </c>
      <c r="N39" s="1122">
        <f t="shared" si="13"/>
        <v>0</v>
      </c>
    </row>
    <row r="40" spans="1:14">
      <c r="A40" s="1028">
        <v>34</v>
      </c>
      <c r="B40" s="1029" t="s">
        <v>135</v>
      </c>
      <c r="C40" s="1036"/>
      <c r="D40" s="1037">
        <f>'Table 3 Levels 1&amp;2'!$AP$77</f>
        <v>5030.6952566221626</v>
      </c>
      <c r="E40" s="1108">
        <f>'Table 3 Levels 1&amp;2'!V41</f>
        <v>0.79210000000000003</v>
      </c>
      <c r="F40" s="1108">
        <f>'Table 3 Levels 1&amp;2'!W41</f>
        <v>0.2079</v>
      </c>
      <c r="G40" s="1037">
        <f t="shared" si="6"/>
        <v>3984.8137127704149</v>
      </c>
      <c r="H40" s="1094">
        <f t="shared" si="7"/>
        <v>0</v>
      </c>
      <c r="I40" s="1094">
        <f t="shared" si="8"/>
        <v>0</v>
      </c>
      <c r="J40" s="1037">
        <f t="shared" si="9"/>
        <v>1045.8815438517477</v>
      </c>
      <c r="K40" s="1114">
        <f t="shared" si="10"/>
        <v>0</v>
      </c>
      <c r="L40" s="1114">
        <f t="shared" si="11"/>
        <v>0</v>
      </c>
      <c r="M40" s="1122">
        <f t="shared" si="12"/>
        <v>0</v>
      </c>
      <c r="N40" s="1122">
        <f t="shared" si="13"/>
        <v>0</v>
      </c>
    </row>
    <row r="41" spans="1:14">
      <c r="A41" s="1032">
        <v>35</v>
      </c>
      <c r="B41" s="1033" t="s">
        <v>136</v>
      </c>
      <c r="C41" s="1038"/>
      <c r="D41" s="1039">
        <f>'Table 3 Levels 1&amp;2'!$AP$77</f>
        <v>5030.6952566221626</v>
      </c>
      <c r="E41" s="1109">
        <f>'Table 3 Levels 1&amp;2'!V42</f>
        <v>0.70950000000000002</v>
      </c>
      <c r="F41" s="1109">
        <f>'Table 3 Levels 1&amp;2'!W42</f>
        <v>0.29049999999999998</v>
      </c>
      <c r="G41" s="1039">
        <f t="shared" si="6"/>
        <v>3569.2782845734246</v>
      </c>
      <c r="H41" s="1095">
        <f t="shared" si="7"/>
        <v>0</v>
      </c>
      <c r="I41" s="1095">
        <f t="shared" si="8"/>
        <v>0</v>
      </c>
      <c r="J41" s="1039">
        <f t="shared" si="9"/>
        <v>1461.4169720487382</v>
      </c>
      <c r="K41" s="1115">
        <f t="shared" si="10"/>
        <v>0</v>
      </c>
      <c r="L41" s="1115">
        <f t="shared" si="11"/>
        <v>0</v>
      </c>
      <c r="M41" s="1123">
        <f t="shared" si="12"/>
        <v>0</v>
      </c>
      <c r="N41" s="1123">
        <f t="shared" si="13"/>
        <v>0</v>
      </c>
    </row>
    <row r="42" spans="1:14">
      <c r="A42" s="1021">
        <v>36</v>
      </c>
      <c r="B42" s="1022" t="s">
        <v>137</v>
      </c>
      <c r="C42" s="1040">
        <v>48</v>
      </c>
      <c r="D42" s="1041">
        <f>'Table 3 Levels 1&amp;2'!$AP$77</f>
        <v>5030.6952566221626</v>
      </c>
      <c r="E42" s="1107">
        <f>'Table 3 Levels 1&amp;2'!V43</f>
        <v>0.54549999999999998</v>
      </c>
      <c r="F42" s="1107">
        <f>'Table 3 Levels 1&amp;2'!W43</f>
        <v>0.45450000000000002</v>
      </c>
      <c r="G42" s="1041">
        <f t="shared" si="6"/>
        <v>2744.2442624873897</v>
      </c>
      <c r="H42" s="1096">
        <f t="shared" si="7"/>
        <v>131723.72459939471</v>
      </c>
      <c r="I42" s="1096">
        <f t="shared" si="8"/>
        <v>10977</v>
      </c>
      <c r="J42" s="1041">
        <f t="shared" si="9"/>
        <v>2286.4509941347728</v>
      </c>
      <c r="K42" s="1116">
        <f t="shared" si="10"/>
        <v>109749.64771846909</v>
      </c>
      <c r="L42" s="1116">
        <f t="shared" si="11"/>
        <v>9146</v>
      </c>
      <c r="M42" s="1124">
        <f t="shared" si="12"/>
        <v>241473.3723178638</v>
      </c>
      <c r="N42" s="1124">
        <f t="shared" si="13"/>
        <v>20123</v>
      </c>
    </row>
    <row r="43" spans="1:14">
      <c r="A43" s="1028">
        <v>37</v>
      </c>
      <c r="B43" s="1029" t="s">
        <v>138</v>
      </c>
      <c r="C43" s="1036"/>
      <c r="D43" s="1037">
        <f>'Table 3 Levels 1&amp;2'!$AP$77</f>
        <v>5030.6952566221626</v>
      </c>
      <c r="E43" s="1108">
        <f>'Table 3 Levels 1&amp;2'!V44</f>
        <v>0.79600000000000004</v>
      </c>
      <c r="F43" s="1108">
        <f>'Table 3 Levels 1&amp;2'!W44</f>
        <v>0.20399999999999999</v>
      </c>
      <c r="G43" s="1037">
        <f t="shared" si="6"/>
        <v>4004.4334242712416</v>
      </c>
      <c r="H43" s="1094">
        <f t="shared" si="7"/>
        <v>0</v>
      </c>
      <c r="I43" s="1094">
        <f t="shared" si="8"/>
        <v>0</v>
      </c>
      <c r="J43" s="1037">
        <f t="shared" si="9"/>
        <v>1026.2618323509212</v>
      </c>
      <c r="K43" s="1114">
        <f t="shared" si="10"/>
        <v>0</v>
      </c>
      <c r="L43" s="1114">
        <f t="shared" si="11"/>
        <v>0</v>
      </c>
      <c r="M43" s="1122">
        <f t="shared" si="12"/>
        <v>0</v>
      </c>
      <c r="N43" s="1122">
        <f t="shared" si="13"/>
        <v>0</v>
      </c>
    </row>
    <row r="44" spans="1:14">
      <c r="A44" s="1028">
        <v>38</v>
      </c>
      <c r="B44" s="1029" t="s">
        <v>139</v>
      </c>
      <c r="C44" s="1036"/>
      <c r="D44" s="1037">
        <f>'Table 3 Levels 1&amp;2'!$AP$77</f>
        <v>5030.6952566221626</v>
      </c>
      <c r="E44" s="1108">
        <f>'Table 3 Levels 1&amp;2'!V45</f>
        <v>0.25</v>
      </c>
      <c r="F44" s="1108">
        <f>'Table 3 Levels 1&amp;2'!W45</f>
        <v>0.75</v>
      </c>
      <c r="G44" s="1037">
        <f t="shared" si="6"/>
        <v>1257.6738141555406</v>
      </c>
      <c r="H44" s="1094">
        <f t="shared" si="7"/>
        <v>0</v>
      </c>
      <c r="I44" s="1094">
        <f t="shared" si="8"/>
        <v>0</v>
      </c>
      <c r="J44" s="1037">
        <f t="shared" si="9"/>
        <v>3773.0214424666219</v>
      </c>
      <c r="K44" s="1114">
        <f t="shared" si="10"/>
        <v>0</v>
      </c>
      <c r="L44" s="1114">
        <f t="shared" si="11"/>
        <v>0</v>
      </c>
      <c r="M44" s="1122">
        <f t="shared" si="12"/>
        <v>0</v>
      </c>
      <c r="N44" s="1122">
        <f t="shared" si="13"/>
        <v>0</v>
      </c>
    </row>
    <row r="45" spans="1:14">
      <c r="A45" s="1028">
        <v>39</v>
      </c>
      <c r="B45" s="1029" t="s">
        <v>140</v>
      </c>
      <c r="C45" s="1036"/>
      <c r="D45" s="1037">
        <f>'Table 3 Levels 1&amp;2'!$AP$77</f>
        <v>5030.6952566221626</v>
      </c>
      <c r="E45" s="1108">
        <f>'Table 3 Levels 1&amp;2'!V46</f>
        <v>0.52159999999999995</v>
      </c>
      <c r="F45" s="1108">
        <f>'Table 3 Levels 1&amp;2'!W46</f>
        <v>0.47839999999999999</v>
      </c>
      <c r="G45" s="1037">
        <f t="shared" si="6"/>
        <v>2624.01064585412</v>
      </c>
      <c r="H45" s="1094">
        <f t="shared" si="7"/>
        <v>0</v>
      </c>
      <c r="I45" s="1094">
        <f t="shared" si="8"/>
        <v>0</v>
      </c>
      <c r="J45" s="1037">
        <f t="shared" si="9"/>
        <v>2406.6846107680426</v>
      </c>
      <c r="K45" s="1114">
        <f t="shared" si="10"/>
        <v>0</v>
      </c>
      <c r="L45" s="1114">
        <f t="shared" si="11"/>
        <v>0</v>
      </c>
      <c r="M45" s="1122">
        <f t="shared" si="12"/>
        <v>0</v>
      </c>
      <c r="N45" s="1122">
        <f t="shared" si="13"/>
        <v>0</v>
      </c>
    </row>
    <row r="46" spans="1:14">
      <c r="A46" s="1032">
        <v>40</v>
      </c>
      <c r="B46" s="1033" t="s">
        <v>141</v>
      </c>
      <c r="C46" s="1038"/>
      <c r="D46" s="1039">
        <f>'Table 3 Levels 1&amp;2'!$AP$77</f>
        <v>5030.6952566221626</v>
      </c>
      <c r="E46" s="1109">
        <f>'Table 3 Levels 1&amp;2'!V47</f>
        <v>0.73929999999999996</v>
      </c>
      <c r="F46" s="1109">
        <f>'Table 3 Levels 1&amp;2'!W47</f>
        <v>0.26069999999999999</v>
      </c>
      <c r="G46" s="1039">
        <f t="shared" si="6"/>
        <v>3719.1930032207647</v>
      </c>
      <c r="H46" s="1095">
        <f t="shared" si="7"/>
        <v>0</v>
      </c>
      <c r="I46" s="1095">
        <f t="shared" si="8"/>
        <v>0</v>
      </c>
      <c r="J46" s="1039">
        <f t="shared" si="9"/>
        <v>1311.5022534013976</v>
      </c>
      <c r="K46" s="1115">
        <f t="shared" si="10"/>
        <v>0</v>
      </c>
      <c r="L46" s="1115">
        <f t="shared" si="11"/>
        <v>0</v>
      </c>
      <c r="M46" s="1123">
        <f t="shared" si="12"/>
        <v>0</v>
      </c>
      <c r="N46" s="1123">
        <f t="shared" si="13"/>
        <v>0</v>
      </c>
    </row>
    <row r="47" spans="1:14">
      <c r="A47" s="1021">
        <v>41</v>
      </c>
      <c r="B47" s="1022" t="s">
        <v>142</v>
      </c>
      <c r="C47" s="1040"/>
      <c r="D47" s="1041">
        <f>'Table 3 Levels 1&amp;2'!$AP$77</f>
        <v>5030.6952566221626</v>
      </c>
      <c r="E47" s="1107">
        <f>'Table 3 Levels 1&amp;2'!V48</f>
        <v>0.25</v>
      </c>
      <c r="F47" s="1107">
        <f>'Table 3 Levels 1&amp;2'!W48</f>
        <v>0.75</v>
      </c>
      <c r="G47" s="1041">
        <f t="shared" si="6"/>
        <v>1257.6738141555406</v>
      </c>
      <c r="H47" s="1096">
        <f t="shared" si="7"/>
        <v>0</v>
      </c>
      <c r="I47" s="1096">
        <f t="shared" si="8"/>
        <v>0</v>
      </c>
      <c r="J47" s="1041">
        <f t="shared" si="9"/>
        <v>3773.0214424666219</v>
      </c>
      <c r="K47" s="1116">
        <f t="shared" si="10"/>
        <v>0</v>
      </c>
      <c r="L47" s="1116">
        <f t="shared" si="11"/>
        <v>0</v>
      </c>
      <c r="M47" s="1124">
        <f t="shared" si="12"/>
        <v>0</v>
      </c>
      <c r="N47" s="1124">
        <f t="shared" si="13"/>
        <v>0</v>
      </c>
    </row>
    <row r="48" spans="1:14">
      <c r="A48" s="1028">
        <v>42</v>
      </c>
      <c r="B48" s="1029" t="s">
        <v>143</v>
      </c>
      <c r="C48" s="1036"/>
      <c r="D48" s="1037">
        <f>'Table 3 Levels 1&amp;2'!$AP$77</f>
        <v>5030.6952566221626</v>
      </c>
      <c r="E48" s="1108">
        <f>'Table 3 Levels 1&amp;2'!V49</f>
        <v>0.76149999999999995</v>
      </c>
      <c r="F48" s="1108">
        <f>'Table 3 Levels 1&amp;2'!W49</f>
        <v>0.23849999999999999</v>
      </c>
      <c r="G48" s="1037">
        <f t="shared" si="6"/>
        <v>3830.8744379177765</v>
      </c>
      <c r="H48" s="1094">
        <f t="shared" si="7"/>
        <v>0</v>
      </c>
      <c r="I48" s="1094">
        <f t="shared" si="8"/>
        <v>0</v>
      </c>
      <c r="J48" s="1037">
        <f t="shared" si="9"/>
        <v>1199.8208187043858</v>
      </c>
      <c r="K48" s="1114">
        <f t="shared" si="10"/>
        <v>0</v>
      </c>
      <c r="L48" s="1114">
        <f t="shared" si="11"/>
        <v>0</v>
      </c>
      <c r="M48" s="1122">
        <f t="shared" si="12"/>
        <v>0</v>
      </c>
      <c r="N48" s="1122">
        <f t="shared" si="13"/>
        <v>0</v>
      </c>
    </row>
    <row r="49" spans="1:14">
      <c r="A49" s="1028">
        <v>43</v>
      </c>
      <c r="B49" s="1029" t="s">
        <v>144</v>
      </c>
      <c r="C49" s="1036"/>
      <c r="D49" s="1037">
        <f>'Table 3 Levels 1&amp;2'!$AP$77</f>
        <v>5030.6952566221626</v>
      </c>
      <c r="E49" s="1108">
        <f>'Table 3 Levels 1&amp;2'!V50</f>
        <v>0.75419999999999998</v>
      </c>
      <c r="F49" s="1108">
        <f>'Table 3 Levels 1&amp;2'!W50</f>
        <v>0.24579999999999999</v>
      </c>
      <c r="G49" s="1037">
        <f t="shared" si="6"/>
        <v>3794.1503625444348</v>
      </c>
      <c r="H49" s="1094">
        <f t="shared" si="7"/>
        <v>0</v>
      </c>
      <c r="I49" s="1094">
        <f t="shared" si="8"/>
        <v>0</v>
      </c>
      <c r="J49" s="1037">
        <f t="shared" si="9"/>
        <v>1236.5448940777276</v>
      </c>
      <c r="K49" s="1114">
        <f t="shared" si="10"/>
        <v>0</v>
      </c>
      <c r="L49" s="1114">
        <f t="shared" si="11"/>
        <v>0</v>
      </c>
      <c r="M49" s="1122">
        <f t="shared" si="12"/>
        <v>0</v>
      </c>
      <c r="N49" s="1122">
        <f t="shared" si="13"/>
        <v>0</v>
      </c>
    </row>
    <row r="50" spans="1:14">
      <c r="A50" s="1028">
        <v>44</v>
      </c>
      <c r="B50" s="1029" t="s">
        <v>145</v>
      </c>
      <c r="C50" s="1036">
        <v>9</v>
      </c>
      <c r="D50" s="1037">
        <f>'Table 3 Levels 1&amp;2'!$AP$77</f>
        <v>5030.6952566221626</v>
      </c>
      <c r="E50" s="1108">
        <f>'Table 3 Levels 1&amp;2'!V51</f>
        <v>0.61629999999999996</v>
      </c>
      <c r="F50" s="1108">
        <f>'Table 3 Levels 1&amp;2'!W51</f>
        <v>0.38369999999999999</v>
      </c>
      <c r="G50" s="1037">
        <f t="shared" si="6"/>
        <v>3100.4174866562385</v>
      </c>
      <c r="H50" s="1094">
        <f t="shared" si="7"/>
        <v>27903.757379906147</v>
      </c>
      <c r="I50" s="1094">
        <f t="shared" si="8"/>
        <v>2325</v>
      </c>
      <c r="J50" s="1037">
        <f t="shared" si="9"/>
        <v>1930.2777699659237</v>
      </c>
      <c r="K50" s="1114">
        <f t="shared" si="10"/>
        <v>17372.499929693313</v>
      </c>
      <c r="L50" s="1114">
        <f t="shared" si="11"/>
        <v>1448</v>
      </c>
      <c r="M50" s="1122">
        <f t="shared" si="12"/>
        <v>45276.257309599459</v>
      </c>
      <c r="N50" s="1122">
        <f t="shared" si="13"/>
        <v>3773</v>
      </c>
    </row>
    <row r="51" spans="1:14">
      <c r="A51" s="1032">
        <v>45</v>
      </c>
      <c r="B51" s="1033" t="s">
        <v>146</v>
      </c>
      <c r="C51" s="1038">
        <v>7</v>
      </c>
      <c r="D51" s="1039">
        <f>'Table 3 Levels 1&amp;2'!$AP$77</f>
        <v>5030.6952566221626</v>
      </c>
      <c r="E51" s="1109">
        <f>'Table 3 Levels 1&amp;2'!V52</f>
        <v>0.35160000000000002</v>
      </c>
      <c r="F51" s="1109">
        <f>'Table 3 Levels 1&amp;2'!W52</f>
        <v>0.64839999999999998</v>
      </c>
      <c r="G51" s="1039">
        <f t="shared" si="6"/>
        <v>1768.7924522283524</v>
      </c>
      <c r="H51" s="1095">
        <f t="shared" si="7"/>
        <v>12381.547165598467</v>
      </c>
      <c r="I51" s="1095">
        <f t="shared" si="8"/>
        <v>1032</v>
      </c>
      <c r="J51" s="1039">
        <f t="shared" si="9"/>
        <v>3261.9028043938101</v>
      </c>
      <c r="K51" s="1115">
        <f t="shared" si="10"/>
        <v>22833.319630756672</v>
      </c>
      <c r="L51" s="1115">
        <f t="shared" si="11"/>
        <v>1903</v>
      </c>
      <c r="M51" s="1123">
        <f t="shared" si="12"/>
        <v>35214.866796355142</v>
      </c>
      <c r="N51" s="1123">
        <f t="shared" si="13"/>
        <v>2935</v>
      </c>
    </row>
    <row r="52" spans="1:14">
      <c r="A52" s="1021">
        <v>46</v>
      </c>
      <c r="B52" s="1022" t="s">
        <v>147</v>
      </c>
      <c r="C52" s="1040"/>
      <c r="D52" s="1041">
        <f>'Table 3 Levels 1&amp;2'!$AP$77</f>
        <v>5030.6952566221626</v>
      </c>
      <c r="E52" s="1107">
        <f>'Table 3 Levels 1&amp;2'!V53</f>
        <v>0.81940000000000002</v>
      </c>
      <c r="F52" s="1107">
        <f>'Table 3 Levels 1&amp;2'!W53</f>
        <v>0.18060000000000001</v>
      </c>
      <c r="G52" s="1041">
        <f t="shared" si="6"/>
        <v>4122.1516932761997</v>
      </c>
      <c r="H52" s="1096">
        <f t="shared" si="7"/>
        <v>0</v>
      </c>
      <c r="I52" s="1096">
        <f t="shared" si="8"/>
        <v>0</v>
      </c>
      <c r="J52" s="1041">
        <f t="shared" si="9"/>
        <v>908.54356334596264</v>
      </c>
      <c r="K52" s="1116">
        <f t="shared" si="10"/>
        <v>0</v>
      </c>
      <c r="L52" s="1116">
        <f t="shared" si="11"/>
        <v>0</v>
      </c>
      <c r="M52" s="1124">
        <f t="shared" si="12"/>
        <v>0</v>
      </c>
      <c r="N52" s="1124">
        <f t="shared" si="13"/>
        <v>0</v>
      </c>
    </row>
    <row r="53" spans="1:14">
      <c r="A53" s="1028">
        <v>47</v>
      </c>
      <c r="B53" s="1029" t="s">
        <v>148</v>
      </c>
      <c r="C53" s="1036"/>
      <c r="D53" s="1037">
        <f>'Table 3 Levels 1&amp;2'!$AP$77</f>
        <v>5030.6952566221626</v>
      </c>
      <c r="E53" s="1108">
        <f>'Table 3 Levels 1&amp;2'!V54</f>
        <v>0.44890000000000002</v>
      </c>
      <c r="F53" s="1108">
        <f>'Table 3 Levels 1&amp;2'!W54</f>
        <v>0.55110000000000003</v>
      </c>
      <c r="G53" s="1037">
        <f t="shared" si="6"/>
        <v>2258.279100697689</v>
      </c>
      <c r="H53" s="1094">
        <f t="shared" si="7"/>
        <v>0</v>
      </c>
      <c r="I53" s="1094">
        <f t="shared" si="8"/>
        <v>0</v>
      </c>
      <c r="J53" s="1037">
        <f t="shared" si="9"/>
        <v>2772.416155924474</v>
      </c>
      <c r="K53" s="1114">
        <f t="shared" si="10"/>
        <v>0</v>
      </c>
      <c r="L53" s="1114">
        <f t="shared" si="11"/>
        <v>0</v>
      </c>
      <c r="M53" s="1122">
        <f t="shared" si="12"/>
        <v>0</v>
      </c>
      <c r="N53" s="1122">
        <f t="shared" si="13"/>
        <v>0</v>
      </c>
    </row>
    <row r="54" spans="1:14">
      <c r="A54" s="1028">
        <v>48</v>
      </c>
      <c r="B54" s="1029" t="s">
        <v>222</v>
      </c>
      <c r="C54" s="1036"/>
      <c r="D54" s="1037">
        <f>'Table 3 Levels 1&amp;2'!$AP$77</f>
        <v>5030.6952566221626</v>
      </c>
      <c r="E54" s="1108">
        <f>'Table 3 Levels 1&amp;2'!V55</f>
        <v>0.61929999999999996</v>
      </c>
      <c r="F54" s="1108">
        <f>'Table 3 Levels 1&amp;2'!W55</f>
        <v>0.38069999999999998</v>
      </c>
      <c r="G54" s="1037">
        <f t="shared" si="6"/>
        <v>3115.509572426105</v>
      </c>
      <c r="H54" s="1094">
        <f t="shared" si="7"/>
        <v>0</v>
      </c>
      <c r="I54" s="1094">
        <f t="shared" si="8"/>
        <v>0</v>
      </c>
      <c r="J54" s="1037">
        <f t="shared" si="9"/>
        <v>1915.1856841960573</v>
      </c>
      <c r="K54" s="1114">
        <f t="shared" si="10"/>
        <v>0</v>
      </c>
      <c r="L54" s="1114">
        <f t="shared" si="11"/>
        <v>0</v>
      </c>
      <c r="M54" s="1122">
        <f t="shared" si="12"/>
        <v>0</v>
      </c>
      <c r="N54" s="1122">
        <f t="shared" si="13"/>
        <v>0</v>
      </c>
    </row>
    <row r="55" spans="1:14">
      <c r="A55" s="1028">
        <v>49</v>
      </c>
      <c r="B55" s="1029" t="s">
        <v>149</v>
      </c>
      <c r="C55" s="1036"/>
      <c r="D55" s="1037">
        <f>'Table 3 Levels 1&amp;2'!$AP$77</f>
        <v>5030.6952566221626</v>
      </c>
      <c r="E55" s="1108">
        <f>'Table 3 Levels 1&amp;2'!V56</f>
        <v>0.76070000000000004</v>
      </c>
      <c r="F55" s="1108">
        <f>'Table 3 Levels 1&amp;2'!W56</f>
        <v>0.23930000000000001</v>
      </c>
      <c r="G55" s="1037">
        <f t="shared" si="6"/>
        <v>3826.8498817124791</v>
      </c>
      <c r="H55" s="1094">
        <f t="shared" si="7"/>
        <v>0</v>
      </c>
      <c r="I55" s="1094">
        <f t="shared" si="8"/>
        <v>0</v>
      </c>
      <c r="J55" s="1037">
        <f t="shared" si="9"/>
        <v>1203.8453749096836</v>
      </c>
      <c r="K55" s="1114">
        <f t="shared" si="10"/>
        <v>0</v>
      </c>
      <c r="L55" s="1114">
        <f t="shared" si="11"/>
        <v>0</v>
      </c>
      <c r="M55" s="1122">
        <f t="shared" si="12"/>
        <v>0</v>
      </c>
      <c r="N55" s="1122">
        <f t="shared" si="13"/>
        <v>0</v>
      </c>
    </row>
    <row r="56" spans="1:14">
      <c r="A56" s="1032">
        <v>50</v>
      </c>
      <c r="B56" s="1033" t="s">
        <v>150</v>
      </c>
      <c r="C56" s="1038"/>
      <c r="D56" s="1039">
        <f>'Table 3 Levels 1&amp;2'!$AP$77</f>
        <v>5030.6952566221626</v>
      </c>
      <c r="E56" s="1109">
        <f>'Table 3 Levels 1&amp;2'!V57</f>
        <v>0.76700000000000002</v>
      </c>
      <c r="F56" s="1109">
        <f>'Table 3 Levels 1&amp;2'!W57</f>
        <v>0.23300000000000001</v>
      </c>
      <c r="G56" s="1039">
        <f t="shared" si="6"/>
        <v>3858.5432618291989</v>
      </c>
      <c r="H56" s="1095">
        <f t="shared" si="7"/>
        <v>0</v>
      </c>
      <c r="I56" s="1095">
        <f t="shared" si="8"/>
        <v>0</v>
      </c>
      <c r="J56" s="1039">
        <f t="shared" si="9"/>
        <v>1172.1519947929639</v>
      </c>
      <c r="K56" s="1115">
        <f t="shared" si="10"/>
        <v>0</v>
      </c>
      <c r="L56" s="1115">
        <f t="shared" si="11"/>
        <v>0</v>
      </c>
      <c r="M56" s="1123">
        <f t="shared" si="12"/>
        <v>0</v>
      </c>
      <c r="N56" s="1123">
        <f t="shared" si="13"/>
        <v>0</v>
      </c>
    </row>
    <row r="57" spans="1:14">
      <c r="A57" s="1021">
        <v>51</v>
      </c>
      <c r="B57" s="1022" t="s">
        <v>151</v>
      </c>
      <c r="C57" s="1040"/>
      <c r="D57" s="1041">
        <f>'Table 3 Levels 1&amp;2'!$AP$77</f>
        <v>5030.6952566221626</v>
      </c>
      <c r="E57" s="1107">
        <f>'Table 3 Levels 1&amp;2'!V58</f>
        <v>0.63800000000000001</v>
      </c>
      <c r="F57" s="1107">
        <f>'Table 3 Levels 1&amp;2'!W58</f>
        <v>0.36199999999999999</v>
      </c>
      <c r="G57" s="1041">
        <f t="shared" si="6"/>
        <v>3209.5835737249399</v>
      </c>
      <c r="H57" s="1096">
        <f t="shared" si="7"/>
        <v>0</v>
      </c>
      <c r="I57" s="1096">
        <f t="shared" si="8"/>
        <v>0</v>
      </c>
      <c r="J57" s="1041">
        <f t="shared" si="9"/>
        <v>1821.1116828972229</v>
      </c>
      <c r="K57" s="1116">
        <f t="shared" si="10"/>
        <v>0</v>
      </c>
      <c r="L57" s="1116">
        <f t="shared" si="11"/>
        <v>0</v>
      </c>
      <c r="M57" s="1124">
        <f t="shared" si="12"/>
        <v>0</v>
      </c>
      <c r="N57" s="1124">
        <f t="shared" si="13"/>
        <v>0</v>
      </c>
    </row>
    <row r="58" spans="1:14">
      <c r="A58" s="1028">
        <v>52</v>
      </c>
      <c r="B58" s="1029" t="s">
        <v>152</v>
      </c>
      <c r="C58" s="1036">
        <v>7</v>
      </c>
      <c r="D58" s="1037">
        <f>'Table 3 Levels 1&amp;2'!$AP$77</f>
        <v>5030.6952566221626</v>
      </c>
      <c r="E58" s="1108">
        <f>'Table 3 Levels 1&amp;2'!V59</f>
        <v>0.69810000000000005</v>
      </c>
      <c r="F58" s="1108">
        <f>'Table 3 Levels 1&amp;2'!W59</f>
        <v>0.3019</v>
      </c>
      <c r="G58" s="1037">
        <f t="shared" si="6"/>
        <v>3511.9283586479319</v>
      </c>
      <c r="H58" s="1094">
        <f t="shared" si="7"/>
        <v>24583.498510535523</v>
      </c>
      <c r="I58" s="1094">
        <f t="shared" si="8"/>
        <v>2049</v>
      </c>
      <c r="J58" s="1037">
        <f t="shared" si="9"/>
        <v>1518.7668979742309</v>
      </c>
      <c r="K58" s="1114">
        <f t="shared" si="10"/>
        <v>10631.368285819617</v>
      </c>
      <c r="L58" s="1114">
        <f t="shared" si="11"/>
        <v>886</v>
      </c>
      <c r="M58" s="1122">
        <f t="shared" si="12"/>
        <v>35214.866796355142</v>
      </c>
      <c r="N58" s="1122">
        <f t="shared" si="13"/>
        <v>2935</v>
      </c>
    </row>
    <row r="59" spans="1:14">
      <c r="A59" s="1028">
        <v>53</v>
      </c>
      <c r="B59" s="1029" t="s">
        <v>153</v>
      </c>
      <c r="C59" s="1036"/>
      <c r="D59" s="1037">
        <f>'Table 3 Levels 1&amp;2'!$AP$77</f>
        <v>5030.6952566221626</v>
      </c>
      <c r="E59" s="1108">
        <f>'Table 3 Levels 1&amp;2'!V60</f>
        <v>0.78249999999999997</v>
      </c>
      <c r="F59" s="1108">
        <f>'Table 3 Levels 1&amp;2'!W60</f>
        <v>0.2175</v>
      </c>
      <c r="G59" s="1037">
        <f t="shared" si="6"/>
        <v>3936.519038306842</v>
      </c>
      <c r="H59" s="1094">
        <f t="shared" si="7"/>
        <v>0</v>
      </c>
      <c r="I59" s="1094">
        <f t="shared" si="8"/>
        <v>0</v>
      </c>
      <c r="J59" s="1037">
        <f t="shared" si="9"/>
        <v>1094.1762183153203</v>
      </c>
      <c r="K59" s="1114">
        <f t="shared" si="10"/>
        <v>0</v>
      </c>
      <c r="L59" s="1114">
        <f t="shared" si="11"/>
        <v>0</v>
      </c>
      <c r="M59" s="1122">
        <f t="shared" si="12"/>
        <v>0</v>
      </c>
      <c r="N59" s="1122">
        <f t="shared" si="13"/>
        <v>0</v>
      </c>
    </row>
    <row r="60" spans="1:14">
      <c r="A60" s="1028">
        <v>54</v>
      </c>
      <c r="B60" s="1029" t="s">
        <v>154</v>
      </c>
      <c r="C60" s="1036"/>
      <c r="D60" s="1037">
        <f>'Table 3 Levels 1&amp;2'!$AP$77</f>
        <v>5030.6952566221626</v>
      </c>
      <c r="E60" s="1108">
        <f>'Table 3 Levels 1&amp;2'!V61</f>
        <v>0.76039999999999996</v>
      </c>
      <c r="F60" s="1108">
        <f>'Table 3 Levels 1&amp;2'!W61</f>
        <v>0.23960000000000001</v>
      </c>
      <c r="G60" s="1037">
        <f t="shared" si="6"/>
        <v>3825.3406731354921</v>
      </c>
      <c r="H60" s="1094">
        <f t="shared" si="7"/>
        <v>0</v>
      </c>
      <c r="I60" s="1094">
        <f t="shared" si="8"/>
        <v>0</v>
      </c>
      <c r="J60" s="1037">
        <f t="shared" si="9"/>
        <v>1205.3545834866702</v>
      </c>
      <c r="K60" s="1114">
        <f t="shared" si="10"/>
        <v>0</v>
      </c>
      <c r="L60" s="1114">
        <f t="shared" si="11"/>
        <v>0</v>
      </c>
      <c r="M60" s="1122">
        <f t="shared" si="12"/>
        <v>0</v>
      </c>
      <c r="N60" s="1122">
        <f t="shared" si="13"/>
        <v>0</v>
      </c>
    </row>
    <row r="61" spans="1:14">
      <c r="A61" s="1032">
        <v>55</v>
      </c>
      <c r="B61" s="1033" t="s">
        <v>155</v>
      </c>
      <c r="C61" s="1038"/>
      <c r="D61" s="1039">
        <f>'Table 3 Levels 1&amp;2'!$AP$77</f>
        <v>5030.6952566221626</v>
      </c>
      <c r="E61" s="1109">
        <f>'Table 3 Levels 1&amp;2'!V62</f>
        <v>0.6542</v>
      </c>
      <c r="F61" s="1109">
        <f>'Table 3 Levels 1&amp;2'!W62</f>
        <v>0.3458</v>
      </c>
      <c r="G61" s="1039">
        <f t="shared" si="6"/>
        <v>3291.0808368822186</v>
      </c>
      <c r="H61" s="1095">
        <f t="shared" si="7"/>
        <v>0</v>
      </c>
      <c r="I61" s="1095">
        <f t="shared" si="8"/>
        <v>0</v>
      </c>
      <c r="J61" s="1039">
        <f t="shared" si="9"/>
        <v>1739.6144197399437</v>
      </c>
      <c r="K61" s="1115">
        <f t="shared" si="10"/>
        <v>0</v>
      </c>
      <c r="L61" s="1115">
        <f t="shared" si="11"/>
        <v>0</v>
      </c>
      <c r="M61" s="1123">
        <f t="shared" si="12"/>
        <v>0</v>
      </c>
      <c r="N61" s="1123">
        <f t="shared" si="13"/>
        <v>0</v>
      </c>
    </row>
    <row r="62" spans="1:14">
      <c r="A62" s="1021">
        <v>56</v>
      </c>
      <c r="B62" s="1022" t="s">
        <v>156</v>
      </c>
      <c r="C62" s="1040"/>
      <c r="D62" s="1041">
        <f>'Table 3 Levels 1&amp;2'!$AP$77</f>
        <v>5030.6952566221626</v>
      </c>
      <c r="E62" s="1107">
        <f>'Table 3 Levels 1&amp;2'!V63</f>
        <v>0.71779999999999999</v>
      </c>
      <c r="F62" s="1107">
        <f>'Table 3 Levels 1&amp;2'!W63</f>
        <v>0.28220000000000001</v>
      </c>
      <c r="G62" s="1041">
        <f t="shared" si="6"/>
        <v>3611.0330552033884</v>
      </c>
      <c r="H62" s="1096">
        <f t="shared" si="7"/>
        <v>0</v>
      </c>
      <c r="I62" s="1096">
        <f t="shared" si="8"/>
        <v>0</v>
      </c>
      <c r="J62" s="1041">
        <f t="shared" si="9"/>
        <v>1419.6622014187742</v>
      </c>
      <c r="K62" s="1116">
        <f t="shared" si="10"/>
        <v>0</v>
      </c>
      <c r="L62" s="1116">
        <f t="shared" si="11"/>
        <v>0</v>
      </c>
      <c r="M62" s="1124">
        <f t="shared" si="12"/>
        <v>0</v>
      </c>
      <c r="N62" s="1124">
        <f t="shared" si="13"/>
        <v>0</v>
      </c>
    </row>
    <row r="63" spans="1:14">
      <c r="A63" s="1028">
        <v>57</v>
      </c>
      <c r="B63" s="1029" t="s">
        <v>157</v>
      </c>
      <c r="C63" s="1036"/>
      <c r="D63" s="1037">
        <f>'Table 3 Levels 1&amp;2'!$AP$77</f>
        <v>5030.6952566221626</v>
      </c>
      <c r="E63" s="1108">
        <f>'Table 3 Levels 1&amp;2'!V64</f>
        <v>0.69879999999999998</v>
      </c>
      <c r="F63" s="1108">
        <f>'Table 3 Levels 1&amp;2'!W64</f>
        <v>0.30120000000000002</v>
      </c>
      <c r="G63" s="1037">
        <f t="shared" si="6"/>
        <v>3515.4498453275669</v>
      </c>
      <c r="H63" s="1094">
        <f t="shared" si="7"/>
        <v>0</v>
      </c>
      <c r="I63" s="1094">
        <f t="shared" si="8"/>
        <v>0</v>
      </c>
      <c r="J63" s="1037">
        <f t="shared" si="9"/>
        <v>1515.2454112945954</v>
      </c>
      <c r="K63" s="1114">
        <f t="shared" si="10"/>
        <v>0</v>
      </c>
      <c r="L63" s="1114">
        <f t="shared" si="11"/>
        <v>0</v>
      </c>
      <c r="M63" s="1122">
        <f t="shared" si="12"/>
        <v>0</v>
      </c>
      <c r="N63" s="1122">
        <f t="shared" si="13"/>
        <v>0</v>
      </c>
    </row>
    <row r="64" spans="1:14">
      <c r="A64" s="1028">
        <v>58</v>
      </c>
      <c r="B64" s="1029" t="s">
        <v>158</v>
      </c>
      <c r="C64" s="1036"/>
      <c r="D64" s="1037">
        <f>'Table 3 Levels 1&amp;2'!$AP$77</f>
        <v>5030.6952566221626</v>
      </c>
      <c r="E64" s="1108">
        <f>'Table 3 Levels 1&amp;2'!V65</f>
        <v>0.85450000000000004</v>
      </c>
      <c r="F64" s="1108">
        <f>'Table 3 Levels 1&amp;2'!W65</f>
        <v>0.14549999999999999</v>
      </c>
      <c r="G64" s="1037">
        <f t="shared" si="6"/>
        <v>4298.7290967836379</v>
      </c>
      <c r="H64" s="1094">
        <f t="shared" si="7"/>
        <v>0</v>
      </c>
      <c r="I64" s="1094">
        <f t="shared" si="8"/>
        <v>0</v>
      </c>
      <c r="J64" s="1037">
        <f t="shared" si="9"/>
        <v>731.96615983852462</v>
      </c>
      <c r="K64" s="1114">
        <f t="shared" si="10"/>
        <v>0</v>
      </c>
      <c r="L64" s="1114">
        <f t="shared" si="11"/>
        <v>0</v>
      </c>
      <c r="M64" s="1122">
        <f t="shared" si="12"/>
        <v>0</v>
      </c>
      <c r="N64" s="1122">
        <f t="shared" si="13"/>
        <v>0</v>
      </c>
    </row>
    <row r="65" spans="1:14">
      <c r="A65" s="1028">
        <v>59</v>
      </c>
      <c r="B65" s="1029" t="s">
        <v>159</v>
      </c>
      <c r="C65" s="1036"/>
      <c r="D65" s="1037">
        <f>'Table 3 Levels 1&amp;2'!$AP$77</f>
        <v>5030.6952566221626</v>
      </c>
      <c r="E65" s="1108">
        <f>'Table 3 Levels 1&amp;2'!V66</f>
        <v>0.89410000000000001</v>
      </c>
      <c r="F65" s="1108">
        <f>'Table 3 Levels 1&amp;2'!W66</f>
        <v>0.10589999999999999</v>
      </c>
      <c r="G65" s="1037">
        <f t="shared" si="6"/>
        <v>4497.9446289458756</v>
      </c>
      <c r="H65" s="1094">
        <f t="shared" si="7"/>
        <v>0</v>
      </c>
      <c r="I65" s="1094">
        <f t="shared" si="8"/>
        <v>0</v>
      </c>
      <c r="J65" s="1037">
        <f t="shared" si="9"/>
        <v>532.75062767628697</v>
      </c>
      <c r="K65" s="1114">
        <f t="shared" si="10"/>
        <v>0</v>
      </c>
      <c r="L65" s="1114">
        <f t="shared" si="11"/>
        <v>0</v>
      </c>
      <c r="M65" s="1122">
        <f t="shared" si="12"/>
        <v>0</v>
      </c>
      <c r="N65" s="1122">
        <f t="shared" si="13"/>
        <v>0</v>
      </c>
    </row>
    <row r="66" spans="1:14">
      <c r="A66" s="1032">
        <v>60</v>
      </c>
      <c r="B66" s="1033" t="s">
        <v>160</v>
      </c>
      <c r="C66" s="1038"/>
      <c r="D66" s="1039">
        <f>'Table 3 Levels 1&amp;2'!$AP$77</f>
        <v>5030.6952566221626</v>
      </c>
      <c r="E66" s="1109">
        <f>'Table 3 Levels 1&amp;2'!V67</f>
        <v>0.70940000000000003</v>
      </c>
      <c r="F66" s="1109">
        <f>'Table 3 Levels 1&amp;2'!W67</f>
        <v>0.29060000000000002</v>
      </c>
      <c r="G66" s="1039">
        <f t="shared" si="6"/>
        <v>3568.7752150477622</v>
      </c>
      <c r="H66" s="1095">
        <f t="shared" si="7"/>
        <v>0</v>
      </c>
      <c r="I66" s="1095">
        <f t="shared" si="8"/>
        <v>0</v>
      </c>
      <c r="J66" s="1039">
        <f t="shared" si="9"/>
        <v>1461.9200415744006</v>
      </c>
      <c r="K66" s="1115">
        <f t="shared" si="10"/>
        <v>0</v>
      </c>
      <c r="L66" s="1115">
        <f t="shared" si="11"/>
        <v>0</v>
      </c>
      <c r="M66" s="1123">
        <f t="shared" si="12"/>
        <v>0</v>
      </c>
      <c r="N66" s="1123">
        <f t="shared" si="13"/>
        <v>0</v>
      </c>
    </row>
    <row r="67" spans="1:14">
      <c r="A67" s="1021">
        <v>61</v>
      </c>
      <c r="B67" s="1022" t="s">
        <v>161</v>
      </c>
      <c r="C67" s="1040"/>
      <c r="D67" s="1041">
        <f>'Table 3 Levels 1&amp;2'!$AP$77</f>
        <v>5030.6952566221626</v>
      </c>
      <c r="E67" s="1107">
        <f>'Table 3 Levels 1&amp;2'!V68</f>
        <v>0.48409999999999997</v>
      </c>
      <c r="F67" s="1107">
        <f>'Table 3 Levels 1&amp;2'!W68</f>
        <v>0.51590000000000003</v>
      </c>
      <c r="G67" s="1041">
        <f t="shared" si="6"/>
        <v>2435.3595737307887</v>
      </c>
      <c r="H67" s="1096">
        <f t="shared" si="7"/>
        <v>0</v>
      </c>
      <c r="I67" s="1096">
        <f t="shared" si="8"/>
        <v>0</v>
      </c>
      <c r="J67" s="1041">
        <f t="shared" si="9"/>
        <v>2595.3356828913738</v>
      </c>
      <c r="K67" s="1116">
        <f t="shared" si="10"/>
        <v>0</v>
      </c>
      <c r="L67" s="1116">
        <f t="shared" si="11"/>
        <v>0</v>
      </c>
      <c r="M67" s="1124">
        <f t="shared" si="12"/>
        <v>0</v>
      </c>
      <c r="N67" s="1124">
        <f t="shared" si="13"/>
        <v>0</v>
      </c>
    </row>
    <row r="68" spans="1:14">
      <c r="A68" s="1028">
        <v>62</v>
      </c>
      <c r="B68" s="1029" t="s">
        <v>162</v>
      </c>
      <c r="C68" s="1036"/>
      <c r="D68" s="1037">
        <f>'Table 3 Levels 1&amp;2'!$AP$77</f>
        <v>5030.6952566221626</v>
      </c>
      <c r="E68" s="1108">
        <f>'Table 3 Levels 1&amp;2'!V69</f>
        <v>0.84219999999999995</v>
      </c>
      <c r="F68" s="1108">
        <f>'Table 3 Levels 1&amp;2'!W69</f>
        <v>0.1578</v>
      </c>
      <c r="G68" s="1037">
        <f t="shared" si="6"/>
        <v>4236.8515451271851</v>
      </c>
      <c r="H68" s="1094">
        <f t="shared" si="7"/>
        <v>0</v>
      </c>
      <c r="I68" s="1094">
        <f t="shared" si="8"/>
        <v>0</v>
      </c>
      <c r="J68" s="1037">
        <f t="shared" si="9"/>
        <v>793.84371149497724</v>
      </c>
      <c r="K68" s="1114">
        <f t="shared" si="10"/>
        <v>0</v>
      </c>
      <c r="L68" s="1114">
        <f t="shared" si="11"/>
        <v>0</v>
      </c>
      <c r="M68" s="1122">
        <f t="shared" si="12"/>
        <v>0</v>
      </c>
      <c r="N68" s="1122">
        <f t="shared" si="13"/>
        <v>0</v>
      </c>
    </row>
    <row r="69" spans="1:14">
      <c r="A69" s="1028">
        <v>63</v>
      </c>
      <c r="B69" s="1029" t="s">
        <v>163</v>
      </c>
      <c r="C69" s="1036"/>
      <c r="D69" s="1037">
        <f>'Table 3 Levels 1&amp;2'!$AP$77</f>
        <v>5030.6952566221626</v>
      </c>
      <c r="E69" s="1108">
        <f>'Table 3 Levels 1&amp;2'!V70</f>
        <v>0.47639999999999999</v>
      </c>
      <c r="F69" s="1108">
        <f>'Table 3 Levels 1&amp;2'!W70</f>
        <v>0.52359999999999995</v>
      </c>
      <c r="G69" s="1037">
        <f t="shared" si="6"/>
        <v>2396.6232202547981</v>
      </c>
      <c r="H69" s="1094">
        <f t="shared" si="7"/>
        <v>0</v>
      </c>
      <c r="I69" s="1094">
        <f t="shared" si="8"/>
        <v>0</v>
      </c>
      <c r="J69" s="1037">
        <f t="shared" si="9"/>
        <v>2634.072036367364</v>
      </c>
      <c r="K69" s="1114">
        <f t="shared" si="10"/>
        <v>0</v>
      </c>
      <c r="L69" s="1114">
        <f t="shared" si="11"/>
        <v>0</v>
      </c>
      <c r="M69" s="1122">
        <f t="shared" si="12"/>
        <v>0</v>
      </c>
      <c r="N69" s="1122">
        <f t="shared" si="13"/>
        <v>0</v>
      </c>
    </row>
    <row r="70" spans="1:14">
      <c r="A70" s="1028">
        <v>64</v>
      </c>
      <c r="B70" s="1029" t="s">
        <v>164</v>
      </c>
      <c r="C70" s="1036"/>
      <c r="D70" s="1037">
        <f>'Table 3 Levels 1&amp;2'!$AP$77</f>
        <v>5030.6952566221626</v>
      </c>
      <c r="E70" s="1108">
        <f>'Table 3 Levels 1&amp;2'!V71</f>
        <v>0.7964</v>
      </c>
      <c r="F70" s="1108">
        <f>'Table 3 Levels 1&amp;2'!W71</f>
        <v>0.2036</v>
      </c>
      <c r="G70" s="1037">
        <f t="shared" si="6"/>
        <v>4006.4457023738901</v>
      </c>
      <c r="H70" s="1094">
        <f t="shared" si="7"/>
        <v>0</v>
      </c>
      <c r="I70" s="1094">
        <f t="shared" si="8"/>
        <v>0</v>
      </c>
      <c r="J70" s="1037">
        <f t="shared" si="9"/>
        <v>1024.2495542482723</v>
      </c>
      <c r="K70" s="1114">
        <f t="shared" si="10"/>
        <v>0</v>
      </c>
      <c r="L70" s="1114">
        <f t="shared" si="11"/>
        <v>0</v>
      </c>
      <c r="M70" s="1122">
        <f t="shared" si="12"/>
        <v>0</v>
      </c>
      <c r="N70" s="1122">
        <f t="shared" si="13"/>
        <v>0</v>
      </c>
    </row>
    <row r="71" spans="1:14">
      <c r="A71" s="1032">
        <v>65</v>
      </c>
      <c r="B71" s="1033" t="s">
        <v>165</v>
      </c>
      <c r="C71" s="1038"/>
      <c r="D71" s="1039">
        <f>'Table 3 Levels 1&amp;2'!$AP$77</f>
        <v>5030.6952566221626</v>
      </c>
      <c r="E71" s="1109">
        <f>'Table 3 Levels 1&amp;2'!V72</f>
        <v>0.6542</v>
      </c>
      <c r="F71" s="1109">
        <f>'Table 3 Levels 1&amp;2'!W72</f>
        <v>0.3458</v>
      </c>
      <c r="G71" s="1039">
        <f t="shared" si="6"/>
        <v>3291.0808368822186</v>
      </c>
      <c r="H71" s="1095">
        <f t="shared" si="7"/>
        <v>0</v>
      </c>
      <c r="I71" s="1095">
        <f t="shared" si="8"/>
        <v>0</v>
      </c>
      <c r="J71" s="1039">
        <f t="shared" si="9"/>
        <v>1739.6144197399437</v>
      </c>
      <c r="K71" s="1115">
        <f t="shared" si="10"/>
        <v>0</v>
      </c>
      <c r="L71" s="1115">
        <f t="shared" si="11"/>
        <v>0</v>
      </c>
      <c r="M71" s="1123">
        <f t="shared" si="12"/>
        <v>0</v>
      </c>
      <c r="N71" s="1123">
        <f t="shared" si="13"/>
        <v>0</v>
      </c>
    </row>
    <row r="72" spans="1:14">
      <c r="A72" s="1021">
        <v>66</v>
      </c>
      <c r="B72" s="1022" t="s">
        <v>166</v>
      </c>
      <c r="C72" s="1040"/>
      <c r="D72" s="1041">
        <f>'Table 3 Levels 1&amp;2'!$AP$77</f>
        <v>5030.6952566221626</v>
      </c>
      <c r="E72" s="1107">
        <f>'Table 3 Levels 1&amp;2'!V73</f>
        <v>0.74729999999999996</v>
      </c>
      <c r="F72" s="1107">
        <f>'Table 3 Levels 1&amp;2'!W73</f>
        <v>0.25269999999999998</v>
      </c>
      <c r="G72" s="1041">
        <f t="shared" ref="G72:G75" si="14">D72*E72</f>
        <v>3759.4385652737419</v>
      </c>
      <c r="H72" s="1096">
        <f t="shared" ref="H72:H75" si="15">G72*C72</f>
        <v>0</v>
      </c>
      <c r="I72" s="1096">
        <f t="shared" ref="I72:I75" si="16">ROUND(H72/12,0)</f>
        <v>0</v>
      </c>
      <c r="J72" s="1041">
        <f t="shared" ref="J72:J75" si="17">D72*F72</f>
        <v>1271.2566913484204</v>
      </c>
      <c r="K72" s="1116">
        <f t="shared" ref="K72:K75" si="18">J72*C72</f>
        <v>0</v>
      </c>
      <c r="L72" s="1116">
        <f t="shared" ref="L72:L75" si="19">ROUND(K72/12,0)</f>
        <v>0</v>
      </c>
      <c r="M72" s="1124">
        <f t="shared" ref="M72:M75" si="20">K72+H72</f>
        <v>0</v>
      </c>
      <c r="N72" s="1124">
        <f t="shared" ref="N72:N75" si="21">I72+L72</f>
        <v>0</v>
      </c>
    </row>
    <row r="73" spans="1:14">
      <c r="A73" s="1028">
        <v>67</v>
      </c>
      <c r="B73" s="1029" t="s">
        <v>33</v>
      </c>
      <c r="C73" s="1036"/>
      <c r="D73" s="1037">
        <f>'Table 3 Levels 1&amp;2'!$AP$77</f>
        <v>5030.6952566221626</v>
      </c>
      <c r="E73" s="1108">
        <f>'Table 3 Levels 1&amp;2'!V74</f>
        <v>0.74939999999999996</v>
      </c>
      <c r="F73" s="1108">
        <f>'Table 3 Levels 1&amp;2'!W74</f>
        <v>0.25059999999999999</v>
      </c>
      <c r="G73" s="1037">
        <f t="shared" si="14"/>
        <v>3770.0030253126483</v>
      </c>
      <c r="H73" s="1094">
        <f t="shared" si="15"/>
        <v>0</v>
      </c>
      <c r="I73" s="1094">
        <f t="shared" si="16"/>
        <v>0</v>
      </c>
      <c r="J73" s="1037">
        <f t="shared" si="17"/>
        <v>1260.6922313095138</v>
      </c>
      <c r="K73" s="1114">
        <f t="shared" si="18"/>
        <v>0</v>
      </c>
      <c r="L73" s="1114">
        <f t="shared" si="19"/>
        <v>0</v>
      </c>
      <c r="M73" s="1122">
        <f t="shared" si="20"/>
        <v>0</v>
      </c>
      <c r="N73" s="1122">
        <f t="shared" si="21"/>
        <v>0</v>
      </c>
    </row>
    <row r="74" spans="1:14">
      <c r="A74" s="1028">
        <v>68</v>
      </c>
      <c r="B74" s="1029" t="s">
        <v>31</v>
      </c>
      <c r="C74" s="1036"/>
      <c r="D74" s="1037">
        <f>'Table 3 Levels 1&amp;2'!$AP$77</f>
        <v>5030.6952566221626</v>
      </c>
      <c r="E74" s="1108">
        <f>'Table 3 Levels 1&amp;2'!V75</f>
        <v>0.79110000000000003</v>
      </c>
      <c r="F74" s="1108">
        <f>'Table 3 Levels 1&amp;2'!W75</f>
        <v>0.2089</v>
      </c>
      <c r="G74" s="1037">
        <f t="shared" si="14"/>
        <v>3979.7830175137929</v>
      </c>
      <c r="H74" s="1094">
        <f t="shared" si="15"/>
        <v>0</v>
      </c>
      <c r="I74" s="1094">
        <f t="shared" si="16"/>
        <v>0</v>
      </c>
      <c r="J74" s="1037">
        <f t="shared" si="17"/>
        <v>1050.9122391083697</v>
      </c>
      <c r="K74" s="1114">
        <f t="shared" si="18"/>
        <v>0</v>
      </c>
      <c r="L74" s="1114">
        <f t="shared" si="19"/>
        <v>0</v>
      </c>
      <c r="M74" s="1122">
        <f t="shared" si="20"/>
        <v>0</v>
      </c>
      <c r="N74" s="1122">
        <f t="shared" si="21"/>
        <v>0</v>
      </c>
    </row>
    <row r="75" spans="1:14">
      <c r="A75" s="1042">
        <v>69</v>
      </c>
      <c r="B75" s="1043" t="s">
        <v>235</v>
      </c>
      <c r="C75" s="1044"/>
      <c r="D75" s="1045">
        <f>'Table 3 Levels 1&amp;2'!$AP$77</f>
        <v>5030.6952566221626</v>
      </c>
      <c r="E75" s="1110">
        <f>'Table 3 Levels 1&amp;2'!V76</f>
        <v>0.80089999999999995</v>
      </c>
      <c r="F75" s="1110">
        <f>'Table 3 Levels 1&amp;2'!W76</f>
        <v>0.1991</v>
      </c>
      <c r="G75" s="1045">
        <f t="shared" si="14"/>
        <v>4029.0838310286899</v>
      </c>
      <c r="H75" s="1097">
        <f t="shared" si="15"/>
        <v>0</v>
      </c>
      <c r="I75" s="1097">
        <f t="shared" si="16"/>
        <v>0</v>
      </c>
      <c r="J75" s="1045">
        <f t="shared" si="17"/>
        <v>1001.6114255934725</v>
      </c>
      <c r="K75" s="1117">
        <f t="shared" si="18"/>
        <v>0</v>
      </c>
      <c r="L75" s="1117">
        <f t="shared" si="19"/>
        <v>0</v>
      </c>
      <c r="M75" s="1125">
        <f t="shared" si="20"/>
        <v>0</v>
      </c>
      <c r="N75" s="1125">
        <f t="shared" si="21"/>
        <v>0</v>
      </c>
    </row>
    <row r="76" spans="1:14" s="1053" customFormat="1" ht="14.25" customHeight="1" thickBot="1">
      <c r="A76" s="1046"/>
      <c r="B76" s="1047" t="s">
        <v>167</v>
      </c>
      <c r="C76" s="1048">
        <f>SUM(C7:C75)</f>
        <v>112</v>
      </c>
      <c r="D76" s="1049">
        <f>'Table 3 Levels 1&amp;2'!AP77</f>
        <v>5030.6952566221626</v>
      </c>
      <c r="E76" s="1075">
        <f>'Table 3 Levels 1&amp;2'!V77</f>
        <v>0.65</v>
      </c>
      <c r="F76" s="1075">
        <f>'Table 3 Levels 1&amp;2'!W77</f>
        <v>0.35</v>
      </c>
      <c r="G76" s="1049"/>
      <c r="H76" s="1050">
        <f>SUM(H7:H75)</f>
        <v>291081.05824341497</v>
      </c>
      <c r="I76" s="1050">
        <f>SUM(I7:I75)</f>
        <v>24257</v>
      </c>
      <c r="J76" s="1049"/>
      <c r="K76" s="1118">
        <f>SUM(K7:K75)</f>
        <v>272356.8104982673</v>
      </c>
      <c r="L76" s="1118">
        <f>SUM(L7:L75)</f>
        <v>22697</v>
      </c>
      <c r="M76" s="1126">
        <f>SUM(M7:M75)</f>
        <v>563437.86874168215</v>
      </c>
      <c r="N76" s="1126">
        <f t="shared" ref="N76" si="22">SUM(N7:N75)</f>
        <v>46954</v>
      </c>
    </row>
    <row r="77" spans="1:14" s="1053" customFormat="1" ht="13.5" hidden="1" thickTop="1">
      <c r="A77" s="1054"/>
      <c r="B77" s="1054"/>
      <c r="C77" s="1055"/>
      <c r="D77" s="1055"/>
      <c r="E77" s="1055"/>
      <c r="F77" s="1055"/>
      <c r="H77" s="1082">
        <f>56*D76</f>
        <v>281718.93437084113</v>
      </c>
      <c r="I77" s="1082"/>
      <c r="J77" s="1057"/>
      <c r="K77" s="1057"/>
      <c r="L77" s="1057"/>
    </row>
    <row r="78" spans="1:14" ht="12.75" hidden="1" customHeight="1">
      <c r="A78" s="1059"/>
      <c r="C78" s="1060"/>
      <c r="H78" s="1083">
        <f>H77-H76</f>
        <v>-9362.1238725738367</v>
      </c>
      <c r="I78" s="1083"/>
      <c r="M78" s="1081"/>
      <c r="N78" s="1081"/>
    </row>
    <row r="79" spans="1:14" ht="12.75" hidden="1" customHeight="1"/>
    <row r="80" spans="1:14" hidden="1"/>
    <row r="81" spans="3:9" hidden="1"/>
    <row r="82" spans="3:9" hidden="1"/>
    <row r="83" spans="3:9" hidden="1">
      <c r="G83" s="1061" t="s">
        <v>581</v>
      </c>
      <c r="H83" s="1061"/>
      <c r="I83" s="1061"/>
    </row>
    <row r="84" spans="3:9" ht="10.5" hidden="1" customHeight="1"/>
    <row r="85" spans="3:9" hidden="1"/>
    <row r="86" spans="3:9" hidden="1">
      <c r="C86" s="1063">
        <v>85661</v>
      </c>
      <c r="D86" s="1064" t="s">
        <v>582</v>
      </c>
      <c r="E86" s="1064"/>
      <c r="F86" s="1064"/>
    </row>
    <row r="87" spans="3:9" hidden="1">
      <c r="C87" s="1063">
        <v>650290</v>
      </c>
      <c r="D87" s="1064" t="s">
        <v>583</v>
      </c>
      <c r="E87" s="1064"/>
      <c r="F87" s="1064"/>
    </row>
    <row r="88" spans="3:9" hidden="1">
      <c r="C88" s="1065">
        <f>C86/C87</f>
        <v>0.13172738316750987</v>
      </c>
      <c r="D88" s="1064" t="s">
        <v>584</v>
      </c>
      <c r="E88" s="1064"/>
      <c r="F88" s="1064"/>
    </row>
    <row r="89" spans="3:9" hidden="1">
      <c r="C89" s="1063"/>
      <c r="D89" s="1064"/>
      <c r="E89" s="1064"/>
      <c r="F89" s="1064"/>
    </row>
    <row r="90" spans="3:9" hidden="1">
      <c r="C90" s="1063">
        <v>128510</v>
      </c>
      <c r="D90" s="1064" t="s">
        <v>585</v>
      </c>
      <c r="E90" s="1064"/>
      <c r="F90" s="1064"/>
    </row>
    <row r="91" spans="3:9" hidden="1">
      <c r="C91" s="1063">
        <v>911320</v>
      </c>
      <c r="D91" s="1064" t="s">
        <v>586</v>
      </c>
      <c r="E91" s="1064"/>
      <c r="F91" s="1064"/>
    </row>
    <row r="92" spans="3:9" hidden="1">
      <c r="C92" s="1065">
        <f>C90/C91</f>
        <v>0.14101523065443533</v>
      </c>
      <c r="D92" s="1064" t="s">
        <v>587</v>
      </c>
      <c r="E92" s="1064"/>
      <c r="F92" s="1064"/>
    </row>
    <row r="93" spans="3:9" hidden="1">
      <c r="C93" s="1063"/>
      <c r="D93" s="1064"/>
      <c r="E93" s="1064"/>
      <c r="F93" s="1064"/>
    </row>
    <row r="94" spans="3:9" hidden="1">
      <c r="C94" s="1066">
        <v>2663489616</v>
      </c>
      <c r="D94" s="1067" t="s">
        <v>588</v>
      </c>
      <c r="E94" s="1067"/>
      <c r="F94" s="1067"/>
    </row>
    <row r="95" spans="3:9" hidden="1">
      <c r="C95" s="1068">
        <f>C92</f>
        <v>0.14101523065443533</v>
      </c>
      <c r="D95" s="1067"/>
      <c r="E95" s="1067"/>
      <c r="F95" s="1067"/>
    </row>
    <row r="96" spans="3:9" hidden="1">
      <c r="C96" s="1069">
        <f>C94*C95</f>
        <v>375592602.54593337</v>
      </c>
      <c r="D96" s="1064" t="s">
        <v>589</v>
      </c>
      <c r="E96" s="1064"/>
      <c r="F96" s="1064"/>
    </row>
    <row r="97" spans="3:6" hidden="1">
      <c r="C97" s="1070">
        <f>50%/C92</f>
        <v>3.5457162866702978</v>
      </c>
      <c r="D97" s="1067" t="s">
        <v>590</v>
      </c>
      <c r="E97" s="1067"/>
      <c r="F97" s="1067"/>
    </row>
    <row r="98" spans="3:6" hidden="1">
      <c r="C98" s="1069">
        <f>C96*C97</f>
        <v>1331744808</v>
      </c>
      <c r="D98" s="1071" t="s">
        <v>591</v>
      </c>
      <c r="E98" s="1071"/>
      <c r="F98" s="1071"/>
    </row>
    <row r="99" spans="3:6" hidden="1">
      <c r="C99" s="1072">
        <f>C87</f>
        <v>650290</v>
      </c>
      <c r="D99" s="1067" t="s">
        <v>592</v>
      </c>
      <c r="E99" s="1067"/>
      <c r="F99" s="1067"/>
    </row>
    <row r="100" spans="3:6" hidden="1">
      <c r="C100" s="1069">
        <f>C98/C99</f>
        <v>2047.9244767719017</v>
      </c>
      <c r="D100" s="1067" t="s">
        <v>593</v>
      </c>
      <c r="E100" s="1067"/>
      <c r="F100" s="1067"/>
    </row>
    <row r="101" spans="3:6" hidden="1">
      <c r="C101" s="1073">
        <f>(C96/C99)*-1</f>
        <v>-577.57708490970697</v>
      </c>
      <c r="D101" s="1067" t="s">
        <v>594</v>
      </c>
      <c r="E101" s="1067"/>
      <c r="F101" s="1067"/>
    </row>
    <row r="102" spans="3:6" hidden="1">
      <c r="C102" s="1074">
        <f>SUM(C100:C101)</f>
        <v>1470.3473918621949</v>
      </c>
      <c r="D102" s="1067" t="s">
        <v>595</v>
      </c>
      <c r="E102" s="1067"/>
      <c r="F102" s="1067"/>
    </row>
    <row r="103" spans="3:6" hidden="1">
      <c r="C103" s="1074"/>
      <c r="D103" s="1067"/>
      <c r="E103" s="1067"/>
      <c r="F103" s="1067"/>
    </row>
    <row r="104" spans="3:6" hidden="1">
      <c r="C104" s="1074"/>
      <c r="D104" s="1067"/>
      <c r="E104" s="1067"/>
      <c r="F104" s="1067"/>
    </row>
    <row r="105" spans="3:6" hidden="1">
      <c r="D105" s="1067"/>
      <c r="E105" s="1067"/>
      <c r="F105" s="1067"/>
    </row>
    <row r="106" spans="3:6" hidden="1"/>
    <row r="107" spans="3:6" hidden="1"/>
    <row r="108" spans="3:6" ht="13.5" thickTop="1"/>
  </sheetData>
  <mergeCells count="15">
    <mergeCell ref="A2:B4"/>
    <mergeCell ref="M2:M4"/>
    <mergeCell ref="C3:C4"/>
    <mergeCell ref="D3:D4"/>
    <mergeCell ref="G3:G4"/>
    <mergeCell ref="H3:H4"/>
    <mergeCell ref="J3:J4"/>
    <mergeCell ref="K3:K4"/>
    <mergeCell ref="N2:N4"/>
    <mergeCell ref="C2:I2"/>
    <mergeCell ref="J2:L2"/>
    <mergeCell ref="E3:E4"/>
    <mergeCell ref="F3:F4"/>
    <mergeCell ref="I3:I4"/>
    <mergeCell ref="L3:L4"/>
  </mergeCells>
  <printOptions horizontalCentered="1"/>
  <pageMargins left="0.27" right="0.25" top="0.87" bottom="0.2" header="0.25" footer="0.2"/>
  <pageSetup paperSize="5" scale="83" firstPageNumber="40" fitToWidth="3" orientation="portrait" useFirstPageNumber="1" r:id="rId1"/>
  <headerFooter alignWithMargins="0">
    <oddHeader xml:space="preserve">&amp;L&amp;"Arial,Bold"&amp;16Table 5A3:  FY2012-13 MFP Budget Letter
New Orleans Center for Creative Arts (&amp;14NOCCA) &amp;R&amp;"Arial,Bold"&amp;12&amp;KFF0000
</oddHeader>
    <oddFooter>&amp;R&amp;P</oddFooter>
  </headerFooter>
  <colBreaks count="1" manualBreakCount="1">
    <brk id="9" min="1" max="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 transitionEvaluation="1" transitionEntry="1"/>
  <dimension ref="A1:N106"/>
  <sheetViews>
    <sheetView view="pageBreakPreview" zoomScale="90" zoomScaleNormal="100" zoomScaleSheetLayoutView="9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H110" sqref="H110"/>
    </sheetView>
  </sheetViews>
  <sheetFormatPr defaultColWidth="12.5703125" defaultRowHeight="12.75"/>
  <cols>
    <col min="1" max="1" width="3.85546875" style="1005" customWidth="1"/>
    <col min="2" max="2" width="17.5703125" style="1005" customWidth="1"/>
    <col min="3" max="3" width="13.5703125" style="1008" customWidth="1"/>
    <col min="4" max="4" width="15.5703125" style="1008" customWidth="1"/>
    <col min="5" max="8" width="12.85546875" style="1009" customWidth="1"/>
    <col min="9" max="9" width="10.42578125" style="1008" customWidth="1"/>
    <col min="10" max="10" width="15.85546875" style="1084" customWidth="1"/>
    <col min="11" max="11" width="13.7109375" style="1008" bestFit="1" customWidth="1"/>
    <col min="12" max="12" width="10.85546875" style="1008" bestFit="1" customWidth="1"/>
    <col min="13" max="14" width="12.5703125" style="1005" customWidth="1"/>
    <col min="15" max="16384" width="12.5703125" style="1005"/>
  </cols>
  <sheetData>
    <row r="1" spans="1:14" ht="9" customHeight="1">
      <c r="B1" s="1006"/>
      <c r="C1" s="1007"/>
      <c r="D1" s="1007"/>
    </row>
    <row r="2" spans="1:14" s="1010" customFormat="1" ht="39.75" customHeight="1">
      <c r="A2" s="1773" t="s">
        <v>834</v>
      </c>
      <c r="B2" s="1774"/>
      <c r="C2" s="1791"/>
      <c r="D2" s="1791"/>
      <c r="E2" s="1791"/>
      <c r="F2" s="1791"/>
      <c r="G2" s="1791"/>
      <c r="H2" s="1791"/>
      <c r="I2" s="1792"/>
      <c r="J2" s="1770" t="s">
        <v>772</v>
      </c>
      <c r="K2" s="1771"/>
      <c r="L2" s="1772"/>
      <c r="M2" s="1764" t="s">
        <v>1384</v>
      </c>
      <c r="N2" s="1764" t="s">
        <v>1389</v>
      </c>
    </row>
    <row r="3" spans="1:14" ht="76.5" customHeight="1">
      <c r="A3" s="1775"/>
      <c r="B3" s="1776"/>
      <c r="C3" s="1779" t="s">
        <v>1190</v>
      </c>
      <c r="D3" s="1781" t="s">
        <v>1000</v>
      </c>
      <c r="E3" s="1779" t="s">
        <v>1445</v>
      </c>
      <c r="F3" s="1779" t="s">
        <v>832</v>
      </c>
      <c r="G3" s="1779" t="s">
        <v>833</v>
      </c>
      <c r="H3" s="1779" t="s">
        <v>1446</v>
      </c>
      <c r="I3" s="1781" t="s">
        <v>1410</v>
      </c>
      <c r="J3" s="1793" t="s">
        <v>822</v>
      </c>
      <c r="K3" s="1795" t="s">
        <v>1388</v>
      </c>
      <c r="L3" s="1795" t="s">
        <v>1437</v>
      </c>
      <c r="M3" s="1765"/>
      <c r="N3" s="1765"/>
    </row>
    <row r="4" spans="1:14" ht="33" customHeight="1">
      <c r="A4" s="1777"/>
      <c r="B4" s="1778"/>
      <c r="C4" s="1780"/>
      <c r="D4" s="1781"/>
      <c r="E4" s="1780"/>
      <c r="F4" s="1780"/>
      <c r="G4" s="1780"/>
      <c r="H4" s="1780"/>
      <c r="I4" s="1781"/>
      <c r="J4" s="1794"/>
      <c r="K4" s="1787"/>
      <c r="L4" s="1787"/>
      <c r="M4" s="1766"/>
      <c r="N4" s="1766"/>
    </row>
    <row r="5" spans="1:14" s="1015" customFormat="1" ht="14.25" customHeight="1">
      <c r="A5" s="1012"/>
      <c r="B5" s="1013"/>
      <c r="C5" s="1014">
        <v>1</v>
      </c>
      <c r="D5" s="1014">
        <f t="shared" ref="D5:N5" si="0">1+C5</f>
        <v>2</v>
      </c>
      <c r="E5" s="1014">
        <f t="shared" si="0"/>
        <v>3</v>
      </c>
      <c r="F5" s="1014">
        <f t="shared" si="0"/>
        <v>4</v>
      </c>
      <c r="G5" s="1014">
        <f t="shared" si="0"/>
        <v>5</v>
      </c>
      <c r="H5" s="1014">
        <f t="shared" si="0"/>
        <v>6</v>
      </c>
      <c r="I5" s="1014">
        <f t="shared" si="0"/>
        <v>7</v>
      </c>
      <c r="J5" s="1014">
        <f t="shared" si="0"/>
        <v>8</v>
      </c>
      <c r="K5" s="1014">
        <f t="shared" si="0"/>
        <v>9</v>
      </c>
      <c r="L5" s="1014">
        <f t="shared" si="0"/>
        <v>10</v>
      </c>
      <c r="M5" s="1014">
        <f t="shared" si="0"/>
        <v>11</v>
      </c>
      <c r="N5" s="1014">
        <f t="shared" si="0"/>
        <v>12</v>
      </c>
    </row>
    <row r="6" spans="1:14" s="1020" customFormat="1" ht="27" customHeight="1">
      <c r="A6" s="1016"/>
      <c r="B6" s="1017"/>
      <c r="C6" s="1018"/>
      <c r="D6" s="1019" t="s">
        <v>571</v>
      </c>
      <c r="E6" s="1019" t="s">
        <v>1205</v>
      </c>
      <c r="F6" s="1019" t="s">
        <v>575</v>
      </c>
      <c r="G6" s="1019" t="s">
        <v>1206</v>
      </c>
      <c r="H6" s="1019" t="s">
        <v>1207</v>
      </c>
      <c r="I6" s="1018" t="s">
        <v>1208</v>
      </c>
      <c r="J6" s="1085" t="s">
        <v>571</v>
      </c>
      <c r="K6" s="1019" t="s">
        <v>1209</v>
      </c>
      <c r="L6" s="1019" t="s">
        <v>869</v>
      </c>
      <c r="M6" s="1019" t="s">
        <v>806</v>
      </c>
      <c r="N6" s="1019" t="s">
        <v>1210</v>
      </c>
    </row>
    <row r="7" spans="1:14">
      <c r="A7" s="1021">
        <v>1</v>
      </c>
      <c r="B7" s="1022" t="s">
        <v>102</v>
      </c>
      <c r="C7" s="1159">
        <f>'Table 8 2.1.12 MFP Funded'!AB4</f>
        <v>3</v>
      </c>
      <c r="D7" s="1024">
        <f>'Table 3 Levels 1&amp;2'!AL8</f>
        <v>4621.8175818834352</v>
      </c>
      <c r="E7" s="1025">
        <f>C7*D7</f>
        <v>13865.452745650306</v>
      </c>
      <c r="F7" s="1025">
        <f>'Table 4 Level 3'!P6</f>
        <v>777.48</v>
      </c>
      <c r="G7" s="1025">
        <f>F7*C7</f>
        <v>2332.44</v>
      </c>
      <c r="H7" s="1025">
        <f>E7+G7</f>
        <v>16197.892745650306</v>
      </c>
      <c r="I7" s="1025">
        <f>ROUND(H7/12,0)</f>
        <v>1350</v>
      </c>
      <c r="J7" s="1086">
        <f>'Table 3 Levels 1&amp;2'!AT8</f>
        <v>2045</v>
      </c>
      <c r="K7" s="1026">
        <f>C7*J7</f>
        <v>6135</v>
      </c>
      <c r="L7" s="1026">
        <f>ROUND(K7/12,0)</f>
        <v>511</v>
      </c>
      <c r="M7" s="1027">
        <f>H7+K7</f>
        <v>22332.892745650308</v>
      </c>
      <c r="N7" s="1027">
        <f t="shared" ref="N7:N70" si="1">I7+L7</f>
        <v>1861</v>
      </c>
    </row>
    <row r="8" spans="1:14">
      <c r="A8" s="1028">
        <v>2</v>
      </c>
      <c r="B8" s="1029" t="s">
        <v>103</v>
      </c>
      <c r="C8" s="1160">
        <f>'Table 8 2.1.12 MFP Funded'!AB5</f>
        <v>0</v>
      </c>
      <c r="D8" s="1031">
        <f>'Table 3 Levels 1&amp;2'!AL9</f>
        <v>6131.8351665660375</v>
      </c>
      <c r="E8" s="1087">
        <f t="shared" ref="E8:E71" si="2">C8*D8</f>
        <v>0</v>
      </c>
      <c r="F8" s="1087">
        <f>'Table 4 Level 3'!P7</f>
        <v>842.32</v>
      </c>
      <c r="G8" s="1087">
        <f t="shared" ref="G8:G71" si="3">F8*C8</f>
        <v>0</v>
      </c>
      <c r="H8" s="1087">
        <f t="shared" ref="H8:H71" si="4">E8+G8</f>
        <v>0</v>
      </c>
      <c r="I8" s="1087">
        <f t="shared" ref="I8:I71" si="5">ROUND(H8/12,0)</f>
        <v>0</v>
      </c>
      <c r="J8" s="1086">
        <f>'Table 3 Levels 1&amp;2'!AT9</f>
        <v>2616.0300000000002</v>
      </c>
      <c r="K8" s="1088">
        <f t="shared" ref="K8:K71" si="6">C8*J8</f>
        <v>0</v>
      </c>
      <c r="L8" s="1088">
        <f t="shared" ref="L8:L71" si="7">ROUND(K8/12,0)</f>
        <v>0</v>
      </c>
      <c r="M8" s="1089">
        <f t="shared" ref="M8:M71" si="8">H8+K8</f>
        <v>0</v>
      </c>
      <c r="N8" s="1089">
        <f t="shared" si="1"/>
        <v>0</v>
      </c>
    </row>
    <row r="9" spans="1:14" ht="12.75" customHeight="1">
      <c r="A9" s="1028">
        <v>3</v>
      </c>
      <c r="B9" s="1029" t="s">
        <v>104</v>
      </c>
      <c r="C9" s="1160">
        <f>'Table 8 2.1.12 MFP Funded'!AB6</f>
        <v>10</v>
      </c>
      <c r="D9" s="1031">
        <f>'Table 3 Levels 1&amp;2'!AL10</f>
        <v>4326.5384352059973</v>
      </c>
      <c r="E9" s="1087">
        <f t="shared" si="2"/>
        <v>43265.384352059977</v>
      </c>
      <c r="F9" s="1087">
        <f>'Table 4 Level 3'!P8</f>
        <v>596.84</v>
      </c>
      <c r="G9" s="1087">
        <f t="shared" si="3"/>
        <v>5968.4000000000005</v>
      </c>
      <c r="H9" s="1087">
        <f t="shared" si="4"/>
        <v>49233.784352059978</v>
      </c>
      <c r="I9" s="1087">
        <f t="shared" si="5"/>
        <v>4103</v>
      </c>
      <c r="J9" s="1086">
        <f>'Table 3 Levels 1&amp;2'!AT10</f>
        <v>3358.67</v>
      </c>
      <c r="K9" s="1088">
        <f t="shared" si="6"/>
        <v>33586.699999999997</v>
      </c>
      <c r="L9" s="1088">
        <f t="shared" si="7"/>
        <v>2799</v>
      </c>
      <c r="M9" s="1089">
        <f t="shared" si="8"/>
        <v>82820.484352059982</v>
      </c>
      <c r="N9" s="1089">
        <f t="shared" si="1"/>
        <v>6902</v>
      </c>
    </row>
    <row r="10" spans="1:14" ht="12.75" customHeight="1">
      <c r="A10" s="1028">
        <v>4</v>
      </c>
      <c r="B10" s="1029" t="s">
        <v>105</v>
      </c>
      <c r="C10" s="1160">
        <f>'Table 8 2.1.12 MFP Funded'!AB7</f>
        <v>1</v>
      </c>
      <c r="D10" s="1031">
        <f>'Table 3 Levels 1&amp;2'!AL11</f>
        <v>6066.2659652331004</v>
      </c>
      <c r="E10" s="1087">
        <f t="shared" si="2"/>
        <v>6066.2659652331004</v>
      </c>
      <c r="F10" s="1087">
        <f>'Table 4 Level 3'!P9</f>
        <v>585.76</v>
      </c>
      <c r="G10" s="1087">
        <f t="shared" si="3"/>
        <v>585.76</v>
      </c>
      <c r="H10" s="1087">
        <f t="shared" si="4"/>
        <v>6652.0259652331006</v>
      </c>
      <c r="I10" s="1087">
        <f t="shared" si="5"/>
        <v>554</v>
      </c>
      <c r="J10" s="1086">
        <f>'Table 3 Levels 1&amp;2'!AT11</f>
        <v>3133.44</v>
      </c>
      <c r="K10" s="1088">
        <f t="shared" si="6"/>
        <v>3133.44</v>
      </c>
      <c r="L10" s="1088">
        <f t="shared" si="7"/>
        <v>261</v>
      </c>
      <c r="M10" s="1089">
        <f t="shared" si="8"/>
        <v>9785.4659652331011</v>
      </c>
      <c r="N10" s="1089">
        <f t="shared" si="1"/>
        <v>815</v>
      </c>
    </row>
    <row r="11" spans="1:14">
      <c r="A11" s="1032">
        <v>5</v>
      </c>
      <c r="B11" s="1033" t="s">
        <v>106</v>
      </c>
      <c r="C11" s="1161">
        <f>'Table 8 2.1.12 MFP Funded'!AB8</f>
        <v>4</v>
      </c>
      <c r="D11" s="1035">
        <f>'Table 3 Levels 1&amp;2'!AL12</f>
        <v>4806.2126132223084</v>
      </c>
      <c r="E11" s="1090">
        <f t="shared" si="2"/>
        <v>19224.850452889234</v>
      </c>
      <c r="F11" s="1090">
        <f>'Table 4 Level 3'!P10</f>
        <v>555.91</v>
      </c>
      <c r="G11" s="1090">
        <f t="shared" si="3"/>
        <v>2223.64</v>
      </c>
      <c r="H11" s="1090">
        <f t="shared" si="4"/>
        <v>21448.490452889233</v>
      </c>
      <c r="I11" s="1090">
        <f t="shared" si="5"/>
        <v>1787</v>
      </c>
      <c r="J11" s="1091">
        <f>'Table 3 Levels 1&amp;2'!AT12</f>
        <v>1183.8900000000001</v>
      </c>
      <c r="K11" s="1092">
        <f t="shared" si="6"/>
        <v>4735.5600000000004</v>
      </c>
      <c r="L11" s="1092">
        <f t="shared" si="7"/>
        <v>395</v>
      </c>
      <c r="M11" s="1093">
        <f t="shared" si="8"/>
        <v>26184.050452889234</v>
      </c>
      <c r="N11" s="1093">
        <f t="shared" si="1"/>
        <v>2182</v>
      </c>
    </row>
    <row r="12" spans="1:14" ht="12.75" customHeight="1">
      <c r="A12" s="1021">
        <v>6</v>
      </c>
      <c r="B12" s="1022" t="s">
        <v>107</v>
      </c>
      <c r="C12" s="1159">
        <f>'Table 8 2.1.12 MFP Funded'!AB9</f>
        <v>1</v>
      </c>
      <c r="D12" s="1024">
        <f>'Table 3 Levels 1&amp;2'!AL13</f>
        <v>5538.0879878550813</v>
      </c>
      <c r="E12" s="1025">
        <f t="shared" si="2"/>
        <v>5538.0879878550813</v>
      </c>
      <c r="F12" s="1025">
        <f>'Table 4 Level 3'!P11</f>
        <v>545.4799999999999</v>
      </c>
      <c r="G12" s="1025">
        <f t="shared" si="3"/>
        <v>545.4799999999999</v>
      </c>
      <c r="H12" s="1025">
        <f t="shared" si="4"/>
        <v>6083.5679878550809</v>
      </c>
      <c r="I12" s="1025">
        <f t="shared" si="5"/>
        <v>507</v>
      </c>
      <c r="J12" s="1086">
        <f>'Table 3 Levels 1&amp;2'!AT13</f>
        <v>3081.93</v>
      </c>
      <c r="K12" s="1026">
        <f t="shared" si="6"/>
        <v>3081.93</v>
      </c>
      <c r="L12" s="1026">
        <f t="shared" si="7"/>
        <v>257</v>
      </c>
      <c r="M12" s="1027">
        <f t="shared" si="8"/>
        <v>9165.4979878550803</v>
      </c>
      <c r="N12" s="1027">
        <f t="shared" si="1"/>
        <v>764</v>
      </c>
    </row>
    <row r="13" spans="1:14">
      <c r="A13" s="1028">
        <v>7</v>
      </c>
      <c r="B13" s="1029" t="s">
        <v>108</v>
      </c>
      <c r="C13" s="1160">
        <f>'Table 8 2.1.12 MFP Funded'!AB10</f>
        <v>0</v>
      </c>
      <c r="D13" s="1031">
        <f>'Table 3 Levels 1&amp;2'!AL14</f>
        <v>1543.5712353471597</v>
      </c>
      <c r="E13" s="1087">
        <f t="shared" si="2"/>
        <v>0</v>
      </c>
      <c r="F13" s="1087">
        <f>'Table 4 Level 3'!P12</f>
        <v>756.91999999999985</v>
      </c>
      <c r="G13" s="1087">
        <f t="shared" si="3"/>
        <v>0</v>
      </c>
      <c r="H13" s="1087">
        <f t="shared" si="4"/>
        <v>0</v>
      </c>
      <c r="I13" s="1087">
        <f t="shared" si="5"/>
        <v>0</v>
      </c>
      <c r="J13" s="1086">
        <f>'Table 3 Levels 1&amp;2'!AT14</f>
        <v>6138.11</v>
      </c>
      <c r="K13" s="1088">
        <f t="shared" si="6"/>
        <v>0</v>
      </c>
      <c r="L13" s="1088">
        <f t="shared" si="7"/>
        <v>0</v>
      </c>
      <c r="M13" s="1089">
        <f t="shared" si="8"/>
        <v>0</v>
      </c>
      <c r="N13" s="1089">
        <f t="shared" si="1"/>
        <v>0</v>
      </c>
    </row>
    <row r="14" spans="1:14">
      <c r="A14" s="1028">
        <v>8</v>
      </c>
      <c r="B14" s="1029" t="s">
        <v>109</v>
      </c>
      <c r="C14" s="1160">
        <f>'Table 8 2.1.12 MFP Funded'!AB11</f>
        <v>2</v>
      </c>
      <c r="D14" s="1031">
        <f>'Table 3 Levels 1&amp;2'!AL15</f>
        <v>4033.4866571910334</v>
      </c>
      <c r="E14" s="1087">
        <f t="shared" si="2"/>
        <v>8066.9733143820667</v>
      </c>
      <c r="F14" s="1087">
        <f>'Table 4 Level 3'!P13</f>
        <v>725.76</v>
      </c>
      <c r="G14" s="1087">
        <f t="shared" si="3"/>
        <v>1451.52</v>
      </c>
      <c r="H14" s="1087">
        <f t="shared" si="4"/>
        <v>9518.4933143820672</v>
      </c>
      <c r="I14" s="1087">
        <f t="shared" si="5"/>
        <v>793</v>
      </c>
      <c r="J14" s="1086">
        <f>'Table 3 Levels 1&amp;2'!AT15</f>
        <v>3546.81</v>
      </c>
      <c r="K14" s="1088">
        <f t="shared" si="6"/>
        <v>7093.62</v>
      </c>
      <c r="L14" s="1088">
        <f t="shared" si="7"/>
        <v>591</v>
      </c>
      <c r="M14" s="1089">
        <f t="shared" si="8"/>
        <v>16612.113314382066</v>
      </c>
      <c r="N14" s="1089">
        <f t="shared" si="1"/>
        <v>1384</v>
      </c>
    </row>
    <row r="15" spans="1:14">
      <c r="A15" s="1028">
        <v>9</v>
      </c>
      <c r="B15" s="1029" t="s">
        <v>110</v>
      </c>
      <c r="C15" s="1160">
        <f>'Table 8 2.1.12 MFP Funded'!AB12</f>
        <v>8</v>
      </c>
      <c r="D15" s="1031">
        <f>'Table 3 Levels 1&amp;2'!AL16</f>
        <v>4268.3217271902904</v>
      </c>
      <c r="E15" s="1087">
        <f t="shared" si="2"/>
        <v>34146.573817522323</v>
      </c>
      <c r="F15" s="1087">
        <f>'Table 4 Level 3'!P14</f>
        <v>744.76</v>
      </c>
      <c r="G15" s="1087">
        <f t="shared" si="3"/>
        <v>5958.08</v>
      </c>
      <c r="H15" s="1087">
        <f t="shared" si="4"/>
        <v>40104.653817522325</v>
      </c>
      <c r="I15" s="1087">
        <f t="shared" si="5"/>
        <v>3342</v>
      </c>
      <c r="J15" s="1086">
        <f>'Table 3 Levels 1&amp;2'!AT16</f>
        <v>3511.93</v>
      </c>
      <c r="K15" s="1088">
        <f t="shared" si="6"/>
        <v>28095.439999999999</v>
      </c>
      <c r="L15" s="1088">
        <f t="shared" si="7"/>
        <v>2341</v>
      </c>
      <c r="M15" s="1089">
        <f t="shared" si="8"/>
        <v>68200.093817522327</v>
      </c>
      <c r="N15" s="1089">
        <f t="shared" si="1"/>
        <v>5683</v>
      </c>
    </row>
    <row r="16" spans="1:14">
      <c r="A16" s="1032">
        <v>10</v>
      </c>
      <c r="B16" s="1033" t="s">
        <v>111</v>
      </c>
      <c r="C16" s="1161">
        <f>'Table 8 2.1.12 MFP Funded'!AB13</f>
        <v>9</v>
      </c>
      <c r="D16" s="1035">
        <f>'Table 3 Levels 1&amp;2'!AL17</f>
        <v>4300.0681374076885</v>
      </c>
      <c r="E16" s="1090">
        <f t="shared" si="2"/>
        <v>38700.613236669196</v>
      </c>
      <c r="F16" s="1090">
        <f>'Table 4 Level 3'!P15</f>
        <v>608.04000000000008</v>
      </c>
      <c r="G16" s="1090">
        <f t="shared" si="3"/>
        <v>5472.3600000000006</v>
      </c>
      <c r="H16" s="1090">
        <f t="shared" si="4"/>
        <v>44172.973236669197</v>
      </c>
      <c r="I16" s="1090">
        <f t="shared" si="5"/>
        <v>3681</v>
      </c>
      <c r="J16" s="1091">
        <f>'Table 3 Levels 1&amp;2'!AT17</f>
        <v>3798.82</v>
      </c>
      <c r="K16" s="1092">
        <f t="shared" si="6"/>
        <v>34189.380000000005</v>
      </c>
      <c r="L16" s="1092">
        <f t="shared" si="7"/>
        <v>2849</v>
      </c>
      <c r="M16" s="1093">
        <f t="shared" si="8"/>
        <v>78362.353236669209</v>
      </c>
      <c r="N16" s="1093">
        <f t="shared" si="1"/>
        <v>6530</v>
      </c>
    </row>
    <row r="17" spans="1:14">
      <c r="A17" s="1021">
        <v>11</v>
      </c>
      <c r="B17" s="1022" t="s">
        <v>112</v>
      </c>
      <c r="C17" s="1159">
        <f>'Table 8 2.1.12 MFP Funded'!AB14</f>
        <v>0</v>
      </c>
      <c r="D17" s="1024">
        <f>'Table 3 Levels 1&amp;2'!AL18</f>
        <v>6740.2393955908683</v>
      </c>
      <c r="E17" s="1025">
        <f t="shared" si="2"/>
        <v>0</v>
      </c>
      <c r="F17" s="1025">
        <f>'Table 4 Level 3'!P16</f>
        <v>706.55</v>
      </c>
      <c r="G17" s="1025">
        <f t="shared" si="3"/>
        <v>0</v>
      </c>
      <c r="H17" s="1025">
        <f t="shared" si="4"/>
        <v>0</v>
      </c>
      <c r="I17" s="1025">
        <f t="shared" si="5"/>
        <v>0</v>
      </c>
      <c r="J17" s="1086">
        <f>'Table 3 Levels 1&amp;2'!AT18</f>
        <v>3219.82</v>
      </c>
      <c r="K17" s="1026">
        <f t="shared" si="6"/>
        <v>0</v>
      </c>
      <c r="L17" s="1026">
        <f t="shared" si="7"/>
        <v>0</v>
      </c>
      <c r="M17" s="1027">
        <f t="shared" si="8"/>
        <v>0</v>
      </c>
      <c r="N17" s="1027">
        <f t="shared" si="1"/>
        <v>0</v>
      </c>
    </row>
    <row r="18" spans="1:14">
      <c r="A18" s="1028">
        <v>12</v>
      </c>
      <c r="B18" s="1029" t="s">
        <v>113</v>
      </c>
      <c r="C18" s="1160">
        <f>'Table 8 2.1.12 MFP Funded'!AB15</f>
        <v>0</v>
      </c>
      <c r="D18" s="1031">
        <f>'Table 3 Levels 1&amp;2'!AL19</f>
        <v>1781.2877551020408</v>
      </c>
      <c r="E18" s="1087">
        <f t="shared" si="2"/>
        <v>0</v>
      </c>
      <c r="F18" s="1087">
        <f>'Table 4 Level 3'!P17</f>
        <v>1063.31</v>
      </c>
      <c r="G18" s="1087">
        <f t="shared" si="3"/>
        <v>0</v>
      </c>
      <c r="H18" s="1087">
        <f t="shared" si="4"/>
        <v>0</v>
      </c>
      <c r="I18" s="1087">
        <f t="shared" si="5"/>
        <v>0</v>
      </c>
      <c r="J18" s="1086">
        <f>'Table 3 Levels 1&amp;2'!AT19</f>
        <v>6240.06</v>
      </c>
      <c r="K18" s="1088">
        <f t="shared" si="6"/>
        <v>0</v>
      </c>
      <c r="L18" s="1088">
        <f t="shared" si="7"/>
        <v>0</v>
      </c>
      <c r="M18" s="1089">
        <f t="shared" si="8"/>
        <v>0</v>
      </c>
      <c r="N18" s="1089">
        <f t="shared" si="1"/>
        <v>0</v>
      </c>
    </row>
    <row r="19" spans="1:14">
      <c r="A19" s="1028">
        <v>13</v>
      </c>
      <c r="B19" s="1029" t="s">
        <v>114</v>
      </c>
      <c r="C19" s="1160">
        <f>'Table 8 2.1.12 MFP Funded'!AB16</f>
        <v>0</v>
      </c>
      <c r="D19" s="1031">
        <f>'Table 3 Levels 1&amp;2'!AL20</f>
        <v>6125.5331903699798</v>
      </c>
      <c r="E19" s="1087">
        <f t="shared" si="2"/>
        <v>0</v>
      </c>
      <c r="F19" s="1087">
        <f>'Table 4 Level 3'!P18</f>
        <v>749.43000000000006</v>
      </c>
      <c r="G19" s="1087">
        <f t="shared" si="3"/>
        <v>0</v>
      </c>
      <c r="H19" s="1087">
        <f t="shared" si="4"/>
        <v>0</v>
      </c>
      <c r="I19" s="1087">
        <f t="shared" si="5"/>
        <v>0</v>
      </c>
      <c r="J19" s="1086">
        <f>'Table 3 Levels 1&amp;2'!AT20</f>
        <v>2455.5100000000002</v>
      </c>
      <c r="K19" s="1088">
        <f t="shared" si="6"/>
        <v>0</v>
      </c>
      <c r="L19" s="1088">
        <f t="shared" si="7"/>
        <v>0</v>
      </c>
      <c r="M19" s="1089">
        <f t="shared" si="8"/>
        <v>0</v>
      </c>
      <c r="N19" s="1089">
        <f t="shared" si="1"/>
        <v>0</v>
      </c>
    </row>
    <row r="20" spans="1:14" ht="12.75" customHeight="1">
      <c r="A20" s="1028">
        <v>14</v>
      </c>
      <c r="B20" s="1029" t="s">
        <v>115</v>
      </c>
      <c r="C20" s="1160">
        <f>'Table 8 2.1.12 MFP Funded'!AB17</f>
        <v>0</v>
      </c>
      <c r="D20" s="1031">
        <f>'Table 3 Levels 1&amp;2'!AL21</f>
        <v>5278.0936993421856</v>
      </c>
      <c r="E20" s="1087">
        <f t="shared" si="2"/>
        <v>0</v>
      </c>
      <c r="F20" s="1087">
        <f>'Table 4 Level 3'!P19</f>
        <v>809.9799999999999</v>
      </c>
      <c r="G20" s="1087">
        <f t="shared" si="3"/>
        <v>0</v>
      </c>
      <c r="H20" s="1087">
        <f t="shared" si="4"/>
        <v>0</v>
      </c>
      <c r="I20" s="1087">
        <f t="shared" si="5"/>
        <v>0</v>
      </c>
      <c r="J20" s="1086">
        <f>'Table 3 Levels 1&amp;2'!AT21</f>
        <v>3518.41</v>
      </c>
      <c r="K20" s="1088">
        <f t="shared" si="6"/>
        <v>0</v>
      </c>
      <c r="L20" s="1088">
        <f t="shared" si="7"/>
        <v>0</v>
      </c>
      <c r="M20" s="1089">
        <f t="shared" si="8"/>
        <v>0</v>
      </c>
      <c r="N20" s="1089">
        <f t="shared" si="1"/>
        <v>0</v>
      </c>
    </row>
    <row r="21" spans="1:14">
      <c r="A21" s="1032">
        <v>15</v>
      </c>
      <c r="B21" s="1033" t="s">
        <v>116</v>
      </c>
      <c r="C21" s="1161">
        <f>'Table 8 2.1.12 MFP Funded'!AB18</f>
        <v>0</v>
      </c>
      <c r="D21" s="1035">
        <f>'Table 3 Levels 1&amp;2'!AL22</f>
        <v>5428.9842692179664</v>
      </c>
      <c r="E21" s="1090">
        <f t="shared" si="2"/>
        <v>0</v>
      </c>
      <c r="F21" s="1090">
        <f>'Table 4 Level 3'!P20</f>
        <v>553.79999999999995</v>
      </c>
      <c r="G21" s="1090">
        <f t="shared" si="3"/>
        <v>0</v>
      </c>
      <c r="H21" s="1090">
        <f t="shared" si="4"/>
        <v>0</v>
      </c>
      <c r="I21" s="1090">
        <f t="shared" si="5"/>
        <v>0</v>
      </c>
      <c r="J21" s="1091">
        <f>'Table 3 Levels 1&amp;2'!AT22</f>
        <v>2623.49</v>
      </c>
      <c r="K21" s="1092">
        <f t="shared" si="6"/>
        <v>0</v>
      </c>
      <c r="L21" s="1092">
        <f t="shared" si="7"/>
        <v>0</v>
      </c>
      <c r="M21" s="1093">
        <f t="shared" si="8"/>
        <v>0</v>
      </c>
      <c r="N21" s="1093">
        <f t="shared" si="1"/>
        <v>0</v>
      </c>
    </row>
    <row r="22" spans="1:14">
      <c r="A22" s="1021">
        <v>16</v>
      </c>
      <c r="B22" s="1022" t="s">
        <v>117</v>
      </c>
      <c r="C22" s="1159">
        <f>'Table 8 2.1.12 MFP Funded'!AB19</f>
        <v>0</v>
      </c>
      <c r="D22" s="1024">
        <f>'Table 3 Levels 1&amp;2'!AL23</f>
        <v>1501.2470754125757</v>
      </c>
      <c r="E22" s="1025">
        <f t="shared" si="2"/>
        <v>0</v>
      </c>
      <c r="F22" s="1025">
        <f>'Table 4 Level 3'!P21</f>
        <v>686.73</v>
      </c>
      <c r="G22" s="1025">
        <f t="shared" si="3"/>
        <v>0</v>
      </c>
      <c r="H22" s="1025">
        <f t="shared" si="4"/>
        <v>0</v>
      </c>
      <c r="I22" s="1025">
        <f t="shared" si="5"/>
        <v>0</v>
      </c>
      <c r="J22" s="1086">
        <f>'Table 3 Levels 1&amp;2'!AT23</f>
        <v>5917.14</v>
      </c>
      <c r="K22" s="1026">
        <f t="shared" si="6"/>
        <v>0</v>
      </c>
      <c r="L22" s="1026">
        <f t="shared" si="7"/>
        <v>0</v>
      </c>
      <c r="M22" s="1027">
        <f t="shared" si="8"/>
        <v>0</v>
      </c>
      <c r="N22" s="1027">
        <f t="shared" si="1"/>
        <v>0</v>
      </c>
    </row>
    <row r="23" spans="1:14">
      <c r="A23" s="1028">
        <v>17</v>
      </c>
      <c r="B23" s="1029" t="s">
        <v>118</v>
      </c>
      <c r="C23" s="1160">
        <f>'Table 8 2.1.12 MFP Funded'!AB20</f>
        <v>48</v>
      </c>
      <c r="D23" s="1031">
        <f>'Table 3 Levels 1&amp;2'!AL24</f>
        <v>3386.5716964570697</v>
      </c>
      <c r="E23" s="1087">
        <f t="shared" si="2"/>
        <v>162555.44142993935</v>
      </c>
      <c r="F23" s="1087">
        <f>'Table 5B2_RSD_LA'!F7</f>
        <v>801.47762416806802</v>
      </c>
      <c r="G23" s="1087">
        <f t="shared" si="3"/>
        <v>38470.925960067267</v>
      </c>
      <c r="H23" s="1087">
        <f t="shared" si="4"/>
        <v>201026.36739000661</v>
      </c>
      <c r="I23" s="1087">
        <f t="shared" si="5"/>
        <v>16752</v>
      </c>
      <c r="J23" s="1086">
        <f>'Table 3 Levels 1&amp;2'!AT24</f>
        <v>4548.13</v>
      </c>
      <c r="K23" s="1088">
        <f t="shared" si="6"/>
        <v>218310.24</v>
      </c>
      <c r="L23" s="1088">
        <f t="shared" si="7"/>
        <v>18193</v>
      </c>
      <c r="M23" s="1089">
        <f t="shared" si="8"/>
        <v>419336.6073900066</v>
      </c>
      <c r="N23" s="1089">
        <f t="shared" si="1"/>
        <v>34945</v>
      </c>
    </row>
    <row r="24" spans="1:14">
      <c r="A24" s="1028">
        <v>18</v>
      </c>
      <c r="B24" s="1029" t="s">
        <v>119</v>
      </c>
      <c r="C24" s="1160">
        <f>'Table 8 2.1.12 MFP Funded'!AB21</f>
        <v>0</v>
      </c>
      <c r="D24" s="1031">
        <f>'Table 3 Levels 1&amp;2'!AL25</f>
        <v>5798.0598063231446</v>
      </c>
      <c r="E24" s="1087">
        <f t="shared" si="2"/>
        <v>0</v>
      </c>
      <c r="F24" s="1087">
        <f>'Table 4 Level 3'!P23</f>
        <v>845.94999999999993</v>
      </c>
      <c r="G24" s="1087">
        <f t="shared" si="3"/>
        <v>0</v>
      </c>
      <c r="H24" s="1087">
        <f t="shared" si="4"/>
        <v>0</v>
      </c>
      <c r="I24" s="1087">
        <f t="shared" si="5"/>
        <v>0</v>
      </c>
      <c r="J24" s="1086">
        <f>'Table 3 Levels 1&amp;2'!AT25</f>
        <v>1808.29</v>
      </c>
      <c r="K24" s="1088">
        <f t="shared" si="6"/>
        <v>0</v>
      </c>
      <c r="L24" s="1088">
        <f t="shared" si="7"/>
        <v>0</v>
      </c>
      <c r="M24" s="1089">
        <f t="shared" si="8"/>
        <v>0</v>
      </c>
      <c r="N24" s="1089">
        <f t="shared" si="1"/>
        <v>0</v>
      </c>
    </row>
    <row r="25" spans="1:14">
      <c r="A25" s="1028">
        <v>19</v>
      </c>
      <c r="B25" s="1029" t="s">
        <v>120</v>
      </c>
      <c r="C25" s="1160">
        <f>'Table 8 2.1.12 MFP Funded'!AB22</f>
        <v>4</v>
      </c>
      <c r="D25" s="1031">
        <f>'Table 3 Levels 1&amp;2'!AL26</f>
        <v>5219.1012787873206</v>
      </c>
      <c r="E25" s="1087">
        <f t="shared" si="2"/>
        <v>20876.405115149282</v>
      </c>
      <c r="F25" s="1087">
        <f>'Table 4 Level 3'!P24</f>
        <v>905.43</v>
      </c>
      <c r="G25" s="1087">
        <f t="shared" si="3"/>
        <v>3621.72</v>
      </c>
      <c r="H25" s="1087">
        <f t="shared" si="4"/>
        <v>24498.125115149283</v>
      </c>
      <c r="I25" s="1087">
        <f t="shared" si="5"/>
        <v>2042</v>
      </c>
      <c r="J25" s="1086">
        <f>'Table 3 Levels 1&amp;2'!AT26</f>
        <v>2267.1</v>
      </c>
      <c r="K25" s="1088">
        <f t="shared" si="6"/>
        <v>9068.4</v>
      </c>
      <c r="L25" s="1088">
        <f t="shared" si="7"/>
        <v>756</v>
      </c>
      <c r="M25" s="1089">
        <f t="shared" si="8"/>
        <v>33566.525115149285</v>
      </c>
      <c r="N25" s="1089">
        <f t="shared" si="1"/>
        <v>2798</v>
      </c>
    </row>
    <row r="26" spans="1:14">
      <c r="A26" s="1032">
        <v>20</v>
      </c>
      <c r="B26" s="1033" t="s">
        <v>121</v>
      </c>
      <c r="C26" s="1161">
        <f>'Table 8 2.1.12 MFP Funded'!AB23</f>
        <v>4</v>
      </c>
      <c r="D26" s="1035">
        <f>'Table 3 Levels 1&amp;2'!AL27</f>
        <v>5441.7799844976798</v>
      </c>
      <c r="E26" s="1090">
        <f t="shared" si="2"/>
        <v>21767.119937990719</v>
      </c>
      <c r="F26" s="1090">
        <f>'Table 4 Level 3'!P25</f>
        <v>586.16999999999996</v>
      </c>
      <c r="G26" s="1090">
        <f t="shared" si="3"/>
        <v>2344.6799999999998</v>
      </c>
      <c r="H26" s="1090">
        <f t="shared" si="4"/>
        <v>24111.79993799072</v>
      </c>
      <c r="I26" s="1090">
        <f t="shared" si="5"/>
        <v>2009</v>
      </c>
      <c r="J26" s="1091">
        <f>'Table 3 Levels 1&amp;2'!AT27</f>
        <v>2246.13</v>
      </c>
      <c r="K26" s="1092">
        <f t="shared" si="6"/>
        <v>8984.52</v>
      </c>
      <c r="L26" s="1092">
        <f t="shared" si="7"/>
        <v>749</v>
      </c>
      <c r="M26" s="1093">
        <f t="shared" si="8"/>
        <v>33096.319937990716</v>
      </c>
      <c r="N26" s="1093">
        <f t="shared" si="1"/>
        <v>2758</v>
      </c>
    </row>
    <row r="27" spans="1:14">
      <c r="A27" s="1021">
        <v>21</v>
      </c>
      <c r="B27" s="1022" t="s">
        <v>122</v>
      </c>
      <c r="C27" s="1159">
        <f>'Table 8 2.1.12 MFP Funded'!AB24</f>
        <v>0</v>
      </c>
      <c r="D27" s="1024">
        <f>'Table 3 Levels 1&amp;2'!AL28</f>
        <v>5718.7800910915075</v>
      </c>
      <c r="E27" s="1025">
        <f t="shared" si="2"/>
        <v>0</v>
      </c>
      <c r="F27" s="1025">
        <f>'Table 4 Level 3'!P26</f>
        <v>610.35</v>
      </c>
      <c r="G27" s="1025">
        <f t="shared" si="3"/>
        <v>0</v>
      </c>
      <c r="H27" s="1025">
        <f t="shared" si="4"/>
        <v>0</v>
      </c>
      <c r="I27" s="1025">
        <f t="shared" si="5"/>
        <v>0</v>
      </c>
      <c r="J27" s="1086">
        <f>'Table 3 Levels 1&amp;2'!AT28</f>
        <v>2032.39</v>
      </c>
      <c r="K27" s="1026">
        <f t="shared" si="6"/>
        <v>0</v>
      </c>
      <c r="L27" s="1026">
        <f t="shared" si="7"/>
        <v>0</v>
      </c>
      <c r="M27" s="1027">
        <f t="shared" si="8"/>
        <v>0</v>
      </c>
      <c r="N27" s="1027">
        <f t="shared" si="1"/>
        <v>0</v>
      </c>
    </row>
    <row r="28" spans="1:14">
      <c r="A28" s="1028">
        <v>22</v>
      </c>
      <c r="B28" s="1029" t="s">
        <v>123</v>
      </c>
      <c r="C28" s="1160">
        <f>'Table 8 2.1.12 MFP Funded'!AB25</f>
        <v>0</v>
      </c>
      <c r="D28" s="1031">
        <f>'Table 3 Levels 1&amp;2'!AL29</f>
        <v>6198.830003500153</v>
      </c>
      <c r="E28" s="1087">
        <f t="shared" si="2"/>
        <v>0</v>
      </c>
      <c r="F28" s="1087">
        <f>'Table 4 Level 3'!P27</f>
        <v>496.36</v>
      </c>
      <c r="G28" s="1087">
        <f t="shared" si="3"/>
        <v>0</v>
      </c>
      <c r="H28" s="1087">
        <f t="shared" si="4"/>
        <v>0</v>
      </c>
      <c r="I28" s="1087">
        <f t="shared" si="5"/>
        <v>0</v>
      </c>
      <c r="J28" s="1086">
        <f>'Table 3 Levels 1&amp;2'!AT29</f>
        <v>1574.44</v>
      </c>
      <c r="K28" s="1088">
        <f t="shared" si="6"/>
        <v>0</v>
      </c>
      <c r="L28" s="1088">
        <f t="shared" si="7"/>
        <v>0</v>
      </c>
      <c r="M28" s="1089">
        <f t="shared" si="8"/>
        <v>0</v>
      </c>
      <c r="N28" s="1089">
        <f t="shared" si="1"/>
        <v>0</v>
      </c>
    </row>
    <row r="29" spans="1:14">
      <c r="A29" s="1028">
        <v>23</v>
      </c>
      <c r="B29" s="1029" t="s">
        <v>124</v>
      </c>
      <c r="C29" s="1160">
        <f>'Table 8 2.1.12 MFP Funded'!AB26</f>
        <v>2</v>
      </c>
      <c r="D29" s="1031">
        <f>'Table 3 Levels 1&amp;2'!AL30</f>
        <v>4809.0299298140199</v>
      </c>
      <c r="E29" s="1087">
        <f t="shared" si="2"/>
        <v>9618.0598596280397</v>
      </c>
      <c r="F29" s="1087">
        <f>'Table 4 Level 3'!P28</f>
        <v>688.58</v>
      </c>
      <c r="G29" s="1087">
        <f t="shared" si="3"/>
        <v>1377.16</v>
      </c>
      <c r="H29" s="1087">
        <f t="shared" si="4"/>
        <v>10995.21985962804</v>
      </c>
      <c r="I29" s="1087">
        <f t="shared" si="5"/>
        <v>916</v>
      </c>
      <c r="J29" s="1086">
        <f>'Table 3 Levels 1&amp;2'!AT30</f>
        <v>3128.39</v>
      </c>
      <c r="K29" s="1088">
        <f t="shared" si="6"/>
        <v>6256.78</v>
      </c>
      <c r="L29" s="1088">
        <f t="shared" si="7"/>
        <v>521</v>
      </c>
      <c r="M29" s="1089">
        <f t="shared" si="8"/>
        <v>17251.999859628038</v>
      </c>
      <c r="N29" s="1089">
        <f t="shared" si="1"/>
        <v>1437</v>
      </c>
    </row>
    <row r="30" spans="1:14">
      <c r="A30" s="1028">
        <v>24</v>
      </c>
      <c r="B30" s="1029" t="s">
        <v>125</v>
      </c>
      <c r="C30" s="1160">
        <f>'Table 8 2.1.12 MFP Funded'!AB27</f>
        <v>7</v>
      </c>
      <c r="D30" s="1031">
        <f>'Table 3 Levels 1&amp;2'!AL31</f>
        <v>2649.7787452556372</v>
      </c>
      <c r="E30" s="1087">
        <f t="shared" si="2"/>
        <v>18548.451216789461</v>
      </c>
      <c r="F30" s="1087">
        <f>'Table 4 Level 3'!P29</f>
        <v>854.24999999999989</v>
      </c>
      <c r="G30" s="1087">
        <f t="shared" si="3"/>
        <v>5979.7499999999991</v>
      </c>
      <c r="H30" s="1087">
        <f t="shared" si="4"/>
        <v>24528.201216789461</v>
      </c>
      <c r="I30" s="1087">
        <f t="shared" si="5"/>
        <v>2044</v>
      </c>
      <c r="J30" s="1086">
        <f>'Table 3 Levels 1&amp;2'!AT31</f>
        <v>5353.59</v>
      </c>
      <c r="K30" s="1088">
        <f t="shared" si="6"/>
        <v>37475.130000000005</v>
      </c>
      <c r="L30" s="1088">
        <f t="shared" si="7"/>
        <v>3123</v>
      </c>
      <c r="M30" s="1089">
        <f t="shared" si="8"/>
        <v>62003.331216789462</v>
      </c>
      <c r="N30" s="1089">
        <f t="shared" si="1"/>
        <v>5167</v>
      </c>
    </row>
    <row r="31" spans="1:14">
      <c r="A31" s="1032">
        <v>25</v>
      </c>
      <c r="B31" s="1033" t="s">
        <v>126</v>
      </c>
      <c r="C31" s="1161">
        <f>'Table 8 2.1.12 MFP Funded'!AB28</f>
        <v>0</v>
      </c>
      <c r="D31" s="1035">
        <f>'Table 3 Levels 1&amp;2'!AL32</f>
        <v>3848.3923674564248</v>
      </c>
      <c r="E31" s="1090">
        <f t="shared" si="2"/>
        <v>0</v>
      </c>
      <c r="F31" s="1090">
        <f>'Table 4 Level 3'!P30</f>
        <v>653.73</v>
      </c>
      <c r="G31" s="1090">
        <f t="shared" si="3"/>
        <v>0</v>
      </c>
      <c r="H31" s="1090">
        <f t="shared" si="4"/>
        <v>0</v>
      </c>
      <c r="I31" s="1090">
        <f t="shared" si="5"/>
        <v>0</v>
      </c>
      <c r="J31" s="1091">
        <f>'Table 3 Levels 1&amp;2'!AT32</f>
        <v>4364.78</v>
      </c>
      <c r="K31" s="1092">
        <f t="shared" si="6"/>
        <v>0</v>
      </c>
      <c r="L31" s="1092">
        <f t="shared" si="7"/>
        <v>0</v>
      </c>
      <c r="M31" s="1093">
        <f t="shared" si="8"/>
        <v>0</v>
      </c>
      <c r="N31" s="1093">
        <f t="shared" si="1"/>
        <v>0</v>
      </c>
    </row>
    <row r="32" spans="1:14">
      <c r="A32" s="1021">
        <v>26</v>
      </c>
      <c r="B32" s="1022" t="s">
        <v>127</v>
      </c>
      <c r="C32" s="1159">
        <f>'Table 8 2.1.12 MFP Funded'!AB29</f>
        <v>6</v>
      </c>
      <c r="D32" s="1024">
        <f>'Table 3 Levels 1&amp;2'!AL33</f>
        <v>3145.9192082835102</v>
      </c>
      <c r="E32" s="1025">
        <f t="shared" si="2"/>
        <v>18875.51524970106</v>
      </c>
      <c r="F32" s="1025">
        <f>'Table 4 Level 3'!P31</f>
        <v>836.83</v>
      </c>
      <c r="G32" s="1025">
        <f t="shared" si="3"/>
        <v>5020.9800000000005</v>
      </c>
      <c r="H32" s="1025">
        <f t="shared" si="4"/>
        <v>23896.49524970106</v>
      </c>
      <c r="I32" s="1025">
        <f t="shared" si="5"/>
        <v>1991</v>
      </c>
      <c r="J32" s="1086">
        <f>'Table 3 Levels 1&amp;2'!AT33</f>
        <v>4844.67</v>
      </c>
      <c r="K32" s="1026">
        <f t="shared" si="6"/>
        <v>29068.02</v>
      </c>
      <c r="L32" s="1026">
        <f t="shared" si="7"/>
        <v>2422</v>
      </c>
      <c r="M32" s="1027">
        <f t="shared" si="8"/>
        <v>52964.515249701057</v>
      </c>
      <c r="N32" s="1027">
        <f t="shared" si="1"/>
        <v>4413</v>
      </c>
    </row>
    <row r="33" spans="1:14">
      <c r="A33" s="1028">
        <v>27</v>
      </c>
      <c r="B33" s="1029" t="s">
        <v>128</v>
      </c>
      <c r="C33" s="1162">
        <f>'Table 8 2.1.12 MFP Funded'!AB30</f>
        <v>1</v>
      </c>
      <c r="D33" s="1037">
        <f>'Table 3 Levels 1&amp;2'!AL34</f>
        <v>5653.5502977926608</v>
      </c>
      <c r="E33" s="1094">
        <f t="shared" si="2"/>
        <v>5653.5502977926608</v>
      </c>
      <c r="F33" s="1094">
        <f>'Table 4 Level 3'!P32</f>
        <v>693.06</v>
      </c>
      <c r="G33" s="1094">
        <f t="shared" si="3"/>
        <v>693.06</v>
      </c>
      <c r="H33" s="1094">
        <f t="shared" si="4"/>
        <v>6346.6102977926603</v>
      </c>
      <c r="I33" s="1094">
        <f t="shared" si="5"/>
        <v>529</v>
      </c>
      <c r="J33" s="1086">
        <f>'Table 3 Levels 1&amp;2'!AT34</f>
        <v>3055.18</v>
      </c>
      <c r="K33" s="1088">
        <f t="shared" si="6"/>
        <v>3055.18</v>
      </c>
      <c r="L33" s="1088">
        <f t="shared" si="7"/>
        <v>255</v>
      </c>
      <c r="M33" s="1089">
        <f t="shared" si="8"/>
        <v>9401.7902977926606</v>
      </c>
      <c r="N33" s="1089">
        <f t="shared" si="1"/>
        <v>784</v>
      </c>
    </row>
    <row r="34" spans="1:14">
      <c r="A34" s="1028">
        <v>28</v>
      </c>
      <c r="B34" s="1029" t="s">
        <v>129</v>
      </c>
      <c r="C34" s="1162">
        <f>'Table 8 2.1.12 MFP Funded'!AB31</f>
        <v>1</v>
      </c>
      <c r="D34" s="1037">
        <f>'Table 3 Levels 1&amp;2'!AL35</f>
        <v>3200.5356505169011</v>
      </c>
      <c r="E34" s="1094">
        <f t="shared" si="2"/>
        <v>3200.5356505169011</v>
      </c>
      <c r="F34" s="1094">
        <f>'Table 4 Level 3'!P33</f>
        <v>694.4</v>
      </c>
      <c r="G34" s="1094">
        <f t="shared" si="3"/>
        <v>694.4</v>
      </c>
      <c r="H34" s="1094">
        <f t="shared" si="4"/>
        <v>3894.9356505169012</v>
      </c>
      <c r="I34" s="1094">
        <f t="shared" si="5"/>
        <v>325</v>
      </c>
      <c r="J34" s="1086">
        <f>'Table 3 Levels 1&amp;2'!AT35</f>
        <v>4167.09</v>
      </c>
      <c r="K34" s="1088">
        <f t="shared" si="6"/>
        <v>4167.09</v>
      </c>
      <c r="L34" s="1088">
        <f t="shared" si="7"/>
        <v>347</v>
      </c>
      <c r="M34" s="1089">
        <f t="shared" si="8"/>
        <v>8062.0256505169018</v>
      </c>
      <c r="N34" s="1089">
        <f t="shared" si="1"/>
        <v>672</v>
      </c>
    </row>
    <row r="35" spans="1:14">
      <c r="A35" s="1028">
        <v>29</v>
      </c>
      <c r="B35" s="1029" t="s">
        <v>130</v>
      </c>
      <c r="C35" s="1162">
        <f>'Table 8 2.1.12 MFP Funded'!AB32</f>
        <v>0</v>
      </c>
      <c r="D35" s="1037">
        <f>'Table 3 Levels 1&amp;2'!AL36</f>
        <v>3945.0399545376122</v>
      </c>
      <c r="E35" s="1094">
        <f t="shared" si="2"/>
        <v>0</v>
      </c>
      <c r="F35" s="1094">
        <f>'Table 4 Level 3'!P34</f>
        <v>754.94999999999993</v>
      </c>
      <c r="G35" s="1094">
        <f t="shared" si="3"/>
        <v>0</v>
      </c>
      <c r="H35" s="1094">
        <f t="shared" si="4"/>
        <v>0</v>
      </c>
      <c r="I35" s="1094">
        <f t="shared" si="5"/>
        <v>0</v>
      </c>
      <c r="J35" s="1086">
        <f>'Table 3 Levels 1&amp;2'!AT36</f>
        <v>3595.05</v>
      </c>
      <c r="K35" s="1088">
        <f t="shared" si="6"/>
        <v>0</v>
      </c>
      <c r="L35" s="1088">
        <f t="shared" si="7"/>
        <v>0</v>
      </c>
      <c r="M35" s="1089">
        <f t="shared" si="8"/>
        <v>0</v>
      </c>
      <c r="N35" s="1089">
        <f t="shared" si="1"/>
        <v>0</v>
      </c>
    </row>
    <row r="36" spans="1:14">
      <c r="A36" s="1032">
        <v>30</v>
      </c>
      <c r="B36" s="1033" t="s">
        <v>131</v>
      </c>
      <c r="C36" s="1163">
        <f>'Table 8 2.1.12 MFP Funded'!AB33</f>
        <v>0</v>
      </c>
      <c r="D36" s="1039">
        <f>'Table 3 Levels 1&amp;2'!AL37</f>
        <v>5594.8916667625617</v>
      </c>
      <c r="E36" s="1095">
        <f t="shared" si="2"/>
        <v>0</v>
      </c>
      <c r="F36" s="1095">
        <f>'Table 4 Level 3'!P35</f>
        <v>727.17</v>
      </c>
      <c r="G36" s="1095">
        <f t="shared" si="3"/>
        <v>0</v>
      </c>
      <c r="H36" s="1095">
        <f t="shared" si="4"/>
        <v>0</v>
      </c>
      <c r="I36" s="1095">
        <f t="shared" si="5"/>
        <v>0</v>
      </c>
      <c r="J36" s="1091">
        <f>'Table 3 Levels 1&amp;2'!AT37</f>
        <v>2994.12</v>
      </c>
      <c r="K36" s="1092">
        <f t="shared" si="6"/>
        <v>0</v>
      </c>
      <c r="L36" s="1092">
        <f t="shared" si="7"/>
        <v>0</v>
      </c>
      <c r="M36" s="1093">
        <f t="shared" si="8"/>
        <v>0</v>
      </c>
      <c r="N36" s="1093">
        <f t="shared" si="1"/>
        <v>0</v>
      </c>
    </row>
    <row r="37" spans="1:14">
      <c r="A37" s="1021">
        <v>31</v>
      </c>
      <c r="B37" s="1022" t="s">
        <v>132</v>
      </c>
      <c r="C37" s="1164">
        <f>'Table 8 2.1.12 MFP Funded'!AB34</f>
        <v>3</v>
      </c>
      <c r="D37" s="1041">
        <f>'Table 3 Levels 1&amp;2'!AL38</f>
        <v>4159.5846806435638</v>
      </c>
      <c r="E37" s="1096">
        <f t="shared" si="2"/>
        <v>12478.754041930692</v>
      </c>
      <c r="F37" s="1096">
        <f>'Table 4 Level 3'!P36</f>
        <v>620.83000000000004</v>
      </c>
      <c r="G37" s="1096">
        <f t="shared" si="3"/>
        <v>1862.4900000000002</v>
      </c>
      <c r="H37" s="1096">
        <f t="shared" si="4"/>
        <v>14341.244041930691</v>
      </c>
      <c r="I37" s="1096">
        <f t="shared" si="5"/>
        <v>1195</v>
      </c>
      <c r="J37" s="1086">
        <f>'Table 3 Levels 1&amp;2'!AT38</f>
        <v>3753.45</v>
      </c>
      <c r="K37" s="1026">
        <f t="shared" si="6"/>
        <v>11260.349999999999</v>
      </c>
      <c r="L37" s="1026">
        <f t="shared" si="7"/>
        <v>938</v>
      </c>
      <c r="M37" s="1027">
        <f t="shared" si="8"/>
        <v>25601.59404193069</v>
      </c>
      <c r="N37" s="1027">
        <f t="shared" si="1"/>
        <v>2133</v>
      </c>
    </row>
    <row r="38" spans="1:14">
      <c r="A38" s="1028">
        <v>32</v>
      </c>
      <c r="B38" s="1029" t="s">
        <v>133</v>
      </c>
      <c r="C38" s="1162">
        <f>'Table 8 2.1.12 MFP Funded'!AB35</f>
        <v>16</v>
      </c>
      <c r="D38" s="1037">
        <f>'Table 3 Levels 1&amp;2'!AL39</f>
        <v>5475.1436637248598</v>
      </c>
      <c r="E38" s="1094">
        <f t="shared" si="2"/>
        <v>87602.298619597757</v>
      </c>
      <c r="F38" s="1094">
        <f>'Table 4 Level 3'!P37</f>
        <v>559.77</v>
      </c>
      <c r="G38" s="1094">
        <f t="shared" si="3"/>
        <v>8956.32</v>
      </c>
      <c r="H38" s="1094">
        <f t="shared" si="4"/>
        <v>96558.61861959775</v>
      </c>
      <c r="I38" s="1094">
        <f t="shared" si="5"/>
        <v>8047</v>
      </c>
      <c r="J38" s="1086">
        <f>'Table 3 Levels 1&amp;2'!AT39</f>
        <v>1925.27</v>
      </c>
      <c r="K38" s="1088">
        <f t="shared" si="6"/>
        <v>30804.32</v>
      </c>
      <c r="L38" s="1088">
        <f t="shared" si="7"/>
        <v>2567</v>
      </c>
      <c r="M38" s="1089">
        <f t="shared" si="8"/>
        <v>127362.93861959776</v>
      </c>
      <c r="N38" s="1089">
        <f t="shared" si="1"/>
        <v>10614</v>
      </c>
    </row>
    <row r="39" spans="1:14">
      <c r="A39" s="1028">
        <v>33</v>
      </c>
      <c r="B39" s="1029" t="s">
        <v>134</v>
      </c>
      <c r="C39" s="1162">
        <f>'Table 8 2.1.12 MFP Funded'!AB36</f>
        <v>3</v>
      </c>
      <c r="D39" s="1037">
        <f>'Table 3 Levels 1&amp;2'!AL40</f>
        <v>5397.5678422891451</v>
      </c>
      <c r="E39" s="1094">
        <f t="shared" si="2"/>
        <v>16192.703526867435</v>
      </c>
      <c r="F39" s="1094">
        <f>'Table 4 Level 3'!P38</f>
        <v>655.31000000000006</v>
      </c>
      <c r="G39" s="1094">
        <f t="shared" si="3"/>
        <v>1965.9300000000003</v>
      </c>
      <c r="H39" s="1094">
        <f t="shared" si="4"/>
        <v>18158.633526867437</v>
      </c>
      <c r="I39" s="1094">
        <f t="shared" si="5"/>
        <v>1513</v>
      </c>
      <c r="J39" s="1086">
        <f>'Table 3 Levels 1&amp;2'!AT40</f>
        <v>2768.16</v>
      </c>
      <c r="K39" s="1088">
        <f t="shared" si="6"/>
        <v>8304.48</v>
      </c>
      <c r="L39" s="1088">
        <f t="shared" si="7"/>
        <v>692</v>
      </c>
      <c r="M39" s="1089">
        <f t="shared" si="8"/>
        <v>26463.113526867437</v>
      </c>
      <c r="N39" s="1089">
        <f t="shared" si="1"/>
        <v>2205</v>
      </c>
    </row>
    <row r="40" spans="1:14">
      <c r="A40" s="1028">
        <v>34</v>
      </c>
      <c r="B40" s="1029" t="s">
        <v>135</v>
      </c>
      <c r="C40" s="1162">
        <f>'Table 8 2.1.12 MFP Funded'!AB37</f>
        <v>0</v>
      </c>
      <c r="D40" s="1037">
        <f>'Table 3 Levels 1&amp;2'!AL41</f>
        <v>5843.9642210290731</v>
      </c>
      <c r="E40" s="1094">
        <f t="shared" si="2"/>
        <v>0</v>
      </c>
      <c r="F40" s="1094">
        <f>'Table 4 Level 3'!P39</f>
        <v>644.11000000000013</v>
      </c>
      <c r="G40" s="1094">
        <f t="shared" si="3"/>
        <v>0</v>
      </c>
      <c r="H40" s="1094">
        <f t="shared" si="4"/>
        <v>0</v>
      </c>
      <c r="I40" s="1094">
        <f t="shared" si="5"/>
        <v>0</v>
      </c>
      <c r="J40" s="1086">
        <f>'Table 3 Levels 1&amp;2'!AT41</f>
        <v>2792.44</v>
      </c>
      <c r="K40" s="1088">
        <f t="shared" si="6"/>
        <v>0</v>
      </c>
      <c r="L40" s="1088">
        <f t="shared" si="7"/>
        <v>0</v>
      </c>
      <c r="M40" s="1089">
        <f t="shared" si="8"/>
        <v>0</v>
      </c>
      <c r="N40" s="1089">
        <f t="shared" si="1"/>
        <v>0</v>
      </c>
    </row>
    <row r="41" spans="1:14">
      <c r="A41" s="1032">
        <v>35</v>
      </c>
      <c r="B41" s="1033" t="s">
        <v>136</v>
      </c>
      <c r="C41" s="1163">
        <f>'Table 8 2.1.12 MFP Funded'!AB38</f>
        <v>3</v>
      </c>
      <c r="D41" s="1039">
        <f>'Table 3 Levels 1&amp;2'!AL42</f>
        <v>4830.9633412658623</v>
      </c>
      <c r="E41" s="1095">
        <f t="shared" si="2"/>
        <v>14492.890023797587</v>
      </c>
      <c r="F41" s="1095">
        <f>'Table 4 Level 3'!P40</f>
        <v>537.96</v>
      </c>
      <c r="G41" s="1095">
        <f t="shared" si="3"/>
        <v>1613.88</v>
      </c>
      <c r="H41" s="1095">
        <f t="shared" si="4"/>
        <v>16106.770023797588</v>
      </c>
      <c r="I41" s="1095">
        <f t="shared" si="5"/>
        <v>1342</v>
      </c>
      <c r="J41" s="1091">
        <f>'Table 3 Levels 1&amp;2'!AT42</f>
        <v>3251.7</v>
      </c>
      <c r="K41" s="1092">
        <f t="shared" si="6"/>
        <v>9755.0999999999985</v>
      </c>
      <c r="L41" s="1092">
        <f t="shared" si="7"/>
        <v>813</v>
      </c>
      <c r="M41" s="1093">
        <f t="shared" si="8"/>
        <v>25861.870023797586</v>
      </c>
      <c r="N41" s="1093">
        <f t="shared" si="1"/>
        <v>2155</v>
      </c>
    </row>
    <row r="42" spans="1:14">
      <c r="A42" s="1021">
        <v>36</v>
      </c>
      <c r="B42" s="1022" t="s">
        <v>137</v>
      </c>
      <c r="C42" s="1164">
        <f>'Table 8 2.1.12 MFP Funded'!AB39</f>
        <v>9</v>
      </c>
      <c r="D42" s="1041">
        <f>'Table 3 Levels 1&amp;2'!AL43</f>
        <v>3493.4615493208294</v>
      </c>
      <c r="E42" s="1096">
        <f t="shared" si="2"/>
        <v>31441.153943887464</v>
      </c>
      <c r="F42" s="1096">
        <f>'Table 5B1_RSD_Orleans'!F78</f>
        <v>746.0335616438357</v>
      </c>
      <c r="G42" s="1096">
        <f t="shared" si="3"/>
        <v>6714.3020547945216</v>
      </c>
      <c r="H42" s="1096">
        <f t="shared" si="4"/>
        <v>38155.455998681988</v>
      </c>
      <c r="I42" s="1096">
        <f t="shared" si="5"/>
        <v>3180</v>
      </c>
      <c r="J42" s="1086">
        <f>'Table 3 Levels 1&amp;2'!AT43</f>
        <v>4288.99</v>
      </c>
      <c r="K42" s="1026">
        <f t="shared" si="6"/>
        <v>38600.909999999996</v>
      </c>
      <c r="L42" s="1026">
        <f t="shared" si="7"/>
        <v>3217</v>
      </c>
      <c r="M42" s="1027">
        <f t="shared" si="8"/>
        <v>76756.365998681984</v>
      </c>
      <c r="N42" s="1027">
        <f t="shared" si="1"/>
        <v>6397</v>
      </c>
    </row>
    <row r="43" spans="1:14">
      <c r="A43" s="1028">
        <v>37</v>
      </c>
      <c r="B43" s="1029" t="s">
        <v>138</v>
      </c>
      <c r="C43" s="1162">
        <f>'Table 8 2.1.12 MFP Funded'!AB40</f>
        <v>3</v>
      </c>
      <c r="D43" s="1037">
        <f>'Table 3 Levels 1&amp;2'!AL44</f>
        <v>5484.3026094077886</v>
      </c>
      <c r="E43" s="1094">
        <f t="shared" si="2"/>
        <v>16452.907828223368</v>
      </c>
      <c r="F43" s="1094">
        <f>'Table 4 Level 3'!P42</f>
        <v>653.61</v>
      </c>
      <c r="G43" s="1094">
        <f t="shared" si="3"/>
        <v>1960.83</v>
      </c>
      <c r="H43" s="1094">
        <f t="shared" si="4"/>
        <v>18413.737828223369</v>
      </c>
      <c r="I43" s="1094">
        <f t="shared" si="5"/>
        <v>1534</v>
      </c>
      <c r="J43" s="1086">
        <f>'Table 3 Levels 1&amp;2'!AT44</f>
        <v>2861.47</v>
      </c>
      <c r="K43" s="1088">
        <f t="shared" si="6"/>
        <v>8584.41</v>
      </c>
      <c r="L43" s="1088">
        <f t="shared" si="7"/>
        <v>715</v>
      </c>
      <c r="M43" s="1089">
        <f t="shared" si="8"/>
        <v>26998.147828223369</v>
      </c>
      <c r="N43" s="1089">
        <f t="shared" si="1"/>
        <v>2249</v>
      </c>
    </row>
    <row r="44" spans="1:14">
      <c r="A44" s="1028">
        <v>38</v>
      </c>
      <c r="B44" s="1029" t="s">
        <v>139</v>
      </c>
      <c r="C44" s="1162">
        <f>'Table 8 2.1.12 MFP Funded'!AB41</f>
        <v>0</v>
      </c>
      <c r="D44" s="1037">
        <f>'Table 3 Levels 1&amp;2'!AL45</f>
        <v>2191.7415364583335</v>
      </c>
      <c r="E44" s="1094">
        <f t="shared" si="2"/>
        <v>0</v>
      </c>
      <c r="F44" s="1094">
        <f>'Table 4 Level 3'!P43</f>
        <v>829.92000000000007</v>
      </c>
      <c r="G44" s="1094">
        <f t="shared" si="3"/>
        <v>0</v>
      </c>
      <c r="H44" s="1094">
        <f t="shared" si="4"/>
        <v>0</v>
      </c>
      <c r="I44" s="1094">
        <f t="shared" si="5"/>
        <v>0</v>
      </c>
      <c r="J44" s="1086">
        <f>'Table 3 Levels 1&amp;2'!AT45</f>
        <v>6075.12</v>
      </c>
      <c r="K44" s="1088">
        <f t="shared" si="6"/>
        <v>0</v>
      </c>
      <c r="L44" s="1088">
        <f t="shared" si="7"/>
        <v>0</v>
      </c>
      <c r="M44" s="1089">
        <f t="shared" si="8"/>
        <v>0</v>
      </c>
      <c r="N44" s="1089">
        <f t="shared" si="1"/>
        <v>0</v>
      </c>
    </row>
    <row r="45" spans="1:14">
      <c r="A45" s="1028">
        <v>39</v>
      </c>
      <c r="B45" s="1029" t="s">
        <v>140</v>
      </c>
      <c r="C45" s="1162">
        <f>'Table 8 2.1.12 MFP Funded'!AB42</f>
        <v>7</v>
      </c>
      <c r="D45" s="1037">
        <f>'Table 3 Levels 1&amp;2'!AL46</f>
        <v>3686.1886996918806</v>
      </c>
      <c r="E45" s="1094">
        <f t="shared" si="2"/>
        <v>25803.320897843165</v>
      </c>
      <c r="F45" s="1094">
        <f>'Table 5B2_RSD_LA'!F21</f>
        <v>779.65573042776441</v>
      </c>
      <c r="G45" s="1094">
        <f t="shared" si="3"/>
        <v>5457.5901129943504</v>
      </c>
      <c r="H45" s="1094">
        <f t="shared" si="4"/>
        <v>31260.911010837517</v>
      </c>
      <c r="I45" s="1094">
        <f t="shared" si="5"/>
        <v>2605</v>
      </c>
      <c r="J45" s="1086">
        <f>'Table 3 Levels 1&amp;2'!AT46</f>
        <v>4138.67</v>
      </c>
      <c r="K45" s="1088">
        <f t="shared" si="6"/>
        <v>28970.690000000002</v>
      </c>
      <c r="L45" s="1088">
        <f t="shared" si="7"/>
        <v>2414</v>
      </c>
      <c r="M45" s="1089">
        <f t="shared" si="8"/>
        <v>60231.601010837519</v>
      </c>
      <c r="N45" s="1089">
        <f t="shared" si="1"/>
        <v>5019</v>
      </c>
    </row>
    <row r="46" spans="1:14">
      <c r="A46" s="1032">
        <v>40</v>
      </c>
      <c r="B46" s="1033" t="s">
        <v>141</v>
      </c>
      <c r="C46" s="1163">
        <f>'Table 8 2.1.12 MFP Funded'!AB43</f>
        <v>4</v>
      </c>
      <c r="D46" s="1039">
        <f>'Table 3 Levels 1&amp;2'!AL47</f>
        <v>4879.0185326187402</v>
      </c>
      <c r="E46" s="1095">
        <f t="shared" si="2"/>
        <v>19516.074130474961</v>
      </c>
      <c r="F46" s="1095">
        <f>'Table 4 Level 3'!P45</f>
        <v>700.2700000000001</v>
      </c>
      <c r="G46" s="1095">
        <f t="shared" si="3"/>
        <v>2801.0800000000004</v>
      </c>
      <c r="H46" s="1095">
        <f t="shared" si="4"/>
        <v>22317.154130474963</v>
      </c>
      <c r="I46" s="1095">
        <f t="shared" si="5"/>
        <v>1860</v>
      </c>
      <c r="J46" s="1091">
        <f>'Table 3 Levels 1&amp;2'!AT47</f>
        <v>2904.28</v>
      </c>
      <c r="K46" s="1092">
        <f t="shared" si="6"/>
        <v>11617.12</v>
      </c>
      <c r="L46" s="1092">
        <f t="shared" si="7"/>
        <v>968</v>
      </c>
      <c r="M46" s="1093">
        <f t="shared" si="8"/>
        <v>33934.274130474965</v>
      </c>
      <c r="N46" s="1093">
        <f t="shared" si="1"/>
        <v>2828</v>
      </c>
    </row>
    <row r="47" spans="1:14">
      <c r="A47" s="1021">
        <v>41</v>
      </c>
      <c r="B47" s="1022" t="s">
        <v>142</v>
      </c>
      <c r="C47" s="1164">
        <f>'Table 8 2.1.12 MFP Funded'!AB44</f>
        <v>1</v>
      </c>
      <c r="D47" s="1041">
        <f>'Table 3 Levels 1&amp;2'!AL48</f>
        <v>1608.4303482587065</v>
      </c>
      <c r="E47" s="1096">
        <f t="shared" si="2"/>
        <v>1608.4303482587065</v>
      </c>
      <c r="F47" s="1096">
        <f>'Table 4 Level 3'!P46</f>
        <v>886.22</v>
      </c>
      <c r="G47" s="1096">
        <f t="shared" si="3"/>
        <v>886.22</v>
      </c>
      <c r="H47" s="1096">
        <f t="shared" si="4"/>
        <v>2494.6503482587068</v>
      </c>
      <c r="I47" s="1096">
        <f t="shared" si="5"/>
        <v>208</v>
      </c>
      <c r="J47" s="1086">
        <f>'Table 3 Levels 1&amp;2'!AT48</f>
        <v>6420.89</v>
      </c>
      <c r="K47" s="1026">
        <f t="shared" si="6"/>
        <v>6420.89</v>
      </c>
      <c r="L47" s="1026">
        <f t="shared" si="7"/>
        <v>535</v>
      </c>
      <c r="M47" s="1027">
        <f t="shared" si="8"/>
        <v>8915.5403482587062</v>
      </c>
      <c r="N47" s="1027">
        <f t="shared" si="1"/>
        <v>743</v>
      </c>
    </row>
    <row r="48" spans="1:14">
      <c r="A48" s="1028">
        <v>42</v>
      </c>
      <c r="B48" s="1029" t="s">
        <v>143</v>
      </c>
      <c r="C48" s="1162">
        <f>'Table 8 2.1.12 MFP Funded'!AB45</f>
        <v>0</v>
      </c>
      <c r="D48" s="1037">
        <f>'Table 3 Levels 1&amp;2'!AL49</f>
        <v>5260.3047779801664</v>
      </c>
      <c r="E48" s="1094">
        <f t="shared" si="2"/>
        <v>0</v>
      </c>
      <c r="F48" s="1094">
        <f>'Table 4 Level 3'!P47</f>
        <v>534.28</v>
      </c>
      <c r="G48" s="1094">
        <f t="shared" si="3"/>
        <v>0</v>
      </c>
      <c r="H48" s="1094">
        <f t="shared" si="4"/>
        <v>0</v>
      </c>
      <c r="I48" s="1094">
        <f t="shared" si="5"/>
        <v>0</v>
      </c>
      <c r="J48" s="1086">
        <f>'Table 3 Levels 1&amp;2'!AT49</f>
        <v>2728.55</v>
      </c>
      <c r="K48" s="1088">
        <f t="shared" si="6"/>
        <v>0</v>
      </c>
      <c r="L48" s="1088">
        <f t="shared" si="7"/>
        <v>0</v>
      </c>
      <c r="M48" s="1089">
        <f t="shared" si="8"/>
        <v>0</v>
      </c>
      <c r="N48" s="1089">
        <f t="shared" si="1"/>
        <v>0</v>
      </c>
    </row>
    <row r="49" spans="1:14">
      <c r="A49" s="1028">
        <v>43</v>
      </c>
      <c r="B49" s="1029" t="s">
        <v>144</v>
      </c>
      <c r="C49" s="1162">
        <f>'Table 8 2.1.12 MFP Funded'!AB46</f>
        <v>1</v>
      </c>
      <c r="D49" s="1037">
        <f>'Table 3 Levels 1&amp;2'!AL50</f>
        <v>5587.3492327608728</v>
      </c>
      <c r="E49" s="1094">
        <f t="shared" si="2"/>
        <v>5587.3492327608728</v>
      </c>
      <c r="F49" s="1094">
        <f>'Table 4 Level 3'!P48</f>
        <v>574.6099999999999</v>
      </c>
      <c r="G49" s="1094">
        <f t="shared" si="3"/>
        <v>574.6099999999999</v>
      </c>
      <c r="H49" s="1094">
        <f t="shared" si="4"/>
        <v>6161.9592327608725</v>
      </c>
      <c r="I49" s="1094">
        <f t="shared" si="5"/>
        <v>513</v>
      </c>
      <c r="J49" s="1086">
        <f>'Table 3 Levels 1&amp;2'!AT50</f>
        <v>3359.76</v>
      </c>
      <c r="K49" s="1088">
        <f t="shared" si="6"/>
        <v>3359.76</v>
      </c>
      <c r="L49" s="1088">
        <f t="shared" si="7"/>
        <v>280</v>
      </c>
      <c r="M49" s="1089">
        <f t="shared" si="8"/>
        <v>9521.7192327608718</v>
      </c>
      <c r="N49" s="1089">
        <f t="shared" si="1"/>
        <v>793</v>
      </c>
    </row>
    <row r="50" spans="1:14">
      <c r="A50" s="1028">
        <v>44</v>
      </c>
      <c r="B50" s="1029" t="s">
        <v>145</v>
      </c>
      <c r="C50" s="1162">
        <f>'Table 8 2.1.12 MFP Funded'!AB47</f>
        <v>5</v>
      </c>
      <c r="D50" s="1037">
        <f>'Table 3 Levels 1&amp;2'!AL51</f>
        <v>4113.1787591918992</v>
      </c>
      <c r="E50" s="1094">
        <f t="shared" si="2"/>
        <v>20565.893795959495</v>
      </c>
      <c r="F50" s="1094">
        <f>'Table 4 Level 3'!P49</f>
        <v>663.16000000000008</v>
      </c>
      <c r="G50" s="1094">
        <f t="shared" si="3"/>
        <v>3315.8</v>
      </c>
      <c r="H50" s="1094">
        <f t="shared" si="4"/>
        <v>23881.693795959494</v>
      </c>
      <c r="I50" s="1094">
        <f t="shared" si="5"/>
        <v>1990</v>
      </c>
      <c r="J50" s="1086">
        <f>'Table 3 Levels 1&amp;2'!AT51</f>
        <v>3932.56</v>
      </c>
      <c r="K50" s="1088">
        <f t="shared" si="6"/>
        <v>19662.8</v>
      </c>
      <c r="L50" s="1088">
        <f t="shared" si="7"/>
        <v>1639</v>
      </c>
      <c r="M50" s="1089">
        <f t="shared" si="8"/>
        <v>43544.493795959497</v>
      </c>
      <c r="N50" s="1089">
        <f t="shared" si="1"/>
        <v>3629</v>
      </c>
    </row>
    <row r="51" spans="1:14">
      <c r="A51" s="1032">
        <v>45</v>
      </c>
      <c r="B51" s="1033" t="s">
        <v>146</v>
      </c>
      <c r="C51" s="1163">
        <f>'Table 8 2.1.12 MFP Funded'!AB48</f>
        <v>0</v>
      </c>
      <c r="D51" s="1039">
        <f>'Table 3 Levels 1&amp;2'!AL52</f>
        <v>2414.8479898164846</v>
      </c>
      <c r="E51" s="1095">
        <f t="shared" si="2"/>
        <v>0</v>
      </c>
      <c r="F51" s="1095">
        <f>'Table 4 Level 3'!P50</f>
        <v>753.96000000000015</v>
      </c>
      <c r="G51" s="1095">
        <f t="shared" si="3"/>
        <v>0</v>
      </c>
      <c r="H51" s="1095">
        <f t="shared" si="4"/>
        <v>0</v>
      </c>
      <c r="I51" s="1095">
        <f t="shared" si="5"/>
        <v>0</v>
      </c>
      <c r="J51" s="1091">
        <f>'Table 3 Levels 1&amp;2'!AT52</f>
        <v>5006.3500000000004</v>
      </c>
      <c r="K51" s="1092">
        <f t="shared" si="6"/>
        <v>0</v>
      </c>
      <c r="L51" s="1092">
        <f t="shared" si="7"/>
        <v>0</v>
      </c>
      <c r="M51" s="1093">
        <f t="shared" si="8"/>
        <v>0</v>
      </c>
      <c r="N51" s="1093">
        <f t="shared" si="1"/>
        <v>0</v>
      </c>
    </row>
    <row r="52" spans="1:14">
      <c r="A52" s="1021">
        <v>46</v>
      </c>
      <c r="B52" s="1022" t="s">
        <v>147</v>
      </c>
      <c r="C52" s="1164">
        <f>'Table 8 2.1.12 MFP Funded'!AB49</f>
        <v>0</v>
      </c>
      <c r="D52" s="1041">
        <f>'Table 3 Levels 1&amp;2'!AL53</f>
        <v>5765.0314518803261</v>
      </c>
      <c r="E52" s="1096">
        <f t="shared" si="2"/>
        <v>0</v>
      </c>
      <c r="F52" s="1096">
        <f>'Table 4 Level 3'!P51</f>
        <v>728.06</v>
      </c>
      <c r="G52" s="1096">
        <f t="shared" si="3"/>
        <v>0</v>
      </c>
      <c r="H52" s="1096">
        <f t="shared" si="4"/>
        <v>0</v>
      </c>
      <c r="I52" s="1096">
        <f t="shared" si="5"/>
        <v>0</v>
      </c>
      <c r="J52" s="1086">
        <f>'Table 3 Levels 1&amp;2'!AT53</f>
        <v>1810.44</v>
      </c>
      <c r="K52" s="1026">
        <f t="shared" si="6"/>
        <v>0</v>
      </c>
      <c r="L52" s="1026">
        <f t="shared" si="7"/>
        <v>0</v>
      </c>
      <c r="M52" s="1027">
        <f t="shared" si="8"/>
        <v>0</v>
      </c>
      <c r="N52" s="1027">
        <f t="shared" si="1"/>
        <v>0</v>
      </c>
    </row>
    <row r="53" spans="1:14">
      <c r="A53" s="1028">
        <v>47</v>
      </c>
      <c r="B53" s="1029" t="s">
        <v>148</v>
      </c>
      <c r="C53" s="1162">
        <f>'Table 8 2.1.12 MFP Funded'!AB50</f>
        <v>1</v>
      </c>
      <c r="D53" s="1037">
        <f>'Table 3 Levels 1&amp;2'!AL54</f>
        <v>3186.1712081166847</v>
      </c>
      <c r="E53" s="1094">
        <f t="shared" si="2"/>
        <v>3186.1712081166847</v>
      </c>
      <c r="F53" s="1094">
        <f>'Table 4 Level 3'!P52</f>
        <v>910.76</v>
      </c>
      <c r="G53" s="1094">
        <f t="shared" si="3"/>
        <v>910.76</v>
      </c>
      <c r="H53" s="1094">
        <f t="shared" si="4"/>
        <v>4096.9312081166845</v>
      </c>
      <c r="I53" s="1094">
        <f t="shared" si="5"/>
        <v>341</v>
      </c>
      <c r="J53" s="1086">
        <f>'Table 3 Levels 1&amp;2'!AT54</f>
        <v>5172.8100000000004</v>
      </c>
      <c r="K53" s="1088">
        <f t="shared" si="6"/>
        <v>5172.8100000000004</v>
      </c>
      <c r="L53" s="1088">
        <f t="shared" si="7"/>
        <v>431</v>
      </c>
      <c r="M53" s="1089">
        <f t="shared" si="8"/>
        <v>9269.741208116684</v>
      </c>
      <c r="N53" s="1089">
        <f t="shared" si="1"/>
        <v>772</v>
      </c>
    </row>
    <row r="54" spans="1:14">
      <c r="A54" s="1028">
        <v>48</v>
      </c>
      <c r="B54" s="1029" t="s">
        <v>222</v>
      </c>
      <c r="C54" s="1162">
        <f>'Table 8 2.1.12 MFP Funded'!AB51</f>
        <v>3</v>
      </c>
      <c r="D54" s="1037">
        <f>'Table 3 Levels 1&amp;2'!AL55</f>
        <v>4260.4872196136057</v>
      </c>
      <c r="E54" s="1094">
        <f t="shared" si="2"/>
        <v>12781.461658840817</v>
      </c>
      <c r="F54" s="1094">
        <f>'Table 4 Level 3'!P53</f>
        <v>871.07</v>
      </c>
      <c r="G54" s="1094">
        <f t="shared" si="3"/>
        <v>2613.21</v>
      </c>
      <c r="H54" s="1094">
        <f t="shared" si="4"/>
        <v>15394.671658840816</v>
      </c>
      <c r="I54" s="1094">
        <f t="shared" si="5"/>
        <v>1283</v>
      </c>
      <c r="J54" s="1086">
        <f>'Table 3 Levels 1&amp;2'!AT55</f>
        <v>4035.23</v>
      </c>
      <c r="K54" s="1088">
        <f t="shared" si="6"/>
        <v>12105.69</v>
      </c>
      <c r="L54" s="1088">
        <f t="shared" si="7"/>
        <v>1009</v>
      </c>
      <c r="M54" s="1089">
        <f t="shared" si="8"/>
        <v>27500.361658840819</v>
      </c>
      <c r="N54" s="1089">
        <f t="shared" si="1"/>
        <v>2292</v>
      </c>
    </row>
    <row r="55" spans="1:14">
      <c r="A55" s="1028">
        <v>49</v>
      </c>
      <c r="B55" s="1029" t="s">
        <v>149</v>
      </c>
      <c r="C55" s="1162">
        <f>'Table 8 2.1.12 MFP Funded'!AB52</f>
        <v>3</v>
      </c>
      <c r="D55" s="1037">
        <f>'Table 3 Levels 1&amp;2'!AL56</f>
        <v>4800.2172145077111</v>
      </c>
      <c r="E55" s="1094">
        <f t="shared" si="2"/>
        <v>14400.651643523133</v>
      </c>
      <c r="F55" s="1094">
        <f>'Table 4 Level 3'!P54</f>
        <v>574.43999999999994</v>
      </c>
      <c r="G55" s="1094">
        <f t="shared" si="3"/>
        <v>1723.3199999999997</v>
      </c>
      <c r="H55" s="1094">
        <f t="shared" si="4"/>
        <v>16123.971643523133</v>
      </c>
      <c r="I55" s="1094">
        <f t="shared" si="5"/>
        <v>1344</v>
      </c>
      <c r="J55" s="1086">
        <f>'Table 3 Levels 1&amp;2'!AT56</f>
        <v>2247.1799999999998</v>
      </c>
      <c r="K55" s="1088">
        <f t="shared" si="6"/>
        <v>6741.5399999999991</v>
      </c>
      <c r="L55" s="1088">
        <f t="shared" si="7"/>
        <v>562</v>
      </c>
      <c r="M55" s="1089">
        <f t="shared" si="8"/>
        <v>22865.511643523132</v>
      </c>
      <c r="N55" s="1089">
        <f t="shared" si="1"/>
        <v>1906</v>
      </c>
    </row>
    <row r="56" spans="1:14">
      <c r="A56" s="1032">
        <v>50</v>
      </c>
      <c r="B56" s="1033" t="s">
        <v>150</v>
      </c>
      <c r="C56" s="1163">
        <f>'Table 8 2.1.12 MFP Funded'!AB53</f>
        <v>1</v>
      </c>
      <c r="D56" s="1039">
        <f>'Table 3 Levels 1&amp;2'!AL57</f>
        <v>5059.523754419537</v>
      </c>
      <c r="E56" s="1095">
        <f t="shared" si="2"/>
        <v>5059.523754419537</v>
      </c>
      <c r="F56" s="1095">
        <f>'Table 4 Level 3'!P55</f>
        <v>634.46</v>
      </c>
      <c r="G56" s="1095">
        <f t="shared" si="3"/>
        <v>634.46</v>
      </c>
      <c r="H56" s="1095">
        <f t="shared" si="4"/>
        <v>5693.983754419537</v>
      </c>
      <c r="I56" s="1095">
        <f t="shared" si="5"/>
        <v>474</v>
      </c>
      <c r="J56" s="1091">
        <f>'Table 3 Levels 1&amp;2'!AT57</f>
        <v>2629.6</v>
      </c>
      <c r="K56" s="1092">
        <f t="shared" si="6"/>
        <v>2629.6</v>
      </c>
      <c r="L56" s="1092">
        <f t="shared" si="7"/>
        <v>219</v>
      </c>
      <c r="M56" s="1093">
        <f t="shared" si="8"/>
        <v>8323.5837544195365</v>
      </c>
      <c r="N56" s="1093">
        <f t="shared" si="1"/>
        <v>693</v>
      </c>
    </row>
    <row r="57" spans="1:14">
      <c r="A57" s="1021">
        <v>51</v>
      </c>
      <c r="B57" s="1022" t="s">
        <v>151</v>
      </c>
      <c r="C57" s="1164">
        <f>'Table 8 2.1.12 MFP Funded'!AB54</f>
        <v>2</v>
      </c>
      <c r="D57" s="1041">
        <f>'Table 3 Levels 1&amp;2'!AL58</f>
        <v>4384.0477116019692</v>
      </c>
      <c r="E57" s="1096">
        <f t="shared" si="2"/>
        <v>8768.0954232039385</v>
      </c>
      <c r="F57" s="1096">
        <f>'Table 4 Level 3'!P56</f>
        <v>706.66</v>
      </c>
      <c r="G57" s="1096">
        <f t="shared" si="3"/>
        <v>1413.32</v>
      </c>
      <c r="H57" s="1096">
        <f t="shared" si="4"/>
        <v>10181.415423203938</v>
      </c>
      <c r="I57" s="1096">
        <f t="shared" si="5"/>
        <v>848</v>
      </c>
      <c r="J57" s="1086">
        <f>'Table 3 Levels 1&amp;2'!AT58</f>
        <v>3892.1</v>
      </c>
      <c r="K57" s="1026">
        <f t="shared" si="6"/>
        <v>7784.2</v>
      </c>
      <c r="L57" s="1026">
        <f t="shared" si="7"/>
        <v>649</v>
      </c>
      <c r="M57" s="1027">
        <f t="shared" si="8"/>
        <v>17965.615423203937</v>
      </c>
      <c r="N57" s="1027">
        <f t="shared" si="1"/>
        <v>1497</v>
      </c>
    </row>
    <row r="58" spans="1:14">
      <c r="A58" s="1028">
        <v>52</v>
      </c>
      <c r="B58" s="1029" t="s">
        <v>152</v>
      </c>
      <c r="C58" s="1162">
        <f>'Table 8 2.1.12 MFP Funded'!AB55</f>
        <v>8</v>
      </c>
      <c r="D58" s="1037">
        <f>'Table 3 Levels 1&amp;2'!AL59</f>
        <v>4920.0697942988754</v>
      </c>
      <c r="E58" s="1094">
        <f t="shared" si="2"/>
        <v>39360.558354391003</v>
      </c>
      <c r="F58" s="1094">
        <f>'Table 4 Level 3'!P57</f>
        <v>658.37</v>
      </c>
      <c r="G58" s="1094">
        <f t="shared" si="3"/>
        <v>5266.96</v>
      </c>
      <c r="H58" s="1094">
        <f t="shared" si="4"/>
        <v>44627.518354391003</v>
      </c>
      <c r="I58" s="1094">
        <f t="shared" si="5"/>
        <v>3719</v>
      </c>
      <c r="J58" s="1086">
        <f>'Table 3 Levels 1&amp;2'!AT59</f>
        <v>3564.47</v>
      </c>
      <c r="K58" s="1088">
        <f t="shared" si="6"/>
        <v>28515.759999999998</v>
      </c>
      <c r="L58" s="1088">
        <f t="shared" si="7"/>
        <v>2376</v>
      </c>
      <c r="M58" s="1089">
        <f t="shared" si="8"/>
        <v>73143.278354391005</v>
      </c>
      <c r="N58" s="1089">
        <f t="shared" si="1"/>
        <v>6095</v>
      </c>
    </row>
    <row r="59" spans="1:14">
      <c r="A59" s="1028">
        <v>53</v>
      </c>
      <c r="B59" s="1029" t="s">
        <v>153</v>
      </c>
      <c r="C59" s="1162">
        <f>'Table 8 2.1.12 MFP Funded'!AB56</f>
        <v>4</v>
      </c>
      <c r="D59" s="1037">
        <f>'Table 3 Levels 1&amp;2'!AL60</f>
        <v>4784.2719870767614</v>
      </c>
      <c r="E59" s="1094">
        <f t="shared" si="2"/>
        <v>19137.087948307046</v>
      </c>
      <c r="F59" s="1094">
        <f>'Table 4 Level 3'!P58</f>
        <v>689.74</v>
      </c>
      <c r="G59" s="1094">
        <f t="shared" si="3"/>
        <v>2758.96</v>
      </c>
      <c r="H59" s="1094">
        <f t="shared" si="4"/>
        <v>21896.047948307045</v>
      </c>
      <c r="I59" s="1094">
        <f t="shared" si="5"/>
        <v>1825</v>
      </c>
      <c r="J59" s="1086">
        <f>'Table 3 Levels 1&amp;2'!AT60</f>
        <v>1928.82</v>
      </c>
      <c r="K59" s="1088">
        <f t="shared" si="6"/>
        <v>7715.28</v>
      </c>
      <c r="L59" s="1088">
        <f t="shared" si="7"/>
        <v>643</v>
      </c>
      <c r="M59" s="1089">
        <f t="shared" si="8"/>
        <v>29611.327948307044</v>
      </c>
      <c r="N59" s="1089">
        <f t="shared" si="1"/>
        <v>2468</v>
      </c>
    </row>
    <row r="60" spans="1:14">
      <c r="A60" s="1028">
        <v>54</v>
      </c>
      <c r="B60" s="1029" t="s">
        <v>154</v>
      </c>
      <c r="C60" s="1162">
        <f>'Table 8 2.1.12 MFP Funded'!AB57</f>
        <v>0</v>
      </c>
      <c r="D60" s="1037">
        <f>'Table 3 Levels 1&amp;2'!AL61</f>
        <v>5982.5555386476462</v>
      </c>
      <c r="E60" s="1094">
        <f t="shared" si="2"/>
        <v>0</v>
      </c>
      <c r="F60" s="1094">
        <f>'Table 4 Level 3'!P59</f>
        <v>951.45</v>
      </c>
      <c r="G60" s="1094">
        <f t="shared" si="3"/>
        <v>0</v>
      </c>
      <c r="H60" s="1094">
        <f t="shared" si="4"/>
        <v>0</v>
      </c>
      <c r="I60" s="1094">
        <f t="shared" si="5"/>
        <v>0</v>
      </c>
      <c r="J60" s="1086">
        <f>'Table 3 Levels 1&amp;2'!AT61</f>
        <v>3066.55</v>
      </c>
      <c r="K60" s="1088">
        <f t="shared" si="6"/>
        <v>0</v>
      </c>
      <c r="L60" s="1088">
        <f t="shared" si="7"/>
        <v>0</v>
      </c>
      <c r="M60" s="1089">
        <f t="shared" si="8"/>
        <v>0</v>
      </c>
      <c r="N60" s="1089">
        <f t="shared" si="1"/>
        <v>0</v>
      </c>
    </row>
    <row r="61" spans="1:14">
      <c r="A61" s="1032">
        <v>55</v>
      </c>
      <c r="B61" s="1033" t="s">
        <v>155</v>
      </c>
      <c r="C61" s="1163">
        <f>'Table 8 2.1.12 MFP Funded'!AB58</f>
        <v>4</v>
      </c>
      <c r="D61" s="1039">
        <f>'Table 3 Levels 1&amp;2'!AL62</f>
        <v>4087.4017448818722</v>
      </c>
      <c r="E61" s="1095">
        <f t="shared" si="2"/>
        <v>16349.606979527489</v>
      </c>
      <c r="F61" s="1095">
        <f>'Table 4 Level 3'!P60</f>
        <v>795.14</v>
      </c>
      <c r="G61" s="1095">
        <f t="shared" si="3"/>
        <v>3180.56</v>
      </c>
      <c r="H61" s="1095">
        <f t="shared" si="4"/>
        <v>19530.16697952749</v>
      </c>
      <c r="I61" s="1095">
        <f t="shared" si="5"/>
        <v>1628</v>
      </c>
      <c r="J61" s="1091">
        <f>'Table 3 Levels 1&amp;2'!AT62</f>
        <v>3033.7</v>
      </c>
      <c r="K61" s="1092">
        <f t="shared" si="6"/>
        <v>12134.8</v>
      </c>
      <c r="L61" s="1092">
        <f t="shared" si="7"/>
        <v>1011</v>
      </c>
      <c r="M61" s="1093">
        <f t="shared" si="8"/>
        <v>31664.966979527489</v>
      </c>
      <c r="N61" s="1093">
        <f t="shared" si="1"/>
        <v>2639</v>
      </c>
    </row>
    <row r="62" spans="1:14">
      <c r="A62" s="1021">
        <v>56</v>
      </c>
      <c r="B62" s="1022" t="s">
        <v>156</v>
      </c>
      <c r="C62" s="1164">
        <f>'Table 8 2.1.12 MFP Funded'!AB59</f>
        <v>0</v>
      </c>
      <c r="D62" s="1041">
        <f>'Table 3 Levels 1&amp;2'!AL63</f>
        <v>5052.2250942802684</v>
      </c>
      <c r="E62" s="1096">
        <f t="shared" si="2"/>
        <v>0</v>
      </c>
      <c r="F62" s="1096">
        <f>'Table 4 Level 3'!P61</f>
        <v>614.66000000000008</v>
      </c>
      <c r="G62" s="1096">
        <f t="shared" si="3"/>
        <v>0</v>
      </c>
      <c r="H62" s="1096">
        <f t="shared" si="4"/>
        <v>0</v>
      </c>
      <c r="I62" s="1096">
        <f t="shared" si="5"/>
        <v>0</v>
      </c>
      <c r="J62" s="1086">
        <f>'Table 3 Levels 1&amp;2'!AT63</f>
        <v>3016.21</v>
      </c>
      <c r="K62" s="1026">
        <f t="shared" si="6"/>
        <v>0</v>
      </c>
      <c r="L62" s="1026">
        <f t="shared" si="7"/>
        <v>0</v>
      </c>
      <c r="M62" s="1027">
        <f t="shared" si="8"/>
        <v>0</v>
      </c>
      <c r="N62" s="1027">
        <f t="shared" si="1"/>
        <v>0</v>
      </c>
    </row>
    <row r="63" spans="1:14">
      <c r="A63" s="1028">
        <v>57</v>
      </c>
      <c r="B63" s="1029" t="s">
        <v>157</v>
      </c>
      <c r="C63" s="1162">
        <f>'Table 8 2.1.12 MFP Funded'!AB60</f>
        <v>0</v>
      </c>
      <c r="D63" s="1037">
        <f>'Table 3 Levels 1&amp;2'!AL64</f>
        <v>4389.3863180380931</v>
      </c>
      <c r="E63" s="1094">
        <f t="shared" si="2"/>
        <v>0</v>
      </c>
      <c r="F63" s="1094">
        <f>'Table 4 Level 3'!P62</f>
        <v>764.51</v>
      </c>
      <c r="G63" s="1094">
        <f t="shared" si="3"/>
        <v>0</v>
      </c>
      <c r="H63" s="1094">
        <f t="shared" si="4"/>
        <v>0</v>
      </c>
      <c r="I63" s="1094">
        <f t="shared" si="5"/>
        <v>0</v>
      </c>
      <c r="J63" s="1086">
        <f>'Table 3 Levels 1&amp;2'!AT64</f>
        <v>2872.93</v>
      </c>
      <c r="K63" s="1088">
        <f t="shared" si="6"/>
        <v>0</v>
      </c>
      <c r="L63" s="1088">
        <f t="shared" si="7"/>
        <v>0</v>
      </c>
      <c r="M63" s="1089">
        <f t="shared" si="8"/>
        <v>0</v>
      </c>
      <c r="N63" s="1089">
        <f t="shared" si="1"/>
        <v>0</v>
      </c>
    </row>
    <row r="64" spans="1:14">
      <c r="A64" s="1028">
        <v>58</v>
      </c>
      <c r="B64" s="1029" t="s">
        <v>158</v>
      </c>
      <c r="C64" s="1162">
        <f>'Table 8 2.1.12 MFP Funded'!AB61</f>
        <v>0</v>
      </c>
      <c r="D64" s="1037">
        <f>'Table 3 Levels 1&amp;2'!AL65</f>
        <v>5325.8881107130073</v>
      </c>
      <c r="E64" s="1094">
        <f t="shared" si="2"/>
        <v>0</v>
      </c>
      <c r="F64" s="1094">
        <f>'Table 4 Level 3'!P63</f>
        <v>697.04</v>
      </c>
      <c r="G64" s="1094">
        <f t="shared" si="3"/>
        <v>0</v>
      </c>
      <c r="H64" s="1094">
        <f t="shared" si="4"/>
        <v>0</v>
      </c>
      <c r="I64" s="1094">
        <f t="shared" si="5"/>
        <v>0</v>
      </c>
      <c r="J64" s="1086">
        <f>'Table 3 Levels 1&amp;2'!AT65</f>
        <v>1830.1</v>
      </c>
      <c r="K64" s="1088">
        <f t="shared" si="6"/>
        <v>0</v>
      </c>
      <c r="L64" s="1088">
        <f t="shared" si="7"/>
        <v>0</v>
      </c>
      <c r="M64" s="1089">
        <f t="shared" si="8"/>
        <v>0</v>
      </c>
      <c r="N64" s="1089">
        <f t="shared" si="1"/>
        <v>0</v>
      </c>
    </row>
    <row r="65" spans="1:14">
      <c r="A65" s="1028">
        <v>59</v>
      </c>
      <c r="B65" s="1029" t="s">
        <v>159</v>
      </c>
      <c r="C65" s="1162">
        <f>'Table 8 2.1.12 MFP Funded'!AB62</f>
        <v>1</v>
      </c>
      <c r="D65" s="1037">
        <f>'Table 3 Levels 1&amp;2'!AL66</f>
        <v>6328.4963620482158</v>
      </c>
      <c r="E65" s="1094">
        <f t="shared" si="2"/>
        <v>6328.4963620482158</v>
      </c>
      <c r="F65" s="1094">
        <f>'Table 4 Level 3'!P64</f>
        <v>689.52</v>
      </c>
      <c r="G65" s="1094">
        <f t="shared" si="3"/>
        <v>689.52</v>
      </c>
      <c r="H65" s="1094">
        <f t="shared" si="4"/>
        <v>7018.0163620482163</v>
      </c>
      <c r="I65" s="1094">
        <f t="shared" si="5"/>
        <v>585</v>
      </c>
      <c r="J65" s="1086">
        <f>'Table 3 Levels 1&amp;2'!AT66</f>
        <v>1688.92</v>
      </c>
      <c r="K65" s="1088">
        <f t="shared" si="6"/>
        <v>1688.92</v>
      </c>
      <c r="L65" s="1088">
        <f t="shared" si="7"/>
        <v>141</v>
      </c>
      <c r="M65" s="1089">
        <f t="shared" si="8"/>
        <v>8706.9363620482163</v>
      </c>
      <c r="N65" s="1089">
        <f t="shared" si="1"/>
        <v>726</v>
      </c>
    </row>
    <row r="66" spans="1:14">
      <c r="A66" s="1032">
        <v>60</v>
      </c>
      <c r="B66" s="1033" t="s">
        <v>160</v>
      </c>
      <c r="C66" s="1163">
        <f>'Table 8 2.1.12 MFP Funded'!AB63</f>
        <v>3</v>
      </c>
      <c r="D66" s="1039">
        <f>'Table 3 Levels 1&amp;2'!AL67</f>
        <v>4825.1723230627122</v>
      </c>
      <c r="E66" s="1095">
        <f t="shared" si="2"/>
        <v>14475.516969188136</v>
      </c>
      <c r="F66" s="1095">
        <f>'Table 4 Level 3'!P65</f>
        <v>594.04</v>
      </c>
      <c r="G66" s="1095">
        <f t="shared" si="3"/>
        <v>1782.12</v>
      </c>
      <c r="H66" s="1095">
        <f t="shared" si="4"/>
        <v>16257.636969188137</v>
      </c>
      <c r="I66" s="1095">
        <f t="shared" si="5"/>
        <v>1355</v>
      </c>
      <c r="J66" s="1091">
        <f>'Table 3 Levels 1&amp;2'!AT67</f>
        <v>3362.7</v>
      </c>
      <c r="K66" s="1092">
        <f t="shared" si="6"/>
        <v>10088.099999999999</v>
      </c>
      <c r="L66" s="1092">
        <f t="shared" si="7"/>
        <v>841</v>
      </c>
      <c r="M66" s="1093">
        <f t="shared" si="8"/>
        <v>26345.736969188136</v>
      </c>
      <c r="N66" s="1093">
        <f t="shared" si="1"/>
        <v>2196</v>
      </c>
    </row>
    <row r="67" spans="1:14">
      <c r="A67" s="1021">
        <v>61</v>
      </c>
      <c r="B67" s="1022" t="s">
        <v>161</v>
      </c>
      <c r="C67" s="1164">
        <f>'Table 8 2.1.12 MFP Funded'!AB64</f>
        <v>7</v>
      </c>
      <c r="D67" s="1041">
        <f>'Table 3 Levels 1&amp;2'!AL68</f>
        <v>3063.3110364585282</v>
      </c>
      <c r="E67" s="1096">
        <f t="shared" si="2"/>
        <v>21443.177255209695</v>
      </c>
      <c r="F67" s="1096">
        <f>'Table 4 Level 3'!P66</f>
        <v>833.70999999999992</v>
      </c>
      <c r="G67" s="1096">
        <f t="shared" si="3"/>
        <v>5835.9699999999993</v>
      </c>
      <c r="H67" s="1096">
        <f t="shared" si="4"/>
        <v>27279.147255209697</v>
      </c>
      <c r="I67" s="1096">
        <f t="shared" si="5"/>
        <v>2273</v>
      </c>
      <c r="J67" s="1086">
        <f>'Table 3 Levels 1&amp;2'!AT68</f>
        <v>4796.05</v>
      </c>
      <c r="K67" s="1026">
        <f t="shared" si="6"/>
        <v>33572.35</v>
      </c>
      <c r="L67" s="1026">
        <f t="shared" si="7"/>
        <v>2798</v>
      </c>
      <c r="M67" s="1027">
        <f t="shared" si="8"/>
        <v>60851.497255209695</v>
      </c>
      <c r="N67" s="1027">
        <f t="shared" si="1"/>
        <v>5071</v>
      </c>
    </row>
    <row r="68" spans="1:14">
      <c r="A68" s="1028">
        <v>62</v>
      </c>
      <c r="B68" s="1029" t="s">
        <v>162</v>
      </c>
      <c r="C68" s="1162">
        <f>'Table 8 2.1.12 MFP Funded'!AB65</f>
        <v>0</v>
      </c>
      <c r="D68" s="1037">
        <f>'Table 3 Levels 1&amp;2'!AL69</f>
        <v>5564.645485869667</v>
      </c>
      <c r="E68" s="1094">
        <f t="shared" si="2"/>
        <v>0</v>
      </c>
      <c r="F68" s="1094">
        <f>'Table 4 Level 3'!P67</f>
        <v>516.08000000000004</v>
      </c>
      <c r="G68" s="1094">
        <f t="shared" si="3"/>
        <v>0</v>
      </c>
      <c r="H68" s="1094">
        <f t="shared" si="4"/>
        <v>0</v>
      </c>
      <c r="I68" s="1094">
        <f t="shared" si="5"/>
        <v>0</v>
      </c>
      <c r="J68" s="1086">
        <f>'Table 3 Levels 1&amp;2'!AT69</f>
        <v>1694.28</v>
      </c>
      <c r="K68" s="1088">
        <f t="shared" si="6"/>
        <v>0</v>
      </c>
      <c r="L68" s="1088">
        <f t="shared" si="7"/>
        <v>0</v>
      </c>
      <c r="M68" s="1089">
        <f t="shared" si="8"/>
        <v>0</v>
      </c>
      <c r="N68" s="1089">
        <f t="shared" si="1"/>
        <v>0</v>
      </c>
    </row>
    <row r="69" spans="1:14">
      <c r="A69" s="1028">
        <v>63</v>
      </c>
      <c r="B69" s="1029" t="s">
        <v>163</v>
      </c>
      <c r="C69" s="1162">
        <f>'Table 8 2.1.12 MFP Funded'!AB66</f>
        <v>1</v>
      </c>
      <c r="D69" s="1037">
        <f>'Table 3 Levels 1&amp;2'!AL70</f>
        <v>4414.1775336636538</v>
      </c>
      <c r="E69" s="1094">
        <f t="shared" si="2"/>
        <v>4414.1775336636538</v>
      </c>
      <c r="F69" s="1094">
        <f>'Table 4 Level 3'!P68</f>
        <v>756.79</v>
      </c>
      <c r="G69" s="1094">
        <f t="shared" si="3"/>
        <v>756.79</v>
      </c>
      <c r="H69" s="1094">
        <f t="shared" si="4"/>
        <v>5170.9675336636537</v>
      </c>
      <c r="I69" s="1094">
        <f t="shared" si="5"/>
        <v>431</v>
      </c>
      <c r="J69" s="1086">
        <f>'Table 3 Levels 1&amp;2'!AT70</f>
        <v>4998.83</v>
      </c>
      <c r="K69" s="1088">
        <f t="shared" si="6"/>
        <v>4998.83</v>
      </c>
      <c r="L69" s="1088">
        <f t="shared" si="7"/>
        <v>417</v>
      </c>
      <c r="M69" s="1089">
        <f t="shared" si="8"/>
        <v>10169.797533663654</v>
      </c>
      <c r="N69" s="1089">
        <f t="shared" si="1"/>
        <v>848</v>
      </c>
    </row>
    <row r="70" spans="1:14">
      <c r="A70" s="1028">
        <v>64</v>
      </c>
      <c r="B70" s="1029" t="s">
        <v>164</v>
      </c>
      <c r="C70" s="1162">
        <f>'Table 8 2.1.12 MFP Funded'!AB67</f>
        <v>1</v>
      </c>
      <c r="D70" s="1037">
        <f>'Table 3 Levels 1&amp;2'!AL71</f>
        <v>5871.0485811924027</v>
      </c>
      <c r="E70" s="1094">
        <f t="shared" si="2"/>
        <v>5871.0485811924027</v>
      </c>
      <c r="F70" s="1094">
        <f>'Table 4 Level 3'!P69</f>
        <v>592.66</v>
      </c>
      <c r="G70" s="1094">
        <f t="shared" si="3"/>
        <v>592.66</v>
      </c>
      <c r="H70" s="1094">
        <f t="shared" si="4"/>
        <v>6463.7085811924026</v>
      </c>
      <c r="I70" s="1094">
        <f t="shared" si="5"/>
        <v>539</v>
      </c>
      <c r="J70" s="1086">
        <f>'Table 3 Levels 1&amp;2'!AT71</f>
        <v>2752.56</v>
      </c>
      <c r="K70" s="1088">
        <f t="shared" si="6"/>
        <v>2752.56</v>
      </c>
      <c r="L70" s="1088">
        <f t="shared" si="7"/>
        <v>229</v>
      </c>
      <c r="M70" s="1089">
        <f t="shared" si="8"/>
        <v>9216.2685811924021</v>
      </c>
      <c r="N70" s="1089">
        <f t="shared" si="1"/>
        <v>768</v>
      </c>
    </row>
    <row r="71" spans="1:14">
      <c r="A71" s="1032">
        <v>65</v>
      </c>
      <c r="B71" s="1033" t="s">
        <v>165</v>
      </c>
      <c r="C71" s="1163">
        <f>'Table 8 2.1.12 MFP Funded'!AB68</f>
        <v>3</v>
      </c>
      <c r="D71" s="1039">
        <f>'Table 3 Levels 1&amp;2'!AL72</f>
        <v>4602.2046951319899</v>
      </c>
      <c r="E71" s="1095">
        <f t="shared" si="2"/>
        <v>13806.61408539597</v>
      </c>
      <c r="F71" s="1095">
        <f>'Table 4 Level 3'!P70</f>
        <v>829.12</v>
      </c>
      <c r="G71" s="1095">
        <f t="shared" si="3"/>
        <v>2487.36</v>
      </c>
      <c r="H71" s="1095">
        <f t="shared" si="4"/>
        <v>16293.97408539597</v>
      </c>
      <c r="I71" s="1095">
        <f t="shared" si="5"/>
        <v>1358</v>
      </c>
      <c r="J71" s="1091">
        <f>'Table 3 Levels 1&amp;2'!AT72</f>
        <v>3868.15</v>
      </c>
      <c r="K71" s="1092">
        <f t="shared" si="6"/>
        <v>11604.45</v>
      </c>
      <c r="L71" s="1092">
        <f t="shared" si="7"/>
        <v>967</v>
      </c>
      <c r="M71" s="1093">
        <f t="shared" si="8"/>
        <v>27898.424085395971</v>
      </c>
      <c r="N71" s="1093">
        <f t="shared" ref="N71:N75" si="9">I71+L71</f>
        <v>2325</v>
      </c>
    </row>
    <row r="72" spans="1:14">
      <c r="A72" s="1021">
        <v>66</v>
      </c>
      <c r="B72" s="1022" t="s">
        <v>166</v>
      </c>
      <c r="C72" s="1164">
        <f>'Table 8 2.1.12 MFP Funded'!AB69</f>
        <v>2</v>
      </c>
      <c r="D72" s="1041">
        <f>'Table 3 Levels 1&amp;2'!AL73</f>
        <v>6243.8912249150071</v>
      </c>
      <c r="E72" s="1096">
        <f t="shared" ref="E72:E75" si="10">C72*D72</f>
        <v>12487.782449830014</v>
      </c>
      <c r="F72" s="1096">
        <f>'Table 4 Level 3'!P71</f>
        <v>730.06</v>
      </c>
      <c r="G72" s="1096">
        <f t="shared" ref="G72:G75" si="11">F72*C72</f>
        <v>1460.12</v>
      </c>
      <c r="H72" s="1096">
        <f t="shared" ref="H72:H75" si="12">E72+G72</f>
        <v>13947.902449830013</v>
      </c>
      <c r="I72" s="1096">
        <f t="shared" ref="I72:I75" si="13">ROUND(H72/12,0)</f>
        <v>1162</v>
      </c>
      <c r="J72" s="1086">
        <f>'Table 3 Levels 1&amp;2'!AT73</f>
        <v>3518.68</v>
      </c>
      <c r="K72" s="1026">
        <f t="shared" ref="K72:K75" si="14">C72*J72</f>
        <v>7037.36</v>
      </c>
      <c r="L72" s="1026">
        <f>ROUND(K72/12,0)</f>
        <v>586</v>
      </c>
      <c r="M72" s="1027">
        <f t="shared" ref="M72:M75" si="15">H72+K72</f>
        <v>20985.262449830014</v>
      </c>
      <c r="N72" s="1027">
        <f t="shared" si="9"/>
        <v>1748</v>
      </c>
    </row>
    <row r="73" spans="1:14">
      <c r="A73" s="1028">
        <v>67</v>
      </c>
      <c r="B73" s="1029" t="s">
        <v>33</v>
      </c>
      <c r="C73" s="1162">
        <f>'Table 8 2.1.12 MFP Funded'!AB70</f>
        <v>4</v>
      </c>
      <c r="D73" s="1037">
        <f>'Table 3 Levels 1&amp;2'!AL74</f>
        <v>5049.6489898847567</v>
      </c>
      <c r="E73" s="1094">
        <f t="shared" si="10"/>
        <v>20198.595959539027</v>
      </c>
      <c r="F73" s="1094">
        <f>'Table 4 Level 3'!P72</f>
        <v>715.61</v>
      </c>
      <c r="G73" s="1094">
        <f t="shared" si="11"/>
        <v>2862.44</v>
      </c>
      <c r="H73" s="1094">
        <f t="shared" si="12"/>
        <v>23061.035959539025</v>
      </c>
      <c r="I73" s="1094">
        <f t="shared" si="13"/>
        <v>1922</v>
      </c>
      <c r="J73" s="1086">
        <f>'Table 3 Levels 1&amp;2'!AT74</f>
        <v>3078.38</v>
      </c>
      <c r="K73" s="1088">
        <f t="shared" si="14"/>
        <v>12313.52</v>
      </c>
      <c r="L73" s="1088">
        <f>ROUND(K73/12,0)</f>
        <v>1026</v>
      </c>
      <c r="M73" s="1089">
        <f t="shared" si="15"/>
        <v>35374.555959539022</v>
      </c>
      <c r="N73" s="1089">
        <f t="shared" si="9"/>
        <v>2948</v>
      </c>
    </row>
    <row r="74" spans="1:14">
      <c r="A74" s="1028">
        <v>68</v>
      </c>
      <c r="B74" s="1029" t="s">
        <v>31</v>
      </c>
      <c r="C74" s="1162">
        <f>'Table 8 2.1.12 MFP Funded'!AB71</f>
        <v>5</v>
      </c>
      <c r="D74" s="1037">
        <f>'Table 3 Levels 1&amp;2'!AL75</f>
        <v>5861.7500805575619</v>
      </c>
      <c r="E74" s="1094">
        <f t="shared" si="10"/>
        <v>29308.750402787809</v>
      </c>
      <c r="F74" s="1094">
        <f>'Table 4 Level 3'!P73</f>
        <v>798.7</v>
      </c>
      <c r="G74" s="1094">
        <f t="shared" si="11"/>
        <v>3993.5</v>
      </c>
      <c r="H74" s="1094">
        <f t="shared" si="12"/>
        <v>33302.250402787809</v>
      </c>
      <c r="I74" s="1094">
        <f t="shared" si="13"/>
        <v>2775</v>
      </c>
      <c r="J74" s="1086">
        <f>'Table 3 Levels 1&amp;2'!AT75</f>
        <v>2871.04</v>
      </c>
      <c r="K74" s="1088">
        <f t="shared" si="14"/>
        <v>14355.2</v>
      </c>
      <c r="L74" s="1088">
        <f>ROUND(K74/12,0)</f>
        <v>1196</v>
      </c>
      <c r="M74" s="1089">
        <f t="shared" si="15"/>
        <v>47657.450402787814</v>
      </c>
      <c r="N74" s="1089">
        <f t="shared" si="9"/>
        <v>3971</v>
      </c>
    </row>
    <row r="75" spans="1:14">
      <c r="A75" s="1042">
        <v>69</v>
      </c>
      <c r="B75" s="1043" t="s">
        <v>235</v>
      </c>
      <c r="C75" s="1165">
        <f>'Table 8 2.1.12 MFP Funded'!AB72</f>
        <v>2</v>
      </c>
      <c r="D75" s="1045">
        <f>'Table 3 Levels 1&amp;2'!AL76</f>
        <v>5508.3397285189958</v>
      </c>
      <c r="E75" s="1097">
        <f t="shared" si="10"/>
        <v>11016.679457037992</v>
      </c>
      <c r="F75" s="1097">
        <f>'Table 4 Level 3'!P74</f>
        <v>705.67</v>
      </c>
      <c r="G75" s="1097">
        <f t="shared" si="11"/>
        <v>1411.34</v>
      </c>
      <c r="H75" s="1097">
        <f t="shared" si="12"/>
        <v>12428.019457037992</v>
      </c>
      <c r="I75" s="1097">
        <f t="shared" si="13"/>
        <v>1036</v>
      </c>
      <c r="J75" s="1086">
        <f>'Table 3 Levels 1&amp;2'!AT76</f>
        <v>2827.2</v>
      </c>
      <c r="K75" s="1098">
        <f t="shared" si="14"/>
        <v>5654.4</v>
      </c>
      <c r="L75" s="1098">
        <f>ROUND(K75/12,0)</f>
        <v>471</v>
      </c>
      <c r="M75" s="1099">
        <f t="shared" si="15"/>
        <v>18082.419457037991</v>
      </c>
      <c r="N75" s="1099">
        <f t="shared" si="9"/>
        <v>1507</v>
      </c>
    </row>
    <row r="76" spans="1:14" s="1053" customFormat="1" ht="13.5" thickBot="1">
      <c r="A76" s="1046"/>
      <c r="B76" s="1047" t="s">
        <v>167</v>
      </c>
      <c r="C76" s="1048">
        <f>SUM(C7:C75)</f>
        <v>221</v>
      </c>
      <c r="D76" s="1049">
        <f>'Table 3 Levels 1&amp;2'!AL77</f>
        <v>4325.8670725247357</v>
      </c>
      <c r="E76" s="1050">
        <f t="shared" ref="E76:H76" si="16">SUM(E7:E75)</f>
        <v>940105.05304559262</v>
      </c>
      <c r="F76" s="1050"/>
      <c r="G76" s="1050">
        <f t="shared" si="16"/>
        <v>159222.77812785612</v>
      </c>
      <c r="H76" s="1050">
        <f t="shared" si="16"/>
        <v>1099327.8311734488</v>
      </c>
      <c r="I76" s="1050">
        <f>SUM(I7:I75)</f>
        <v>91610</v>
      </c>
      <c r="J76" s="1100">
        <f>'Table 3 Levels 1&amp;2'!AT77</f>
        <v>3506.46</v>
      </c>
      <c r="K76" s="1051">
        <f>SUM(K7:K75)</f>
        <v>800642.63000000024</v>
      </c>
      <c r="L76" s="1051">
        <f>SUM(L7:L75)</f>
        <v>66720</v>
      </c>
      <c r="M76" s="1052">
        <f>SUM(M7:M75)</f>
        <v>1899970.4611734492</v>
      </c>
      <c r="N76" s="1052">
        <f>SUM(N7:N75)</f>
        <v>158330</v>
      </c>
    </row>
    <row r="77" spans="1:14" s="1053" customFormat="1" ht="13.5" thickTop="1">
      <c r="A77" s="1054"/>
      <c r="B77" s="1054"/>
      <c r="C77" s="1055"/>
      <c r="D77" s="1055"/>
      <c r="E77" s="1058"/>
      <c r="F77" s="1058"/>
      <c r="G77" s="1058"/>
      <c r="H77" s="1058"/>
      <c r="J77" s="1057"/>
      <c r="K77" s="1057"/>
      <c r="L77" s="1057"/>
    </row>
    <row r="78" spans="1:14" ht="27" customHeight="1">
      <c r="A78" s="1059"/>
      <c r="C78" s="1166"/>
    </row>
    <row r="79" spans="1:14" ht="12.75" hidden="1" customHeight="1"/>
    <row r="80" spans="1:14" hidden="1"/>
    <row r="81" spans="3:9" hidden="1"/>
    <row r="82" spans="3:9" hidden="1"/>
    <row r="83" spans="3:9" hidden="1">
      <c r="E83" s="1062"/>
      <c r="F83" s="1062"/>
      <c r="G83" s="1062"/>
      <c r="H83" s="1062"/>
      <c r="I83" s="1061"/>
    </row>
    <row r="84" spans="3:9" ht="10.5" hidden="1" customHeight="1"/>
    <row r="85" spans="3:9" hidden="1"/>
    <row r="86" spans="3:9" hidden="1">
      <c r="C86" s="1063"/>
      <c r="D86" s="1064" t="s">
        <v>582</v>
      </c>
    </row>
    <row r="87" spans="3:9" hidden="1">
      <c r="C87" s="1063"/>
      <c r="D87" s="1064" t="s">
        <v>583</v>
      </c>
    </row>
    <row r="88" spans="3:9" hidden="1">
      <c r="C88" s="1065"/>
      <c r="D88" s="1064" t="s">
        <v>584</v>
      </c>
    </row>
    <row r="89" spans="3:9" hidden="1">
      <c r="C89" s="1063"/>
      <c r="D89" s="1064"/>
    </row>
    <row r="90" spans="3:9" hidden="1">
      <c r="C90" s="1063"/>
      <c r="D90" s="1064" t="s">
        <v>585</v>
      </c>
    </row>
    <row r="91" spans="3:9" hidden="1">
      <c r="C91" s="1063"/>
      <c r="D91" s="1064" t="s">
        <v>586</v>
      </c>
    </row>
    <row r="92" spans="3:9" hidden="1">
      <c r="C92" s="1065"/>
      <c r="D92" s="1064" t="s">
        <v>587</v>
      </c>
    </row>
    <row r="93" spans="3:9" hidden="1">
      <c r="C93" s="1063"/>
      <c r="D93" s="1064"/>
    </row>
    <row r="94" spans="3:9" hidden="1">
      <c r="C94" s="1066"/>
      <c r="D94" s="1067" t="s">
        <v>588</v>
      </c>
    </row>
    <row r="95" spans="3:9" hidden="1">
      <c r="C95" s="1167"/>
      <c r="D95" s="1067"/>
    </row>
    <row r="96" spans="3:9" hidden="1">
      <c r="C96" s="1069"/>
      <c r="D96" s="1064" t="s">
        <v>589</v>
      </c>
    </row>
    <row r="97" spans="3:4" hidden="1">
      <c r="C97" s="1168"/>
      <c r="D97" s="1067" t="s">
        <v>590</v>
      </c>
    </row>
    <row r="98" spans="3:4" hidden="1">
      <c r="C98" s="1069"/>
      <c r="D98" s="1071" t="s">
        <v>591</v>
      </c>
    </row>
    <row r="99" spans="3:4" hidden="1">
      <c r="C99" s="1169"/>
      <c r="D99" s="1067" t="s">
        <v>592</v>
      </c>
    </row>
    <row r="100" spans="3:4" hidden="1">
      <c r="C100" s="1069"/>
      <c r="D100" s="1067" t="s">
        <v>593</v>
      </c>
    </row>
    <row r="101" spans="3:4" hidden="1">
      <c r="C101" s="1170"/>
      <c r="D101" s="1067" t="s">
        <v>594</v>
      </c>
    </row>
    <row r="102" spans="3:4" hidden="1">
      <c r="C102" s="1074"/>
      <c r="D102" s="1067" t="s">
        <v>595</v>
      </c>
    </row>
    <row r="103" spans="3:4" hidden="1">
      <c r="C103" s="1074"/>
      <c r="D103" s="1067"/>
    </row>
    <row r="104" spans="3:4" hidden="1">
      <c r="C104" s="1074"/>
      <c r="D104" s="1067"/>
    </row>
    <row r="105" spans="3:4" hidden="1">
      <c r="D105" s="1067"/>
    </row>
    <row r="106" spans="3:4" hidden="1"/>
  </sheetData>
  <mergeCells count="15">
    <mergeCell ref="A2:B4"/>
    <mergeCell ref="C2:I2"/>
    <mergeCell ref="J2:L2"/>
    <mergeCell ref="M2:M4"/>
    <mergeCell ref="N2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rintOptions horizontalCentered="1"/>
  <pageMargins left="0.27" right="0.25" top="0.87" bottom="0.2" header="0.25" footer="0.2"/>
  <pageSetup paperSize="5" scale="70" firstPageNumber="42" fitToWidth="3" orientation="portrait" useFirstPageNumber="1" r:id="rId1"/>
  <headerFooter alignWithMargins="0">
    <oddHeader xml:space="preserve">&amp;L&amp;"Arial,Bold"&amp;16Table 5A4:  FY2012-13 MFP Budget Letter 
Louisiana School for the Deaf and Visually Impaired (&amp;14LSDVI)&amp;R&amp;"Arial,Bold"&amp;12&amp;KFF0000
</oddHeader>
    <oddFooter>&amp;R&amp;P</oddFooter>
  </headerFooter>
  <colBreaks count="1" manualBreakCount="1">
    <brk id="9" min="1" max="7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N106"/>
  <sheetViews>
    <sheetView view="pageBreakPreview" zoomScale="90" zoomScaleNormal="100" zoomScaleSheetLayoutView="9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85546875" style="1005" customWidth="1"/>
    <col min="2" max="2" width="17.5703125" style="1005" customWidth="1"/>
    <col min="3" max="3" width="13.5703125" style="1008" customWidth="1"/>
    <col min="4" max="4" width="16.140625" style="1008" customWidth="1"/>
    <col min="5" max="8" width="12.85546875" style="1009" customWidth="1"/>
    <col min="9" max="9" width="10.42578125" style="1008" customWidth="1"/>
    <col min="10" max="10" width="15.85546875" style="1084" customWidth="1"/>
    <col min="11" max="11" width="13.7109375" style="1008" bestFit="1" customWidth="1"/>
    <col min="12" max="12" width="10.85546875" style="1008" bestFit="1" customWidth="1"/>
    <col min="13" max="14" width="12.5703125" style="1005" customWidth="1"/>
    <col min="15" max="16384" width="12.5703125" style="1005"/>
  </cols>
  <sheetData>
    <row r="1" spans="1:14" ht="9" customHeight="1">
      <c r="B1" s="1006"/>
      <c r="C1" s="1007"/>
      <c r="D1" s="1007"/>
    </row>
    <row r="2" spans="1:14" s="1010" customFormat="1" ht="39.75" customHeight="1">
      <c r="A2" s="1773" t="s">
        <v>821</v>
      </c>
      <c r="B2" s="1774"/>
      <c r="C2" s="1791"/>
      <c r="D2" s="1791"/>
      <c r="E2" s="1791"/>
      <c r="F2" s="1791"/>
      <c r="G2" s="1791"/>
      <c r="H2" s="1791"/>
      <c r="I2" s="1792"/>
      <c r="J2" s="1770" t="s">
        <v>772</v>
      </c>
      <c r="K2" s="1771"/>
      <c r="L2" s="1772"/>
      <c r="M2" s="1764" t="s">
        <v>1384</v>
      </c>
      <c r="N2" s="1764" t="s">
        <v>1389</v>
      </c>
    </row>
    <row r="3" spans="1:14" ht="76.5" customHeight="1">
      <c r="A3" s="1775"/>
      <c r="B3" s="1776"/>
      <c r="C3" s="1779" t="s">
        <v>1235</v>
      </c>
      <c r="D3" s="1781" t="s">
        <v>1442</v>
      </c>
      <c r="E3" s="1779" t="s">
        <v>1445</v>
      </c>
      <c r="F3" s="1779" t="s">
        <v>832</v>
      </c>
      <c r="G3" s="1779" t="s">
        <v>833</v>
      </c>
      <c r="H3" s="1779" t="s">
        <v>1446</v>
      </c>
      <c r="I3" s="1781" t="s">
        <v>1410</v>
      </c>
      <c r="J3" s="1793" t="s">
        <v>822</v>
      </c>
      <c r="K3" s="1795" t="s">
        <v>1388</v>
      </c>
      <c r="L3" s="1795" t="s">
        <v>1437</v>
      </c>
      <c r="M3" s="1765"/>
      <c r="N3" s="1765"/>
    </row>
    <row r="4" spans="1:14" ht="33" customHeight="1">
      <c r="A4" s="1777"/>
      <c r="B4" s="1778"/>
      <c r="C4" s="1780"/>
      <c r="D4" s="1781"/>
      <c r="E4" s="1780"/>
      <c r="F4" s="1780"/>
      <c r="G4" s="1780"/>
      <c r="H4" s="1780"/>
      <c r="I4" s="1781"/>
      <c r="J4" s="1794"/>
      <c r="K4" s="1787"/>
      <c r="L4" s="1787"/>
      <c r="M4" s="1766"/>
      <c r="N4" s="1766"/>
    </row>
    <row r="5" spans="1:14" s="1015" customFormat="1" ht="14.25" customHeight="1">
      <c r="A5" s="1012"/>
      <c r="B5" s="1013"/>
      <c r="C5" s="1014">
        <v>1</v>
      </c>
      <c r="D5" s="1014">
        <f t="shared" ref="D5:N5" si="0">1+C5</f>
        <v>2</v>
      </c>
      <c r="E5" s="1014">
        <f t="shared" si="0"/>
        <v>3</v>
      </c>
      <c r="F5" s="1014">
        <f t="shared" ref="F5" si="1">1+E5</f>
        <v>4</v>
      </c>
      <c r="G5" s="1014">
        <f t="shared" ref="G5" si="2">1+F5</f>
        <v>5</v>
      </c>
      <c r="H5" s="1014">
        <f t="shared" ref="H5" si="3">1+G5</f>
        <v>6</v>
      </c>
      <c r="I5" s="1014">
        <f t="shared" ref="I5" si="4">1+H5</f>
        <v>7</v>
      </c>
      <c r="J5" s="1014">
        <f t="shared" si="0"/>
        <v>8</v>
      </c>
      <c r="K5" s="1014">
        <f t="shared" si="0"/>
        <v>9</v>
      </c>
      <c r="L5" s="1014">
        <f t="shared" si="0"/>
        <v>10</v>
      </c>
      <c r="M5" s="1014">
        <f t="shared" si="0"/>
        <v>11</v>
      </c>
      <c r="N5" s="1014">
        <f t="shared" si="0"/>
        <v>12</v>
      </c>
    </row>
    <row r="6" spans="1:14" s="1020" customFormat="1" ht="27" customHeight="1">
      <c r="A6" s="1016"/>
      <c r="B6" s="1017"/>
      <c r="C6" s="1018"/>
      <c r="D6" s="1019" t="s">
        <v>571</v>
      </c>
      <c r="E6" s="1019" t="s">
        <v>1205</v>
      </c>
      <c r="F6" s="1019" t="s">
        <v>575</v>
      </c>
      <c r="G6" s="1019" t="s">
        <v>1206</v>
      </c>
      <c r="H6" s="1019" t="s">
        <v>1207</v>
      </c>
      <c r="I6" s="1018" t="s">
        <v>1208</v>
      </c>
      <c r="J6" s="1085" t="s">
        <v>571</v>
      </c>
      <c r="K6" s="1019" t="s">
        <v>1209</v>
      </c>
      <c r="L6" s="1019" t="s">
        <v>869</v>
      </c>
      <c r="M6" s="1019" t="s">
        <v>806</v>
      </c>
      <c r="N6" s="1019" t="s">
        <v>1210</v>
      </c>
    </row>
    <row r="7" spans="1:14">
      <c r="A7" s="1021">
        <v>1</v>
      </c>
      <c r="B7" s="1022" t="s">
        <v>102</v>
      </c>
      <c r="C7" s="1159">
        <f>'Table 8 2.1.12 MFP Funded'!AA4</f>
        <v>2</v>
      </c>
      <c r="D7" s="1024">
        <f>'Table 3 Levels 1&amp;2'!AL8</f>
        <v>4621.8175818834352</v>
      </c>
      <c r="E7" s="1025">
        <f>C7*D7</f>
        <v>9243.6351637668704</v>
      </c>
      <c r="F7" s="1025">
        <f>'Table 4 Level 3'!P6</f>
        <v>777.48</v>
      </c>
      <c r="G7" s="1025">
        <f>F7*C7</f>
        <v>1554.96</v>
      </c>
      <c r="H7" s="1025">
        <f>E7+G7</f>
        <v>10798.59516376687</v>
      </c>
      <c r="I7" s="1025">
        <f>ROUND(H7/12,0)</f>
        <v>900</v>
      </c>
      <c r="J7" s="1086">
        <f>'Table 3 Levels 1&amp;2'!AT8</f>
        <v>2045</v>
      </c>
      <c r="K7" s="1026">
        <f>C7*J7</f>
        <v>4090</v>
      </c>
      <c r="L7" s="1026">
        <f>ROUND(K7/12,0)</f>
        <v>341</v>
      </c>
      <c r="M7" s="1027">
        <f>H7+K7</f>
        <v>14888.59516376687</v>
      </c>
      <c r="N7" s="1027">
        <f t="shared" ref="N7:N38" si="5">I7+L7</f>
        <v>1241</v>
      </c>
    </row>
    <row r="8" spans="1:14">
      <c r="A8" s="1028">
        <v>2</v>
      </c>
      <c r="B8" s="1029" t="s">
        <v>103</v>
      </c>
      <c r="C8" s="1160">
        <f>'Table 8 2.1.12 MFP Funded'!AA5</f>
        <v>1</v>
      </c>
      <c r="D8" s="1031">
        <f>'Table 3 Levels 1&amp;2'!AL9</f>
        <v>6131.8351665660375</v>
      </c>
      <c r="E8" s="1087">
        <f t="shared" ref="E8:E71" si="6">C8*D8</f>
        <v>6131.8351665660375</v>
      </c>
      <c r="F8" s="1087">
        <f>'Table 4 Level 3'!P7</f>
        <v>842.32</v>
      </c>
      <c r="G8" s="1087">
        <f t="shared" ref="G8:G71" si="7">F8*C8</f>
        <v>842.32</v>
      </c>
      <c r="H8" s="1087">
        <f t="shared" ref="H8:H71" si="8">E8+G8</f>
        <v>6974.1551665660372</v>
      </c>
      <c r="I8" s="1087">
        <f t="shared" ref="I8:I71" si="9">ROUND(H8/12,0)</f>
        <v>581</v>
      </c>
      <c r="J8" s="1086">
        <f>'Table 3 Levels 1&amp;2'!AT9</f>
        <v>2616.0300000000002</v>
      </c>
      <c r="K8" s="1088">
        <f t="shared" ref="K8:K71" si="10">C8*J8</f>
        <v>2616.0300000000002</v>
      </c>
      <c r="L8" s="1088">
        <f t="shared" ref="L8:L71" si="11">ROUND(K8/12,0)</f>
        <v>218</v>
      </c>
      <c r="M8" s="1089">
        <f t="shared" ref="M8:M71" si="12">H8+K8</f>
        <v>9590.1851665660379</v>
      </c>
      <c r="N8" s="1089">
        <f t="shared" si="5"/>
        <v>799</v>
      </c>
    </row>
    <row r="9" spans="1:14" ht="12.75" customHeight="1">
      <c r="A9" s="1028">
        <v>3</v>
      </c>
      <c r="B9" s="1029" t="s">
        <v>104</v>
      </c>
      <c r="C9" s="1160">
        <f>'Table 8 2.1.12 MFP Funded'!AA6</f>
        <v>6</v>
      </c>
      <c r="D9" s="1031">
        <f>'Table 3 Levels 1&amp;2'!AL10</f>
        <v>4326.5384352059973</v>
      </c>
      <c r="E9" s="1087">
        <f t="shared" si="6"/>
        <v>25959.230611235984</v>
      </c>
      <c r="F9" s="1087">
        <f>'Table 4 Level 3'!P8</f>
        <v>596.84</v>
      </c>
      <c r="G9" s="1087">
        <f t="shared" si="7"/>
        <v>3581.04</v>
      </c>
      <c r="H9" s="1087">
        <f t="shared" si="8"/>
        <v>29540.270611235985</v>
      </c>
      <c r="I9" s="1087">
        <f t="shared" si="9"/>
        <v>2462</v>
      </c>
      <c r="J9" s="1086">
        <f>'Table 3 Levels 1&amp;2'!AT10</f>
        <v>3358.67</v>
      </c>
      <c r="K9" s="1088">
        <f t="shared" si="10"/>
        <v>20152.02</v>
      </c>
      <c r="L9" s="1088">
        <f t="shared" si="11"/>
        <v>1679</v>
      </c>
      <c r="M9" s="1089">
        <f t="shared" si="12"/>
        <v>49692.290611235985</v>
      </c>
      <c r="N9" s="1089">
        <f t="shared" si="5"/>
        <v>4141</v>
      </c>
    </row>
    <row r="10" spans="1:14" ht="12.75" customHeight="1">
      <c r="A10" s="1028">
        <v>4</v>
      </c>
      <c r="B10" s="1029" t="s">
        <v>105</v>
      </c>
      <c r="C10" s="1160">
        <f>'Table 8 2.1.12 MFP Funded'!AA7</f>
        <v>3</v>
      </c>
      <c r="D10" s="1031">
        <f>'Table 3 Levels 1&amp;2'!AL11</f>
        <v>6066.2659652331004</v>
      </c>
      <c r="E10" s="1087">
        <f t="shared" si="6"/>
        <v>18198.797895699303</v>
      </c>
      <c r="F10" s="1087">
        <f>'Table 4 Level 3'!P9</f>
        <v>585.76</v>
      </c>
      <c r="G10" s="1087">
        <f t="shared" si="7"/>
        <v>1757.28</v>
      </c>
      <c r="H10" s="1087">
        <f t="shared" si="8"/>
        <v>19956.077895699302</v>
      </c>
      <c r="I10" s="1087">
        <f t="shared" si="9"/>
        <v>1663</v>
      </c>
      <c r="J10" s="1086">
        <f>'Table 3 Levels 1&amp;2'!AT11</f>
        <v>3133.44</v>
      </c>
      <c r="K10" s="1088">
        <f t="shared" si="10"/>
        <v>9400.32</v>
      </c>
      <c r="L10" s="1088">
        <f t="shared" si="11"/>
        <v>783</v>
      </c>
      <c r="M10" s="1089">
        <f t="shared" si="12"/>
        <v>29356.397895699301</v>
      </c>
      <c r="N10" s="1089">
        <f t="shared" si="5"/>
        <v>2446</v>
      </c>
    </row>
    <row r="11" spans="1:14">
      <c r="A11" s="1032">
        <v>5</v>
      </c>
      <c r="B11" s="1033" t="s">
        <v>106</v>
      </c>
      <c r="C11" s="1161">
        <f>'Table 8 2.1.12 MFP Funded'!AA8</f>
        <v>4</v>
      </c>
      <c r="D11" s="1035">
        <f>'Table 3 Levels 1&amp;2'!AL12</f>
        <v>4806.2126132223084</v>
      </c>
      <c r="E11" s="1090">
        <f t="shared" si="6"/>
        <v>19224.850452889234</v>
      </c>
      <c r="F11" s="1090">
        <f>'Table 4 Level 3'!P10</f>
        <v>555.91</v>
      </c>
      <c r="G11" s="1090">
        <f t="shared" si="7"/>
        <v>2223.64</v>
      </c>
      <c r="H11" s="1090">
        <f t="shared" si="8"/>
        <v>21448.490452889233</v>
      </c>
      <c r="I11" s="1090">
        <f t="shared" si="9"/>
        <v>1787</v>
      </c>
      <c r="J11" s="1091">
        <f>'Table 3 Levels 1&amp;2'!AT12</f>
        <v>1183.8900000000001</v>
      </c>
      <c r="K11" s="1092">
        <f t="shared" si="10"/>
        <v>4735.5600000000004</v>
      </c>
      <c r="L11" s="1092">
        <f t="shared" si="11"/>
        <v>395</v>
      </c>
      <c r="M11" s="1093">
        <f t="shared" si="12"/>
        <v>26184.050452889234</v>
      </c>
      <c r="N11" s="1093">
        <f t="shared" si="5"/>
        <v>2182</v>
      </c>
    </row>
    <row r="12" spans="1:14" ht="12.75" customHeight="1">
      <c r="A12" s="1021">
        <v>6</v>
      </c>
      <c r="B12" s="1022" t="s">
        <v>107</v>
      </c>
      <c r="C12" s="1159">
        <f>'Table 8 2.1.12 MFP Funded'!AA9</f>
        <v>2</v>
      </c>
      <c r="D12" s="1024">
        <f>'Table 3 Levels 1&amp;2'!AL13</f>
        <v>5538.0879878550813</v>
      </c>
      <c r="E12" s="1025">
        <f t="shared" si="6"/>
        <v>11076.175975710163</v>
      </c>
      <c r="F12" s="1025">
        <f>'Table 4 Level 3'!P11</f>
        <v>545.4799999999999</v>
      </c>
      <c r="G12" s="1025">
        <f t="shared" si="7"/>
        <v>1090.9599999999998</v>
      </c>
      <c r="H12" s="1025">
        <f t="shared" si="8"/>
        <v>12167.135975710162</v>
      </c>
      <c r="I12" s="1025">
        <f t="shared" si="9"/>
        <v>1014</v>
      </c>
      <c r="J12" s="1086">
        <f>'Table 3 Levels 1&amp;2'!AT13</f>
        <v>3081.93</v>
      </c>
      <c r="K12" s="1026">
        <f t="shared" si="10"/>
        <v>6163.86</v>
      </c>
      <c r="L12" s="1026">
        <f t="shared" si="11"/>
        <v>514</v>
      </c>
      <c r="M12" s="1027">
        <f t="shared" si="12"/>
        <v>18330.995975710161</v>
      </c>
      <c r="N12" s="1027">
        <f t="shared" si="5"/>
        <v>1528</v>
      </c>
    </row>
    <row r="13" spans="1:14">
      <c r="A13" s="1028">
        <v>7</v>
      </c>
      <c r="B13" s="1029" t="s">
        <v>108</v>
      </c>
      <c r="C13" s="1160">
        <f>'Table 8 2.1.12 MFP Funded'!AA10</f>
        <v>0</v>
      </c>
      <c r="D13" s="1031">
        <f>'Table 3 Levels 1&amp;2'!AL14</f>
        <v>1543.5712353471597</v>
      </c>
      <c r="E13" s="1087">
        <f t="shared" si="6"/>
        <v>0</v>
      </c>
      <c r="F13" s="1087">
        <f>'Table 4 Level 3'!P12</f>
        <v>756.91999999999985</v>
      </c>
      <c r="G13" s="1087">
        <f t="shared" si="7"/>
        <v>0</v>
      </c>
      <c r="H13" s="1087">
        <f t="shared" si="8"/>
        <v>0</v>
      </c>
      <c r="I13" s="1087">
        <f t="shared" si="9"/>
        <v>0</v>
      </c>
      <c r="J13" s="1086">
        <f>'Table 3 Levels 1&amp;2'!AT14</f>
        <v>6138.11</v>
      </c>
      <c r="K13" s="1088">
        <f t="shared" si="10"/>
        <v>0</v>
      </c>
      <c r="L13" s="1088">
        <f t="shared" si="11"/>
        <v>0</v>
      </c>
      <c r="M13" s="1089">
        <f t="shared" si="12"/>
        <v>0</v>
      </c>
      <c r="N13" s="1089">
        <f t="shared" si="5"/>
        <v>0</v>
      </c>
    </row>
    <row r="14" spans="1:14">
      <c r="A14" s="1028">
        <v>8</v>
      </c>
      <c r="B14" s="1029" t="s">
        <v>109</v>
      </c>
      <c r="C14" s="1160">
        <f>'Table 8 2.1.12 MFP Funded'!AA11</f>
        <v>2</v>
      </c>
      <c r="D14" s="1031">
        <f>'Table 3 Levels 1&amp;2'!AL15</f>
        <v>4033.4866571910334</v>
      </c>
      <c r="E14" s="1087">
        <f t="shared" si="6"/>
        <v>8066.9733143820667</v>
      </c>
      <c r="F14" s="1087">
        <f>'Table 4 Level 3'!P13</f>
        <v>725.76</v>
      </c>
      <c r="G14" s="1087">
        <f t="shared" si="7"/>
        <v>1451.52</v>
      </c>
      <c r="H14" s="1087">
        <f t="shared" si="8"/>
        <v>9518.4933143820672</v>
      </c>
      <c r="I14" s="1087">
        <f t="shared" si="9"/>
        <v>793</v>
      </c>
      <c r="J14" s="1086">
        <f>'Table 3 Levels 1&amp;2'!AT15</f>
        <v>3546.81</v>
      </c>
      <c r="K14" s="1088">
        <f t="shared" si="10"/>
        <v>7093.62</v>
      </c>
      <c r="L14" s="1088">
        <f t="shared" si="11"/>
        <v>591</v>
      </c>
      <c r="M14" s="1089">
        <f t="shared" si="12"/>
        <v>16612.113314382066</v>
      </c>
      <c r="N14" s="1089">
        <f t="shared" si="5"/>
        <v>1384</v>
      </c>
    </row>
    <row r="15" spans="1:14">
      <c r="A15" s="1028">
        <v>9</v>
      </c>
      <c r="B15" s="1029" t="s">
        <v>110</v>
      </c>
      <c r="C15" s="1160">
        <f>'Table 8 2.1.12 MFP Funded'!AA12</f>
        <v>7</v>
      </c>
      <c r="D15" s="1031">
        <f>'Table 3 Levels 1&amp;2'!AL16</f>
        <v>4268.3217271902904</v>
      </c>
      <c r="E15" s="1087">
        <f t="shared" si="6"/>
        <v>29878.252090332033</v>
      </c>
      <c r="F15" s="1087">
        <f>'Table 4 Level 3'!P14</f>
        <v>744.76</v>
      </c>
      <c r="G15" s="1087">
        <f t="shared" si="7"/>
        <v>5213.32</v>
      </c>
      <c r="H15" s="1087">
        <f t="shared" si="8"/>
        <v>35091.572090332033</v>
      </c>
      <c r="I15" s="1087">
        <f t="shared" si="9"/>
        <v>2924</v>
      </c>
      <c r="J15" s="1086">
        <f>'Table 3 Levels 1&amp;2'!AT16</f>
        <v>3511.93</v>
      </c>
      <c r="K15" s="1088">
        <f t="shared" si="10"/>
        <v>24583.51</v>
      </c>
      <c r="L15" s="1088">
        <f t="shared" si="11"/>
        <v>2049</v>
      </c>
      <c r="M15" s="1089">
        <f t="shared" si="12"/>
        <v>59675.082090332027</v>
      </c>
      <c r="N15" s="1089">
        <f t="shared" si="5"/>
        <v>4973</v>
      </c>
    </row>
    <row r="16" spans="1:14">
      <c r="A16" s="1032">
        <v>10</v>
      </c>
      <c r="B16" s="1033" t="s">
        <v>111</v>
      </c>
      <c r="C16" s="1161">
        <f>'Table 8 2.1.12 MFP Funded'!AA13</f>
        <v>7</v>
      </c>
      <c r="D16" s="1035">
        <f>'Table 3 Levels 1&amp;2'!AL17</f>
        <v>4300.0681374076885</v>
      </c>
      <c r="E16" s="1090">
        <f t="shared" si="6"/>
        <v>30100.476961853819</v>
      </c>
      <c r="F16" s="1090">
        <f>'Table 4 Level 3'!P15</f>
        <v>608.04000000000008</v>
      </c>
      <c r="G16" s="1090">
        <f t="shared" si="7"/>
        <v>4256.2800000000007</v>
      </c>
      <c r="H16" s="1090">
        <f t="shared" si="8"/>
        <v>34356.756961853818</v>
      </c>
      <c r="I16" s="1090">
        <f t="shared" si="9"/>
        <v>2863</v>
      </c>
      <c r="J16" s="1091">
        <f>'Table 3 Levels 1&amp;2'!AT17</f>
        <v>3798.82</v>
      </c>
      <c r="K16" s="1092">
        <f t="shared" si="10"/>
        <v>26591.74</v>
      </c>
      <c r="L16" s="1092">
        <f t="shared" si="11"/>
        <v>2216</v>
      </c>
      <c r="M16" s="1093">
        <f t="shared" si="12"/>
        <v>60948.496961853816</v>
      </c>
      <c r="N16" s="1093">
        <f t="shared" si="5"/>
        <v>5079</v>
      </c>
    </row>
    <row r="17" spans="1:14">
      <c r="A17" s="1021">
        <v>11</v>
      </c>
      <c r="B17" s="1022" t="s">
        <v>112</v>
      </c>
      <c r="C17" s="1159">
        <f>'Table 8 2.1.12 MFP Funded'!AA14</f>
        <v>0</v>
      </c>
      <c r="D17" s="1024">
        <f>'Table 3 Levels 1&amp;2'!AL18</f>
        <v>6740.2393955908683</v>
      </c>
      <c r="E17" s="1025">
        <f t="shared" si="6"/>
        <v>0</v>
      </c>
      <c r="F17" s="1025">
        <f>'Table 4 Level 3'!P16</f>
        <v>706.55</v>
      </c>
      <c r="G17" s="1025">
        <f t="shared" si="7"/>
        <v>0</v>
      </c>
      <c r="H17" s="1025">
        <f t="shared" si="8"/>
        <v>0</v>
      </c>
      <c r="I17" s="1025">
        <f t="shared" si="9"/>
        <v>0</v>
      </c>
      <c r="J17" s="1086">
        <f>'Table 3 Levels 1&amp;2'!AT18</f>
        <v>3219.82</v>
      </c>
      <c r="K17" s="1026">
        <f t="shared" si="10"/>
        <v>0</v>
      </c>
      <c r="L17" s="1026">
        <f t="shared" si="11"/>
        <v>0</v>
      </c>
      <c r="M17" s="1027">
        <f t="shared" si="12"/>
        <v>0</v>
      </c>
      <c r="N17" s="1027">
        <f t="shared" si="5"/>
        <v>0</v>
      </c>
    </row>
    <row r="18" spans="1:14">
      <c r="A18" s="1028">
        <v>12</v>
      </c>
      <c r="B18" s="1029" t="s">
        <v>113</v>
      </c>
      <c r="C18" s="1160">
        <f>'Table 8 2.1.12 MFP Funded'!AA15</f>
        <v>0</v>
      </c>
      <c r="D18" s="1031">
        <f>'Table 3 Levels 1&amp;2'!AL19</f>
        <v>1781.2877551020408</v>
      </c>
      <c r="E18" s="1087">
        <f t="shared" si="6"/>
        <v>0</v>
      </c>
      <c r="F18" s="1087">
        <f>'Table 4 Level 3'!P17</f>
        <v>1063.31</v>
      </c>
      <c r="G18" s="1087">
        <f t="shared" si="7"/>
        <v>0</v>
      </c>
      <c r="H18" s="1087">
        <f t="shared" si="8"/>
        <v>0</v>
      </c>
      <c r="I18" s="1087">
        <f t="shared" si="9"/>
        <v>0</v>
      </c>
      <c r="J18" s="1086">
        <f>'Table 3 Levels 1&amp;2'!AT19</f>
        <v>6240.06</v>
      </c>
      <c r="K18" s="1088">
        <f t="shared" si="10"/>
        <v>0</v>
      </c>
      <c r="L18" s="1088">
        <f t="shared" si="11"/>
        <v>0</v>
      </c>
      <c r="M18" s="1089">
        <f t="shared" si="12"/>
        <v>0</v>
      </c>
      <c r="N18" s="1089">
        <f t="shared" si="5"/>
        <v>0</v>
      </c>
    </row>
    <row r="19" spans="1:14">
      <c r="A19" s="1028">
        <v>13</v>
      </c>
      <c r="B19" s="1029" t="s">
        <v>114</v>
      </c>
      <c r="C19" s="1160">
        <f>'Table 8 2.1.12 MFP Funded'!AA16</f>
        <v>0</v>
      </c>
      <c r="D19" s="1031">
        <f>'Table 3 Levels 1&amp;2'!AL20</f>
        <v>6125.5331903699798</v>
      </c>
      <c r="E19" s="1087">
        <f t="shared" si="6"/>
        <v>0</v>
      </c>
      <c r="F19" s="1087">
        <f>'Table 4 Level 3'!P18</f>
        <v>749.43000000000006</v>
      </c>
      <c r="G19" s="1087">
        <f t="shared" si="7"/>
        <v>0</v>
      </c>
      <c r="H19" s="1087">
        <f t="shared" si="8"/>
        <v>0</v>
      </c>
      <c r="I19" s="1087">
        <f t="shared" si="9"/>
        <v>0</v>
      </c>
      <c r="J19" s="1086">
        <f>'Table 3 Levels 1&amp;2'!AT20</f>
        <v>2455.5100000000002</v>
      </c>
      <c r="K19" s="1088">
        <f t="shared" si="10"/>
        <v>0</v>
      </c>
      <c r="L19" s="1088">
        <f t="shared" si="11"/>
        <v>0</v>
      </c>
      <c r="M19" s="1089">
        <f t="shared" si="12"/>
        <v>0</v>
      </c>
      <c r="N19" s="1089">
        <f t="shared" si="5"/>
        <v>0</v>
      </c>
    </row>
    <row r="20" spans="1:14" ht="12.75" customHeight="1">
      <c r="A20" s="1028">
        <v>14</v>
      </c>
      <c r="B20" s="1029" t="s">
        <v>115</v>
      </c>
      <c r="C20" s="1160">
        <f>'Table 8 2.1.12 MFP Funded'!AA17</f>
        <v>0</v>
      </c>
      <c r="D20" s="1031">
        <f>'Table 3 Levels 1&amp;2'!AL21</f>
        <v>5278.0936993421856</v>
      </c>
      <c r="E20" s="1087">
        <f t="shared" si="6"/>
        <v>0</v>
      </c>
      <c r="F20" s="1087">
        <f>'Table 4 Level 3'!P19</f>
        <v>809.9799999999999</v>
      </c>
      <c r="G20" s="1087">
        <f t="shared" si="7"/>
        <v>0</v>
      </c>
      <c r="H20" s="1087">
        <f t="shared" si="8"/>
        <v>0</v>
      </c>
      <c r="I20" s="1087">
        <f t="shared" si="9"/>
        <v>0</v>
      </c>
      <c r="J20" s="1086">
        <f>'Table 3 Levels 1&amp;2'!AT21</f>
        <v>3518.41</v>
      </c>
      <c r="K20" s="1088">
        <f t="shared" si="10"/>
        <v>0</v>
      </c>
      <c r="L20" s="1088">
        <f t="shared" si="11"/>
        <v>0</v>
      </c>
      <c r="M20" s="1089">
        <f t="shared" si="12"/>
        <v>0</v>
      </c>
      <c r="N20" s="1089">
        <f t="shared" si="5"/>
        <v>0</v>
      </c>
    </row>
    <row r="21" spans="1:14">
      <c r="A21" s="1032">
        <v>15</v>
      </c>
      <c r="B21" s="1033" t="s">
        <v>116</v>
      </c>
      <c r="C21" s="1161">
        <f>'Table 8 2.1.12 MFP Funded'!AA18</f>
        <v>2</v>
      </c>
      <c r="D21" s="1035">
        <f>'Table 3 Levels 1&amp;2'!AL22</f>
        <v>5428.9842692179664</v>
      </c>
      <c r="E21" s="1090">
        <f t="shared" si="6"/>
        <v>10857.968538435933</v>
      </c>
      <c r="F21" s="1090">
        <f>'Table 4 Level 3'!P20</f>
        <v>553.79999999999995</v>
      </c>
      <c r="G21" s="1090">
        <f t="shared" si="7"/>
        <v>1107.5999999999999</v>
      </c>
      <c r="H21" s="1090">
        <f t="shared" si="8"/>
        <v>11965.568538435933</v>
      </c>
      <c r="I21" s="1090">
        <f t="shared" si="9"/>
        <v>997</v>
      </c>
      <c r="J21" s="1091">
        <f>'Table 3 Levels 1&amp;2'!AT22</f>
        <v>2623.49</v>
      </c>
      <c r="K21" s="1092">
        <f t="shared" si="10"/>
        <v>5246.98</v>
      </c>
      <c r="L21" s="1092">
        <f t="shared" si="11"/>
        <v>437</v>
      </c>
      <c r="M21" s="1093">
        <f t="shared" si="12"/>
        <v>17212.548538435934</v>
      </c>
      <c r="N21" s="1093">
        <f t="shared" si="5"/>
        <v>1434</v>
      </c>
    </row>
    <row r="22" spans="1:14">
      <c r="A22" s="1021">
        <v>16</v>
      </c>
      <c r="B22" s="1022" t="s">
        <v>117</v>
      </c>
      <c r="C22" s="1159">
        <f>'Table 8 2.1.12 MFP Funded'!AA19</f>
        <v>0</v>
      </c>
      <c r="D22" s="1024">
        <f>'Table 3 Levels 1&amp;2'!AL23</f>
        <v>1501.2470754125757</v>
      </c>
      <c r="E22" s="1025">
        <f t="shared" si="6"/>
        <v>0</v>
      </c>
      <c r="F22" s="1025">
        <f>'Table 4 Level 3'!P21</f>
        <v>686.73</v>
      </c>
      <c r="G22" s="1025">
        <f t="shared" si="7"/>
        <v>0</v>
      </c>
      <c r="H22" s="1025">
        <f t="shared" si="8"/>
        <v>0</v>
      </c>
      <c r="I22" s="1025">
        <f t="shared" si="9"/>
        <v>0</v>
      </c>
      <c r="J22" s="1086">
        <f>'Table 3 Levels 1&amp;2'!AT23</f>
        <v>5917.14</v>
      </c>
      <c r="K22" s="1026">
        <f t="shared" si="10"/>
        <v>0</v>
      </c>
      <c r="L22" s="1026">
        <f t="shared" si="11"/>
        <v>0</v>
      </c>
      <c r="M22" s="1027">
        <f t="shared" si="12"/>
        <v>0</v>
      </c>
      <c r="N22" s="1027">
        <f t="shared" si="5"/>
        <v>0</v>
      </c>
    </row>
    <row r="23" spans="1:14">
      <c r="A23" s="1028">
        <v>17</v>
      </c>
      <c r="B23" s="1029" t="s">
        <v>118</v>
      </c>
      <c r="C23" s="1160">
        <f>'Table 8 2.1.12 MFP Funded'!AA20</f>
        <v>17</v>
      </c>
      <c r="D23" s="1031">
        <f>'Table 3 Levels 1&amp;2'!AL24</f>
        <v>3386.5716964570697</v>
      </c>
      <c r="E23" s="1087">
        <f t="shared" si="6"/>
        <v>57571.718839770183</v>
      </c>
      <c r="F23" s="1087">
        <f>'Table 5B2_RSD_LA'!F7</f>
        <v>801.47762416806802</v>
      </c>
      <c r="G23" s="1087">
        <f t="shared" si="7"/>
        <v>13625.119610857157</v>
      </c>
      <c r="H23" s="1087">
        <f t="shared" si="8"/>
        <v>71196.838450627343</v>
      </c>
      <c r="I23" s="1087">
        <f t="shared" si="9"/>
        <v>5933</v>
      </c>
      <c r="J23" s="1086">
        <f>'Table 3 Levels 1&amp;2'!AT24</f>
        <v>4548.13</v>
      </c>
      <c r="K23" s="1088">
        <f t="shared" si="10"/>
        <v>77318.210000000006</v>
      </c>
      <c r="L23" s="1088">
        <f t="shared" si="11"/>
        <v>6443</v>
      </c>
      <c r="M23" s="1089">
        <f t="shared" si="12"/>
        <v>148515.04845062736</v>
      </c>
      <c r="N23" s="1089">
        <f t="shared" si="5"/>
        <v>12376</v>
      </c>
    </row>
    <row r="24" spans="1:14">
      <c r="A24" s="1028">
        <v>18</v>
      </c>
      <c r="B24" s="1029" t="s">
        <v>119</v>
      </c>
      <c r="C24" s="1160">
        <f>'Table 8 2.1.12 MFP Funded'!AA21</f>
        <v>0</v>
      </c>
      <c r="D24" s="1031">
        <f>'Table 3 Levels 1&amp;2'!AL25</f>
        <v>5798.0598063231446</v>
      </c>
      <c r="E24" s="1087">
        <f t="shared" si="6"/>
        <v>0</v>
      </c>
      <c r="F24" s="1087">
        <f>'Table 4 Level 3'!P23</f>
        <v>845.94999999999993</v>
      </c>
      <c r="G24" s="1087">
        <f t="shared" si="7"/>
        <v>0</v>
      </c>
      <c r="H24" s="1087">
        <f t="shared" si="8"/>
        <v>0</v>
      </c>
      <c r="I24" s="1087">
        <f t="shared" si="9"/>
        <v>0</v>
      </c>
      <c r="J24" s="1086">
        <f>'Table 3 Levels 1&amp;2'!AT25</f>
        <v>1808.29</v>
      </c>
      <c r="K24" s="1088">
        <f t="shared" si="10"/>
        <v>0</v>
      </c>
      <c r="L24" s="1088">
        <f t="shared" si="11"/>
        <v>0</v>
      </c>
      <c r="M24" s="1089">
        <f t="shared" si="12"/>
        <v>0</v>
      </c>
      <c r="N24" s="1089">
        <f t="shared" si="5"/>
        <v>0</v>
      </c>
    </row>
    <row r="25" spans="1:14">
      <c r="A25" s="1028">
        <v>19</v>
      </c>
      <c r="B25" s="1029" t="s">
        <v>120</v>
      </c>
      <c r="C25" s="1160">
        <f>'Table 8 2.1.12 MFP Funded'!AA22</f>
        <v>14</v>
      </c>
      <c r="D25" s="1031">
        <f>'Table 3 Levels 1&amp;2'!AL26</f>
        <v>5219.1012787873206</v>
      </c>
      <c r="E25" s="1087">
        <f t="shared" si="6"/>
        <v>73067.417903022491</v>
      </c>
      <c r="F25" s="1087">
        <f>'Table 4 Level 3'!P24</f>
        <v>905.43</v>
      </c>
      <c r="G25" s="1087">
        <f t="shared" si="7"/>
        <v>12676.019999999999</v>
      </c>
      <c r="H25" s="1087">
        <f t="shared" si="8"/>
        <v>85743.437903022495</v>
      </c>
      <c r="I25" s="1087">
        <f t="shared" si="9"/>
        <v>7145</v>
      </c>
      <c r="J25" s="1086">
        <f>'Table 3 Levels 1&amp;2'!AT26</f>
        <v>2267.1</v>
      </c>
      <c r="K25" s="1088">
        <f t="shared" si="10"/>
        <v>31739.399999999998</v>
      </c>
      <c r="L25" s="1088">
        <f t="shared" si="11"/>
        <v>2645</v>
      </c>
      <c r="M25" s="1089">
        <f t="shared" si="12"/>
        <v>117482.83790302249</v>
      </c>
      <c r="N25" s="1089">
        <f t="shared" si="5"/>
        <v>9790</v>
      </c>
    </row>
    <row r="26" spans="1:14">
      <c r="A26" s="1032">
        <v>20</v>
      </c>
      <c r="B26" s="1033" t="s">
        <v>121</v>
      </c>
      <c r="C26" s="1161">
        <f>'Table 8 2.1.12 MFP Funded'!AA23</f>
        <v>4</v>
      </c>
      <c r="D26" s="1035">
        <f>'Table 3 Levels 1&amp;2'!AL27</f>
        <v>5441.7799844976798</v>
      </c>
      <c r="E26" s="1090">
        <f t="shared" si="6"/>
        <v>21767.119937990719</v>
      </c>
      <c r="F26" s="1090">
        <f>'Table 4 Level 3'!P25</f>
        <v>586.16999999999996</v>
      </c>
      <c r="G26" s="1090">
        <f t="shared" si="7"/>
        <v>2344.6799999999998</v>
      </c>
      <c r="H26" s="1090">
        <f t="shared" si="8"/>
        <v>24111.79993799072</v>
      </c>
      <c r="I26" s="1090">
        <f t="shared" si="9"/>
        <v>2009</v>
      </c>
      <c r="J26" s="1091">
        <f>'Table 3 Levels 1&amp;2'!AT27</f>
        <v>2246.13</v>
      </c>
      <c r="K26" s="1092">
        <f t="shared" si="10"/>
        <v>8984.52</v>
      </c>
      <c r="L26" s="1092">
        <f t="shared" si="11"/>
        <v>749</v>
      </c>
      <c r="M26" s="1093">
        <f t="shared" si="12"/>
        <v>33096.319937990716</v>
      </c>
      <c r="N26" s="1093">
        <f t="shared" si="5"/>
        <v>2758</v>
      </c>
    </row>
    <row r="27" spans="1:14">
      <c r="A27" s="1021">
        <v>21</v>
      </c>
      <c r="B27" s="1022" t="s">
        <v>122</v>
      </c>
      <c r="C27" s="1159">
        <f>'Table 8 2.1.12 MFP Funded'!AA24</f>
        <v>1</v>
      </c>
      <c r="D27" s="1024">
        <f>'Table 3 Levels 1&amp;2'!AL28</f>
        <v>5718.7800910915075</v>
      </c>
      <c r="E27" s="1025">
        <f t="shared" si="6"/>
        <v>5718.7800910915075</v>
      </c>
      <c r="F27" s="1025">
        <f>'Table 4 Level 3'!P26</f>
        <v>610.35</v>
      </c>
      <c r="G27" s="1025">
        <f t="shared" si="7"/>
        <v>610.35</v>
      </c>
      <c r="H27" s="1025">
        <f t="shared" si="8"/>
        <v>6329.1300910915079</v>
      </c>
      <c r="I27" s="1025">
        <f t="shared" si="9"/>
        <v>527</v>
      </c>
      <c r="J27" s="1086">
        <f>'Table 3 Levels 1&amp;2'!AT28</f>
        <v>2032.39</v>
      </c>
      <c r="K27" s="1026">
        <f t="shared" si="10"/>
        <v>2032.39</v>
      </c>
      <c r="L27" s="1026">
        <f t="shared" si="11"/>
        <v>169</v>
      </c>
      <c r="M27" s="1027">
        <f t="shared" si="12"/>
        <v>8361.5200910915082</v>
      </c>
      <c r="N27" s="1027">
        <f t="shared" si="5"/>
        <v>696</v>
      </c>
    </row>
    <row r="28" spans="1:14">
      <c r="A28" s="1028">
        <v>22</v>
      </c>
      <c r="B28" s="1029" t="s">
        <v>123</v>
      </c>
      <c r="C28" s="1160">
        <f>'Table 8 2.1.12 MFP Funded'!AA25</f>
        <v>4</v>
      </c>
      <c r="D28" s="1031">
        <f>'Table 3 Levels 1&amp;2'!AL29</f>
        <v>6198.830003500153</v>
      </c>
      <c r="E28" s="1087">
        <f t="shared" si="6"/>
        <v>24795.320014000612</v>
      </c>
      <c r="F28" s="1087">
        <f>'Table 4 Level 3'!P27</f>
        <v>496.36</v>
      </c>
      <c r="G28" s="1087">
        <f t="shared" si="7"/>
        <v>1985.44</v>
      </c>
      <c r="H28" s="1087">
        <f t="shared" si="8"/>
        <v>26780.760014000611</v>
      </c>
      <c r="I28" s="1087">
        <f t="shared" si="9"/>
        <v>2232</v>
      </c>
      <c r="J28" s="1086">
        <f>'Table 3 Levels 1&amp;2'!AT29</f>
        <v>1574.44</v>
      </c>
      <c r="K28" s="1088">
        <f t="shared" si="10"/>
        <v>6297.76</v>
      </c>
      <c r="L28" s="1088">
        <f t="shared" si="11"/>
        <v>525</v>
      </c>
      <c r="M28" s="1089">
        <f t="shared" si="12"/>
        <v>33078.520014000613</v>
      </c>
      <c r="N28" s="1089">
        <f t="shared" si="5"/>
        <v>2757</v>
      </c>
    </row>
    <row r="29" spans="1:14">
      <c r="A29" s="1028">
        <v>23</v>
      </c>
      <c r="B29" s="1029" t="s">
        <v>124</v>
      </c>
      <c r="C29" s="1160">
        <f>'Table 8 2.1.12 MFP Funded'!AA26</f>
        <v>7</v>
      </c>
      <c r="D29" s="1031">
        <f>'Table 3 Levels 1&amp;2'!AL30</f>
        <v>4809.0299298140199</v>
      </c>
      <c r="E29" s="1087">
        <f t="shared" si="6"/>
        <v>33663.209508698143</v>
      </c>
      <c r="F29" s="1087">
        <f>'Table 4 Level 3'!P28</f>
        <v>688.58</v>
      </c>
      <c r="G29" s="1087">
        <f t="shared" si="7"/>
        <v>4820.0600000000004</v>
      </c>
      <c r="H29" s="1087">
        <f t="shared" si="8"/>
        <v>38483.26950869814</v>
      </c>
      <c r="I29" s="1087">
        <f t="shared" si="9"/>
        <v>3207</v>
      </c>
      <c r="J29" s="1086">
        <f>'Table 3 Levels 1&amp;2'!AT30</f>
        <v>3128.39</v>
      </c>
      <c r="K29" s="1088">
        <f t="shared" si="10"/>
        <v>21898.73</v>
      </c>
      <c r="L29" s="1088">
        <f t="shared" si="11"/>
        <v>1825</v>
      </c>
      <c r="M29" s="1089">
        <f t="shared" si="12"/>
        <v>60381.999508698136</v>
      </c>
      <c r="N29" s="1089">
        <f t="shared" si="5"/>
        <v>5032</v>
      </c>
    </row>
    <row r="30" spans="1:14">
      <c r="A30" s="1028">
        <v>24</v>
      </c>
      <c r="B30" s="1029" t="s">
        <v>125</v>
      </c>
      <c r="C30" s="1160">
        <f>'Table 8 2.1.12 MFP Funded'!AA27</f>
        <v>1</v>
      </c>
      <c r="D30" s="1031">
        <f>'Table 3 Levels 1&amp;2'!AL31</f>
        <v>2649.7787452556372</v>
      </c>
      <c r="E30" s="1087">
        <f t="shared" si="6"/>
        <v>2649.7787452556372</v>
      </c>
      <c r="F30" s="1087">
        <f>'Table 4 Level 3'!P29</f>
        <v>854.24999999999989</v>
      </c>
      <c r="G30" s="1087">
        <f t="shared" si="7"/>
        <v>854.24999999999989</v>
      </c>
      <c r="H30" s="1087">
        <f t="shared" si="8"/>
        <v>3504.0287452556372</v>
      </c>
      <c r="I30" s="1087">
        <f t="shared" si="9"/>
        <v>292</v>
      </c>
      <c r="J30" s="1086">
        <f>'Table 3 Levels 1&amp;2'!AT31</f>
        <v>5353.59</v>
      </c>
      <c r="K30" s="1088">
        <f t="shared" si="10"/>
        <v>5353.59</v>
      </c>
      <c r="L30" s="1088">
        <f t="shared" si="11"/>
        <v>446</v>
      </c>
      <c r="M30" s="1089">
        <f t="shared" si="12"/>
        <v>8857.6187452556369</v>
      </c>
      <c r="N30" s="1089">
        <f t="shared" si="5"/>
        <v>738</v>
      </c>
    </row>
    <row r="31" spans="1:14">
      <c r="A31" s="1032">
        <v>25</v>
      </c>
      <c r="B31" s="1033" t="s">
        <v>126</v>
      </c>
      <c r="C31" s="1161">
        <f>'Table 8 2.1.12 MFP Funded'!AA28</f>
        <v>0</v>
      </c>
      <c r="D31" s="1035">
        <f>'Table 3 Levels 1&amp;2'!AL32</f>
        <v>3848.3923674564248</v>
      </c>
      <c r="E31" s="1090">
        <f t="shared" si="6"/>
        <v>0</v>
      </c>
      <c r="F31" s="1090">
        <f>'Table 4 Level 3'!P30</f>
        <v>653.73</v>
      </c>
      <c r="G31" s="1090">
        <f t="shared" si="7"/>
        <v>0</v>
      </c>
      <c r="H31" s="1090">
        <f t="shared" si="8"/>
        <v>0</v>
      </c>
      <c r="I31" s="1090">
        <f t="shared" si="9"/>
        <v>0</v>
      </c>
      <c r="J31" s="1091">
        <f>'Table 3 Levels 1&amp;2'!AT32</f>
        <v>4364.78</v>
      </c>
      <c r="K31" s="1092">
        <f t="shared" si="10"/>
        <v>0</v>
      </c>
      <c r="L31" s="1092">
        <f t="shared" si="11"/>
        <v>0</v>
      </c>
      <c r="M31" s="1093">
        <f t="shared" si="12"/>
        <v>0</v>
      </c>
      <c r="N31" s="1093">
        <f t="shared" si="5"/>
        <v>0</v>
      </c>
    </row>
    <row r="32" spans="1:14">
      <c r="A32" s="1021">
        <v>26</v>
      </c>
      <c r="B32" s="1022" t="s">
        <v>127</v>
      </c>
      <c r="C32" s="1159">
        <f>'Table 8 2.1.12 MFP Funded'!AA29</f>
        <v>27</v>
      </c>
      <c r="D32" s="1024">
        <f>'Table 3 Levels 1&amp;2'!AL33</f>
        <v>3145.9192082835102</v>
      </c>
      <c r="E32" s="1025">
        <f t="shared" si="6"/>
        <v>84939.818623654777</v>
      </c>
      <c r="F32" s="1025">
        <f>'Table 4 Level 3'!P31</f>
        <v>836.83</v>
      </c>
      <c r="G32" s="1025">
        <f t="shared" si="7"/>
        <v>22594.41</v>
      </c>
      <c r="H32" s="1025">
        <f t="shared" si="8"/>
        <v>107534.22862365478</v>
      </c>
      <c r="I32" s="1025">
        <f t="shared" si="9"/>
        <v>8961</v>
      </c>
      <c r="J32" s="1086">
        <f>'Table 3 Levels 1&amp;2'!AT33</f>
        <v>4844.67</v>
      </c>
      <c r="K32" s="1026">
        <f t="shared" si="10"/>
        <v>130806.09</v>
      </c>
      <c r="L32" s="1026">
        <f t="shared" si="11"/>
        <v>10901</v>
      </c>
      <c r="M32" s="1027">
        <f t="shared" si="12"/>
        <v>238340.31862365478</v>
      </c>
      <c r="N32" s="1027">
        <f t="shared" si="5"/>
        <v>19862</v>
      </c>
    </row>
    <row r="33" spans="1:14">
      <c r="A33" s="1028">
        <v>27</v>
      </c>
      <c r="B33" s="1029" t="s">
        <v>128</v>
      </c>
      <c r="C33" s="1162">
        <f>'Table 8 2.1.12 MFP Funded'!AA30</f>
        <v>1</v>
      </c>
      <c r="D33" s="1037">
        <f>'Table 3 Levels 1&amp;2'!AL34</f>
        <v>5653.5502977926608</v>
      </c>
      <c r="E33" s="1094">
        <f t="shared" si="6"/>
        <v>5653.5502977926608</v>
      </c>
      <c r="F33" s="1094">
        <f>'Table 4 Level 3'!P32</f>
        <v>693.06</v>
      </c>
      <c r="G33" s="1094">
        <f t="shared" si="7"/>
        <v>693.06</v>
      </c>
      <c r="H33" s="1094">
        <f t="shared" si="8"/>
        <v>6346.6102977926603</v>
      </c>
      <c r="I33" s="1094">
        <f t="shared" si="9"/>
        <v>529</v>
      </c>
      <c r="J33" s="1086">
        <f>'Table 3 Levels 1&amp;2'!AT34</f>
        <v>3055.18</v>
      </c>
      <c r="K33" s="1088">
        <f t="shared" si="10"/>
        <v>3055.18</v>
      </c>
      <c r="L33" s="1088">
        <f t="shared" si="11"/>
        <v>255</v>
      </c>
      <c r="M33" s="1089">
        <f t="shared" si="12"/>
        <v>9401.7902977926606</v>
      </c>
      <c r="N33" s="1089">
        <f t="shared" si="5"/>
        <v>784</v>
      </c>
    </row>
    <row r="34" spans="1:14">
      <c r="A34" s="1028">
        <v>28</v>
      </c>
      <c r="B34" s="1029" t="s">
        <v>129</v>
      </c>
      <c r="C34" s="1162">
        <f>'Table 8 2.1.12 MFP Funded'!AA31</f>
        <v>7</v>
      </c>
      <c r="D34" s="1037">
        <f>'Table 3 Levels 1&amp;2'!AL35</f>
        <v>3200.5356505169011</v>
      </c>
      <c r="E34" s="1094">
        <f t="shared" si="6"/>
        <v>22403.749553618309</v>
      </c>
      <c r="F34" s="1094">
        <f>'Table 4 Level 3'!P33</f>
        <v>694.4</v>
      </c>
      <c r="G34" s="1094">
        <f t="shared" si="7"/>
        <v>4860.8</v>
      </c>
      <c r="H34" s="1094">
        <f t="shared" si="8"/>
        <v>27264.549553618308</v>
      </c>
      <c r="I34" s="1094">
        <f t="shared" si="9"/>
        <v>2272</v>
      </c>
      <c r="J34" s="1086">
        <f>'Table 3 Levels 1&amp;2'!AT35</f>
        <v>4167.09</v>
      </c>
      <c r="K34" s="1088">
        <f t="shared" si="10"/>
        <v>29169.63</v>
      </c>
      <c r="L34" s="1088">
        <f t="shared" si="11"/>
        <v>2431</v>
      </c>
      <c r="M34" s="1089">
        <f t="shared" si="12"/>
        <v>56434.179553618305</v>
      </c>
      <c r="N34" s="1089">
        <f t="shared" si="5"/>
        <v>4703</v>
      </c>
    </row>
    <row r="35" spans="1:14">
      <c r="A35" s="1028">
        <v>29</v>
      </c>
      <c r="B35" s="1029" t="s">
        <v>130</v>
      </c>
      <c r="C35" s="1162">
        <f>'Table 8 2.1.12 MFP Funded'!AA32</f>
        <v>3</v>
      </c>
      <c r="D35" s="1037">
        <f>'Table 3 Levels 1&amp;2'!AL36</f>
        <v>3945.0399545376122</v>
      </c>
      <c r="E35" s="1094">
        <f t="shared" si="6"/>
        <v>11835.119863612836</v>
      </c>
      <c r="F35" s="1094">
        <f>'Table 4 Level 3'!P34</f>
        <v>754.94999999999993</v>
      </c>
      <c r="G35" s="1094">
        <f t="shared" si="7"/>
        <v>2264.85</v>
      </c>
      <c r="H35" s="1094">
        <f t="shared" si="8"/>
        <v>14099.969863612836</v>
      </c>
      <c r="I35" s="1094">
        <f t="shared" si="9"/>
        <v>1175</v>
      </c>
      <c r="J35" s="1086">
        <f>'Table 3 Levels 1&amp;2'!AT36</f>
        <v>3595.05</v>
      </c>
      <c r="K35" s="1088">
        <f t="shared" si="10"/>
        <v>10785.150000000001</v>
      </c>
      <c r="L35" s="1088">
        <f t="shared" si="11"/>
        <v>899</v>
      </c>
      <c r="M35" s="1089">
        <f t="shared" si="12"/>
        <v>24885.119863612839</v>
      </c>
      <c r="N35" s="1089">
        <f t="shared" si="5"/>
        <v>2074</v>
      </c>
    </row>
    <row r="36" spans="1:14">
      <c r="A36" s="1032">
        <v>30</v>
      </c>
      <c r="B36" s="1033" t="s">
        <v>131</v>
      </c>
      <c r="C36" s="1163">
        <f>'Table 8 2.1.12 MFP Funded'!AA33</f>
        <v>1</v>
      </c>
      <c r="D36" s="1039">
        <f>'Table 3 Levels 1&amp;2'!AL37</f>
        <v>5594.8916667625617</v>
      </c>
      <c r="E36" s="1095">
        <f t="shared" si="6"/>
        <v>5594.8916667625617</v>
      </c>
      <c r="F36" s="1095">
        <f>'Table 4 Level 3'!P35</f>
        <v>727.17</v>
      </c>
      <c r="G36" s="1095">
        <f t="shared" si="7"/>
        <v>727.17</v>
      </c>
      <c r="H36" s="1095">
        <f t="shared" si="8"/>
        <v>6322.0616667625618</v>
      </c>
      <c r="I36" s="1095">
        <f t="shared" si="9"/>
        <v>527</v>
      </c>
      <c r="J36" s="1091">
        <f>'Table 3 Levels 1&amp;2'!AT37</f>
        <v>2994.12</v>
      </c>
      <c r="K36" s="1092">
        <f t="shared" si="10"/>
        <v>2994.12</v>
      </c>
      <c r="L36" s="1092">
        <f t="shared" si="11"/>
        <v>250</v>
      </c>
      <c r="M36" s="1093">
        <f t="shared" si="12"/>
        <v>9316.1816667625608</v>
      </c>
      <c r="N36" s="1093">
        <f t="shared" si="5"/>
        <v>777</v>
      </c>
    </row>
    <row r="37" spans="1:14">
      <c r="A37" s="1021">
        <v>31</v>
      </c>
      <c r="B37" s="1022" t="s">
        <v>132</v>
      </c>
      <c r="C37" s="1164">
        <f>'Table 8 2.1.12 MFP Funded'!AA34</f>
        <v>5</v>
      </c>
      <c r="D37" s="1041">
        <f>'Table 3 Levels 1&amp;2'!AL38</f>
        <v>4159.5846806435638</v>
      </c>
      <c r="E37" s="1096">
        <f t="shared" si="6"/>
        <v>20797.923403217821</v>
      </c>
      <c r="F37" s="1096">
        <f>'Table 4 Level 3'!P36</f>
        <v>620.83000000000004</v>
      </c>
      <c r="G37" s="1096">
        <f t="shared" si="7"/>
        <v>3104.15</v>
      </c>
      <c r="H37" s="1096">
        <f t="shared" si="8"/>
        <v>23902.073403217822</v>
      </c>
      <c r="I37" s="1096">
        <f t="shared" si="9"/>
        <v>1992</v>
      </c>
      <c r="J37" s="1086">
        <f>'Table 3 Levels 1&amp;2'!AT38</f>
        <v>3753.45</v>
      </c>
      <c r="K37" s="1026">
        <f t="shared" si="10"/>
        <v>18767.25</v>
      </c>
      <c r="L37" s="1026">
        <f t="shared" si="11"/>
        <v>1564</v>
      </c>
      <c r="M37" s="1027">
        <f t="shared" si="12"/>
        <v>42669.323403217822</v>
      </c>
      <c r="N37" s="1027">
        <f t="shared" si="5"/>
        <v>3556</v>
      </c>
    </row>
    <row r="38" spans="1:14">
      <c r="A38" s="1028">
        <v>32</v>
      </c>
      <c r="B38" s="1029" t="s">
        <v>133</v>
      </c>
      <c r="C38" s="1162">
        <f>'Table 8 2.1.12 MFP Funded'!AA35</f>
        <v>13</v>
      </c>
      <c r="D38" s="1037">
        <f>'Table 3 Levels 1&amp;2'!AL39</f>
        <v>5475.1436637248598</v>
      </c>
      <c r="E38" s="1094">
        <f t="shared" si="6"/>
        <v>71176.867628423177</v>
      </c>
      <c r="F38" s="1094">
        <f>'Table 4 Level 3'!P37</f>
        <v>559.77</v>
      </c>
      <c r="G38" s="1094">
        <f t="shared" si="7"/>
        <v>7277.01</v>
      </c>
      <c r="H38" s="1094">
        <f t="shared" si="8"/>
        <v>78453.877628423172</v>
      </c>
      <c r="I38" s="1094">
        <f t="shared" si="9"/>
        <v>6538</v>
      </c>
      <c r="J38" s="1086">
        <f>'Table 3 Levels 1&amp;2'!AT39</f>
        <v>1925.27</v>
      </c>
      <c r="K38" s="1088">
        <f t="shared" si="10"/>
        <v>25028.51</v>
      </c>
      <c r="L38" s="1088">
        <f t="shared" si="11"/>
        <v>2086</v>
      </c>
      <c r="M38" s="1089">
        <f t="shared" si="12"/>
        <v>103482.38762842317</v>
      </c>
      <c r="N38" s="1089">
        <f t="shared" si="5"/>
        <v>8624</v>
      </c>
    </row>
    <row r="39" spans="1:14">
      <c r="A39" s="1028">
        <v>33</v>
      </c>
      <c r="B39" s="1029" t="s">
        <v>134</v>
      </c>
      <c r="C39" s="1162">
        <f>'Table 8 2.1.12 MFP Funded'!AA36</f>
        <v>2</v>
      </c>
      <c r="D39" s="1037">
        <f>'Table 3 Levels 1&amp;2'!AL40</f>
        <v>5397.5678422891451</v>
      </c>
      <c r="E39" s="1094">
        <f t="shared" si="6"/>
        <v>10795.13568457829</v>
      </c>
      <c r="F39" s="1094">
        <f>'Table 4 Level 3'!P38</f>
        <v>655.31000000000006</v>
      </c>
      <c r="G39" s="1094">
        <f t="shared" si="7"/>
        <v>1310.6200000000001</v>
      </c>
      <c r="H39" s="1094">
        <f t="shared" si="8"/>
        <v>12105.755684578291</v>
      </c>
      <c r="I39" s="1094">
        <f t="shared" si="9"/>
        <v>1009</v>
      </c>
      <c r="J39" s="1086">
        <f>'Table 3 Levels 1&amp;2'!AT40</f>
        <v>2768.16</v>
      </c>
      <c r="K39" s="1088">
        <f t="shared" si="10"/>
        <v>5536.32</v>
      </c>
      <c r="L39" s="1088">
        <f t="shared" si="11"/>
        <v>461</v>
      </c>
      <c r="M39" s="1089">
        <f t="shared" si="12"/>
        <v>17642.075684578289</v>
      </c>
      <c r="N39" s="1089">
        <f t="shared" ref="N39:N75" si="13">I39+L39</f>
        <v>1470</v>
      </c>
    </row>
    <row r="40" spans="1:14">
      <c r="A40" s="1028">
        <v>34</v>
      </c>
      <c r="B40" s="1029" t="s">
        <v>135</v>
      </c>
      <c r="C40" s="1162">
        <f>'Table 8 2.1.12 MFP Funded'!AA37</f>
        <v>0</v>
      </c>
      <c r="D40" s="1037">
        <f>'Table 3 Levels 1&amp;2'!AL41</f>
        <v>5843.9642210290731</v>
      </c>
      <c r="E40" s="1094">
        <f t="shared" si="6"/>
        <v>0</v>
      </c>
      <c r="F40" s="1094">
        <f>'Table 4 Level 3'!P39</f>
        <v>644.11000000000013</v>
      </c>
      <c r="G40" s="1094">
        <f t="shared" si="7"/>
        <v>0</v>
      </c>
      <c r="H40" s="1094">
        <f t="shared" si="8"/>
        <v>0</v>
      </c>
      <c r="I40" s="1094">
        <f t="shared" si="9"/>
        <v>0</v>
      </c>
      <c r="J40" s="1086">
        <f>'Table 3 Levels 1&amp;2'!AT41</f>
        <v>2792.44</v>
      </c>
      <c r="K40" s="1088">
        <f t="shared" si="10"/>
        <v>0</v>
      </c>
      <c r="L40" s="1088">
        <f t="shared" si="11"/>
        <v>0</v>
      </c>
      <c r="M40" s="1089">
        <f t="shared" si="12"/>
        <v>0</v>
      </c>
      <c r="N40" s="1089">
        <f t="shared" si="13"/>
        <v>0</v>
      </c>
    </row>
    <row r="41" spans="1:14">
      <c r="A41" s="1032">
        <v>35</v>
      </c>
      <c r="B41" s="1033" t="s">
        <v>136</v>
      </c>
      <c r="C41" s="1163">
        <f>'Table 8 2.1.12 MFP Funded'!AA38</f>
        <v>1</v>
      </c>
      <c r="D41" s="1039">
        <f>'Table 3 Levels 1&amp;2'!AL42</f>
        <v>4830.9633412658623</v>
      </c>
      <c r="E41" s="1095">
        <f t="shared" si="6"/>
        <v>4830.9633412658623</v>
      </c>
      <c r="F41" s="1095">
        <f>'Table 4 Level 3'!P40</f>
        <v>537.96</v>
      </c>
      <c r="G41" s="1095">
        <f t="shared" si="7"/>
        <v>537.96</v>
      </c>
      <c r="H41" s="1095">
        <f t="shared" si="8"/>
        <v>5368.9233412658623</v>
      </c>
      <c r="I41" s="1095">
        <f t="shared" si="9"/>
        <v>447</v>
      </c>
      <c r="J41" s="1091">
        <f>'Table 3 Levels 1&amp;2'!AT42</f>
        <v>3251.7</v>
      </c>
      <c r="K41" s="1092">
        <f t="shared" si="10"/>
        <v>3251.7</v>
      </c>
      <c r="L41" s="1092">
        <f t="shared" si="11"/>
        <v>271</v>
      </c>
      <c r="M41" s="1093">
        <f t="shared" si="12"/>
        <v>8620.6233412658621</v>
      </c>
      <c r="N41" s="1093">
        <f t="shared" si="13"/>
        <v>718</v>
      </c>
    </row>
    <row r="42" spans="1:14">
      <c r="A42" s="1021">
        <v>36</v>
      </c>
      <c r="B42" s="1022" t="s">
        <v>137</v>
      </c>
      <c r="C42" s="1164">
        <f>'Table 8 2.1.12 MFP Funded'!AA39</f>
        <v>39</v>
      </c>
      <c r="D42" s="1041">
        <f>'Table 3 Levels 1&amp;2'!AL43</f>
        <v>3493.4615493208294</v>
      </c>
      <c r="E42" s="1096">
        <f t="shared" si="6"/>
        <v>136245.00042351233</v>
      </c>
      <c r="F42" s="1096">
        <f>'Table 5B1_RSD_Orleans'!F78</f>
        <v>746.0335616438357</v>
      </c>
      <c r="G42" s="1096">
        <f t="shared" si="7"/>
        <v>29095.308904109592</v>
      </c>
      <c r="H42" s="1096">
        <f t="shared" si="8"/>
        <v>165340.30932762192</v>
      </c>
      <c r="I42" s="1096">
        <f t="shared" si="9"/>
        <v>13778</v>
      </c>
      <c r="J42" s="1086">
        <f>'Table 3 Levels 1&amp;2'!AT43</f>
        <v>4288.99</v>
      </c>
      <c r="K42" s="1026">
        <f t="shared" si="10"/>
        <v>167270.60999999999</v>
      </c>
      <c r="L42" s="1026">
        <f t="shared" si="11"/>
        <v>13939</v>
      </c>
      <c r="M42" s="1027">
        <f t="shared" si="12"/>
        <v>332610.91932762193</v>
      </c>
      <c r="N42" s="1027">
        <f t="shared" si="13"/>
        <v>27717</v>
      </c>
    </row>
    <row r="43" spans="1:14">
      <c r="A43" s="1028">
        <v>37</v>
      </c>
      <c r="B43" s="1029" t="s">
        <v>138</v>
      </c>
      <c r="C43" s="1162">
        <f>'Table 8 2.1.12 MFP Funded'!AA40</f>
        <v>7</v>
      </c>
      <c r="D43" s="1037">
        <f>'Table 3 Levels 1&amp;2'!AL44</f>
        <v>5484.3026094077886</v>
      </c>
      <c r="E43" s="1094">
        <f t="shared" si="6"/>
        <v>38390.118265854522</v>
      </c>
      <c r="F43" s="1094">
        <f>'Table 4 Level 3'!P42</f>
        <v>653.61</v>
      </c>
      <c r="G43" s="1094">
        <f t="shared" si="7"/>
        <v>4575.2700000000004</v>
      </c>
      <c r="H43" s="1094">
        <f t="shared" si="8"/>
        <v>42965.388265854519</v>
      </c>
      <c r="I43" s="1094">
        <f t="shared" si="9"/>
        <v>3580</v>
      </c>
      <c r="J43" s="1086">
        <f>'Table 3 Levels 1&amp;2'!AT44</f>
        <v>2861.47</v>
      </c>
      <c r="K43" s="1088">
        <f t="shared" si="10"/>
        <v>20030.289999999997</v>
      </c>
      <c r="L43" s="1088">
        <f t="shared" si="11"/>
        <v>1669</v>
      </c>
      <c r="M43" s="1089">
        <f t="shared" si="12"/>
        <v>62995.678265854513</v>
      </c>
      <c r="N43" s="1089">
        <f t="shared" si="13"/>
        <v>5249</v>
      </c>
    </row>
    <row r="44" spans="1:14">
      <c r="A44" s="1028">
        <v>38</v>
      </c>
      <c r="B44" s="1029" t="s">
        <v>139</v>
      </c>
      <c r="C44" s="1162">
        <f>'Table 8 2.1.12 MFP Funded'!AA41</f>
        <v>0</v>
      </c>
      <c r="D44" s="1037">
        <f>'Table 3 Levels 1&amp;2'!AL45</f>
        <v>2191.7415364583335</v>
      </c>
      <c r="E44" s="1094">
        <f t="shared" si="6"/>
        <v>0</v>
      </c>
      <c r="F44" s="1094">
        <f>'Table 4 Level 3'!P43</f>
        <v>829.92000000000007</v>
      </c>
      <c r="G44" s="1094">
        <f t="shared" si="7"/>
        <v>0</v>
      </c>
      <c r="H44" s="1094">
        <f t="shared" si="8"/>
        <v>0</v>
      </c>
      <c r="I44" s="1094">
        <f t="shared" si="9"/>
        <v>0</v>
      </c>
      <c r="J44" s="1086">
        <f>'Table 3 Levels 1&amp;2'!AT45</f>
        <v>6075.12</v>
      </c>
      <c r="K44" s="1088">
        <f t="shared" si="10"/>
        <v>0</v>
      </c>
      <c r="L44" s="1088">
        <f t="shared" si="11"/>
        <v>0</v>
      </c>
      <c r="M44" s="1089">
        <f t="shared" si="12"/>
        <v>0</v>
      </c>
      <c r="N44" s="1089">
        <f t="shared" si="13"/>
        <v>0</v>
      </c>
    </row>
    <row r="45" spans="1:14">
      <c r="A45" s="1028">
        <v>39</v>
      </c>
      <c r="B45" s="1029" t="s">
        <v>140</v>
      </c>
      <c r="C45" s="1162">
        <f>'Table 8 2.1.12 MFP Funded'!AA42</f>
        <v>1</v>
      </c>
      <c r="D45" s="1037">
        <f>'Table 3 Levels 1&amp;2'!AL46</f>
        <v>3686.1886996918806</v>
      </c>
      <c r="E45" s="1094">
        <f t="shared" si="6"/>
        <v>3686.1886996918806</v>
      </c>
      <c r="F45" s="1094">
        <f>'Table 5B2_RSD_LA'!F21</f>
        <v>779.65573042776441</v>
      </c>
      <c r="G45" s="1094">
        <f t="shared" si="7"/>
        <v>779.65573042776441</v>
      </c>
      <c r="H45" s="1094">
        <f t="shared" si="8"/>
        <v>4465.844430119645</v>
      </c>
      <c r="I45" s="1094">
        <f t="shared" si="9"/>
        <v>372</v>
      </c>
      <c r="J45" s="1086">
        <f>'Table 3 Levels 1&amp;2'!AT46</f>
        <v>4138.67</v>
      </c>
      <c r="K45" s="1088">
        <f t="shared" si="10"/>
        <v>4138.67</v>
      </c>
      <c r="L45" s="1088">
        <f t="shared" si="11"/>
        <v>345</v>
      </c>
      <c r="M45" s="1089">
        <f t="shared" si="12"/>
        <v>8604.5144301196451</v>
      </c>
      <c r="N45" s="1089">
        <f t="shared" si="13"/>
        <v>717</v>
      </c>
    </row>
    <row r="46" spans="1:14">
      <c r="A46" s="1032">
        <v>40</v>
      </c>
      <c r="B46" s="1033" t="s">
        <v>141</v>
      </c>
      <c r="C46" s="1163">
        <f>'Table 8 2.1.12 MFP Funded'!AA43</f>
        <v>24</v>
      </c>
      <c r="D46" s="1039">
        <f>'Table 3 Levels 1&amp;2'!AL47</f>
        <v>4879.0185326187402</v>
      </c>
      <c r="E46" s="1095">
        <f t="shared" si="6"/>
        <v>117096.44478284977</v>
      </c>
      <c r="F46" s="1095">
        <f>'Table 4 Level 3'!P45</f>
        <v>700.2700000000001</v>
      </c>
      <c r="G46" s="1095">
        <f t="shared" si="7"/>
        <v>16806.480000000003</v>
      </c>
      <c r="H46" s="1095">
        <f t="shared" si="8"/>
        <v>133902.92478284976</v>
      </c>
      <c r="I46" s="1095">
        <f t="shared" si="9"/>
        <v>11159</v>
      </c>
      <c r="J46" s="1091">
        <f>'Table 3 Levels 1&amp;2'!AT47</f>
        <v>2904.28</v>
      </c>
      <c r="K46" s="1092">
        <f t="shared" si="10"/>
        <v>69702.720000000001</v>
      </c>
      <c r="L46" s="1092">
        <f t="shared" si="11"/>
        <v>5809</v>
      </c>
      <c r="M46" s="1093">
        <f t="shared" si="12"/>
        <v>203605.64478284976</v>
      </c>
      <c r="N46" s="1093">
        <f t="shared" si="13"/>
        <v>16968</v>
      </c>
    </row>
    <row r="47" spans="1:14">
      <c r="A47" s="1021">
        <v>41</v>
      </c>
      <c r="B47" s="1022" t="s">
        <v>142</v>
      </c>
      <c r="C47" s="1164">
        <f>'Table 8 2.1.12 MFP Funded'!AA44</f>
        <v>2</v>
      </c>
      <c r="D47" s="1041">
        <f>'Table 3 Levels 1&amp;2'!AL48</f>
        <v>1608.4303482587065</v>
      </c>
      <c r="E47" s="1096">
        <f t="shared" si="6"/>
        <v>3216.8606965174131</v>
      </c>
      <c r="F47" s="1096">
        <f>'Table 4 Level 3'!P46</f>
        <v>886.22</v>
      </c>
      <c r="G47" s="1096">
        <f t="shared" si="7"/>
        <v>1772.44</v>
      </c>
      <c r="H47" s="1096">
        <f t="shared" si="8"/>
        <v>4989.3006965174136</v>
      </c>
      <c r="I47" s="1096">
        <f t="shared" si="9"/>
        <v>416</v>
      </c>
      <c r="J47" s="1086">
        <f>'Table 3 Levels 1&amp;2'!AT48</f>
        <v>6420.89</v>
      </c>
      <c r="K47" s="1026">
        <f t="shared" si="10"/>
        <v>12841.78</v>
      </c>
      <c r="L47" s="1026">
        <f t="shared" si="11"/>
        <v>1070</v>
      </c>
      <c r="M47" s="1027">
        <f t="shared" si="12"/>
        <v>17831.080696517412</v>
      </c>
      <c r="N47" s="1027">
        <f t="shared" si="13"/>
        <v>1486</v>
      </c>
    </row>
    <row r="48" spans="1:14">
      <c r="A48" s="1028">
        <v>42</v>
      </c>
      <c r="B48" s="1029" t="s">
        <v>143</v>
      </c>
      <c r="C48" s="1162">
        <f>'Table 8 2.1.12 MFP Funded'!AA45</f>
        <v>1</v>
      </c>
      <c r="D48" s="1037">
        <f>'Table 3 Levels 1&amp;2'!AL49</f>
        <v>5260.3047779801664</v>
      </c>
      <c r="E48" s="1094">
        <f t="shared" si="6"/>
        <v>5260.3047779801664</v>
      </c>
      <c r="F48" s="1094">
        <f>'Table 4 Level 3'!P47</f>
        <v>534.28</v>
      </c>
      <c r="G48" s="1094">
        <f t="shared" si="7"/>
        <v>534.28</v>
      </c>
      <c r="H48" s="1094">
        <f t="shared" si="8"/>
        <v>5794.5847779801661</v>
      </c>
      <c r="I48" s="1094">
        <f t="shared" si="9"/>
        <v>483</v>
      </c>
      <c r="J48" s="1086">
        <f>'Table 3 Levels 1&amp;2'!AT49</f>
        <v>2728.55</v>
      </c>
      <c r="K48" s="1088">
        <f t="shared" si="10"/>
        <v>2728.55</v>
      </c>
      <c r="L48" s="1088">
        <f t="shared" si="11"/>
        <v>227</v>
      </c>
      <c r="M48" s="1089">
        <f t="shared" si="12"/>
        <v>8523.1347779801654</v>
      </c>
      <c r="N48" s="1089">
        <f t="shared" si="13"/>
        <v>710</v>
      </c>
    </row>
    <row r="49" spans="1:14">
      <c r="A49" s="1028">
        <v>43</v>
      </c>
      <c r="B49" s="1029" t="s">
        <v>144</v>
      </c>
      <c r="C49" s="1162">
        <f>'Table 8 2.1.12 MFP Funded'!AA46</f>
        <v>0</v>
      </c>
      <c r="D49" s="1037">
        <f>'Table 3 Levels 1&amp;2'!AL50</f>
        <v>5587.3492327608728</v>
      </c>
      <c r="E49" s="1094">
        <f t="shared" si="6"/>
        <v>0</v>
      </c>
      <c r="F49" s="1094">
        <f>'Table 4 Level 3'!P48</f>
        <v>574.6099999999999</v>
      </c>
      <c r="G49" s="1094">
        <f t="shared" si="7"/>
        <v>0</v>
      </c>
      <c r="H49" s="1094">
        <f t="shared" si="8"/>
        <v>0</v>
      </c>
      <c r="I49" s="1094">
        <f t="shared" si="9"/>
        <v>0</v>
      </c>
      <c r="J49" s="1086">
        <f>'Table 3 Levels 1&amp;2'!AT50</f>
        <v>3359.76</v>
      </c>
      <c r="K49" s="1088">
        <f t="shared" si="10"/>
        <v>0</v>
      </c>
      <c r="L49" s="1088">
        <f t="shared" si="11"/>
        <v>0</v>
      </c>
      <c r="M49" s="1089">
        <f t="shared" si="12"/>
        <v>0</v>
      </c>
      <c r="N49" s="1089">
        <f t="shared" si="13"/>
        <v>0</v>
      </c>
    </row>
    <row r="50" spans="1:14">
      <c r="A50" s="1028">
        <v>44</v>
      </c>
      <c r="B50" s="1029" t="s">
        <v>145</v>
      </c>
      <c r="C50" s="1162">
        <f>'Table 8 2.1.12 MFP Funded'!AA47</f>
        <v>2</v>
      </c>
      <c r="D50" s="1037">
        <f>'Table 3 Levels 1&amp;2'!AL51</f>
        <v>4113.1787591918992</v>
      </c>
      <c r="E50" s="1094">
        <f t="shared" si="6"/>
        <v>8226.3575183837984</v>
      </c>
      <c r="F50" s="1094">
        <f>'Table 4 Level 3'!P49</f>
        <v>663.16000000000008</v>
      </c>
      <c r="G50" s="1094">
        <f t="shared" si="7"/>
        <v>1326.3200000000002</v>
      </c>
      <c r="H50" s="1094">
        <f t="shared" si="8"/>
        <v>9552.6775183837981</v>
      </c>
      <c r="I50" s="1094">
        <f t="shared" si="9"/>
        <v>796</v>
      </c>
      <c r="J50" s="1086">
        <f>'Table 3 Levels 1&amp;2'!AT51</f>
        <v>3932.56</v>
      </c>
      <c r="K50" s="1088">
        <f t="shared" si="10"/>
        <v>7865.12</v>
      </c>
      <c r="L50" s="1088">
        <f t="shared" si="11"/>
        <v>655</v>
      </c>
      <c r="M50" s="1089">
        <f t="shared" si="12"/>
        <v>17417.797518383799</v>
      </c>
      <c r="N50" s="1089">
        <f t="shared" si="13"/>
        <v>1451</v>
      </c>
    </row>
    <row r="51" spans="1:14">
      <c r="A51" s="1032">
        <v>45</v>
      </c>
      <c r="B51" s="1033" t="s">
        <v>146</v>
      </c>
      <c r="C51" s="1163">
        <f>'Table 8 2.1.12 MFP Funded'!AA48</f>
        <v>4</v>
      </c>
      <c r="D51" s="1039">
        <f>'Table 3 Levels 1&amp;2'!AL52</f>
        <v>2414.8479898164846</v>
      </c>
      <c r="E51" s="1095">
        <f t="shared" si="6"/>
        <v>9659.3919592659386</v>
      </c>
      <c r="F51" s="1095">
        <f>'Table 4 Level 3'!P50</f>
        <v>753.96000000000015</v>
      </c>
      <c r="G51" s="1095">
        <f t="shared" si="7"/>
        <v>3015.8400000000006</v>
      </c>
      <c r="H51" s="1095">
        <f t="shared" si="8"/>
        <v>12675.231959265939</v>
      </c>
      <c r="I51" s="1095">
        <f t="shared" si="9"/>
        <v>1056</v>
      </c>
      <c r="J51" s="1091">
        <f>'Table 3 Levels 1&amp;2'!AT52</f>
        <v>5006.3500000000004</v>
      </c>
      <c r="K51" s="1092">
        <f t="shared" si="10"/>
        <v>20025.400000000001</v>
      </c>
      <c r="L51" s="1092">
        <f t="shared" si="11"/>
        <v>1669</v>
      </c>
      <c r="M51" s="1093">
        <f t="shared" si="12"/>
        <v>32700.631959265942</v>
      </c>
      <c r="N51" s="1093">
        <f t="shared" si="13"/>
        <v>2725</v>
      </c>
    </row>
    <row r="52" spans="1:14">
      <c r="A52" s="1021">
        <v>46</v>
      </c>
      <c r="B52" s="1022" t="s">
        <v>147</v>
      </c>
      <c r="C52" s="1164">
        <f>'Table 8 2.1.12 MFP Funded'!AA49</f>
        <v>0</v>
      </c>
      <c r="D52" s="1041">
        <f>'Table 3 Levels 1&amp;2'!AL53</f>
        <v>5765.0314518803261</v>
      </c>
      <c r="E52" s="1096">
        <f t="shared" si="6"/>
        <v>0</v>
      </c>
      <c r="F52" s="1096">
        <f>'Table 4 Level 3'!P51</f>
        <v>728.06</v>
      </c>
      <c r="G52" s="1096">
        <f t="shared" si="7"/>
        <v>0</v>
      </c>
      <c r="H52" s="1096">
        <f t="shared" si="8"/>
        <v>0</v>
      </c>
      <c r="I52" s="1096">
        <f t="shared" si="9"/>
        <v>0</v>
      </c>
      <c r="J52" s="1086">
        <f>'Table 3 Levels 1&amp;2'!AT53</f>
        <v>1810.44</v>
      </c>
      <c r="K52" s="1026">
        <f t="shared" si="10"/>
        <v>0</v>
      </c>
      <c r="L52" s="1026">
        <f t="shared" si="11"/>
        <v>0</v>
      </c>
      <c r="M52" s="1027">
        <f t="shared" si="12"/>
        <v>0</v>
      </c>
      <c r="N52" s="1027">
        <f t="shared" si="13"/>
        <v>0</v>
      </c>
    </row>
    <row r="53" spans="1:14">
      <c r="A53" s="1028">
        <v>47</v>
      </c>
      <c r="B53" s="1029" t="s">
        <v>148</v>
      </c>
      <c r="C53" s="1162">
        <f>'Table 8 2.1.12 MFP Funded'!AA50</f>
        <v>0</v>
      </c>
      <c r="D53" s="1037">
        <f>'Table 3 Levels 1&amp;2'!AL54</f>
        <v>3186.1712081166847</v>
      </c>
      <c r="E53" s="1094">
        <f t="shared" si="6"/>
        <v>0</v>
      </c>
      <c r="F53" s="1094">
        <f>'Table 4 Level 3'!P52</f>
        <v>910.76</v>
      </c>
      <c r="G53" s="1094">
        <f t="shared" si="7"/>
        <v>0</v>
      </c>
      <c r="H53" s="1094">
        <f t="shared" si="8"/>
        <v>0</v>
      </c>
      <c r="I53" s="1094">
        <f t="shared" si="9"/>
        <v>0</v>
      </c>
      <c r="J53" s="1086">
        <f>'Table 3 Levels 1&amp;2'!AT54</f>
        <v>5172.8100000000004</v>
      </c>
      <c r="K53" s="1088">
        <f t="shared" si="10"/>
        <v>0</v>
      </c>
      <c r="L53" s="1088">
        <f t="shared" si="11"/>
        <v>0</v>
      </c>
      <c r="M53" s="1089">
        <f t="shared" si="12"/>
        <v>0</v>
      </c>
      <c r="N53" s="1089">
        <f t="shared" si="13"/>
        <v>0</v>
      </c>
    </row>
    <row r="54" spans="1:14">
      <c r="A54" s="1028">
        <v>48</v>
      </c>
      <c r="B54" s="1029" t="s">
        <v>222</v>
      </c>
      <c r="C54" s="1162">
        <f>'Table 8 2.1.12 MFP Funded'!AA51</f>
        <v>0</v>
      </c>
      <c r="D54" s="1037">
        <f>'Table 3 Levels 1&amp;2'!AL55</f>
        <v>4260.4872196136057</v>
      </c>
      <c r="E54" s="1094">
        <f t="shared" si="6"/>
        <v>0</v>
      </c>
      <c r="F54" s="1094">
        <f>'Table 4 Level 3'!P53</f>
        <v>871.07</v>
      </c>
      <c r="G54" s="1094">
        <f t="shared" si="7"/>
        <v>0</v>
      </c>
      <c r="H54" s="1094">
        <f t="shared" si="8"/>
        <v>0</v>
      </c>
      <c r="I54" s="1094">
        <f t="shared" si="9"/>
        <v>0</v>
      </c>
      <c r="J54" s="1086">
        <f>'Table 3 Levels 1&amp;2'!AT55</f>
        <v>4035.23</v>
      </c>
      <c r="K54" s="1088">
        <f t="shared" si="10"/>
        <v>0</v>
      </c>
      <c r="L54" s="1088">
        <f t="shared" si="11"/>
        <v>0</v>
      </c>
      <c r="M54" s="1089">
        <f t="shared" si="12"/>
        <v>0</v>
      </c>
      <c r="N54" s="1089">
        <f t="shared" si="13"/>
        <v>0</v>
      </c>
    </row>
    <row r="55" spans="1:14">
      <c r="A55" s="1028">
        <v>49</v>
      </c>
      <c r="B55" s="1029" t="s">
        <v>149</v>
      </c>
      <c r="C55" s="1162">
        <f>'Table 8 2.1.12 MFP Funded'!AA52</f>
        <v>2</v>
      </c>
      <c r="D55" s="1037">
        <f>'Table 3 Levels 1&amp;2'!AL56</f>
        <v>4800.2172145077111</v>
      </c>
      <c r="E55" s="1094">
        <f t="shared" si="6"/>
        <v>9600.4344290154222</v>
      </c>
      <c r="F55" s="1094">
        <f>'Table 4 Level 3'!P54</f>
        <v>574.43999999999994</v>
      </c>
      <c r="G55" s="1094">
        <f t="shared" si="7"/>
        <v>1148.8799999999999</v>
      </c>
      <c r="H55" s="1094">
        <f t="shared" si="8"/>
        <v>10749.314429015421</v>
      </c>
      <c r="I55" s="1094">
        <f t="shared" si="9"/>
        <v>896</v>
      </c>
      <c r="J55" s="1086">
        <f>'Table 3 Levels 1&amp;2'!AT56</f>
        <v>2247.1799999999998</v>
      </c>
      <c r="K55" s="1088">
        <f t="shared" si="10"/>
        <v>4494.3599999999997</v>
      </c>
      <c r="L55" s="1088">
        <f t="shared" si="11"/>
        <v>375</v>
      </c>
      <c r="M55" s="1089">
        <f t="shared" si="12"/>
        <v>15243.67442901542</v>
      </c>
      <c r="N55" s="1089">
        <f t="shared" si="13"/>
        <v>1271</v>
      </c>
    </row>
    <row r="56" spans="1:14">
      <c r="A56" s="1032">
        <v>50</v>
      </c>
      <c r="B56" s="1033" t="s">
        <v>150</v>
      </c>
      <c r="C56" s="1163">
        <f>'Table 8 2.1.12 MFP Funded'!AA53</f>
        <v>0</v>
      </c>
      <c r="D56" s="1039">
        <f>'Table 3 Levels 1&amp;2'!AL57</f>
        <v>5059.523754419537</v>
      </c>
      <c r="E56" s="1095">
        <f t="shared" si="6"/>
        <v>0</v>
      </c>
      <c r="F56" s="1095">
        <f>'Table 4 Level 3'!P55</f>
        <v>634.46</v>
      </c>
      <c r="G56" s="1095">
        <f t="shared" si="7"/>
        <v>0</v>
      </c>
      <c r="H56" s="1095">
        <f t="shared" si="8"/>
        <v>0</v>
      </c>
      <c r="I56" s="1095">
        <f t="shared" si="9"/>
        <v>0</v>
      </c>
      <c r="J56" s="1091">
        <f>'Table 3 Levels 1&amp;2'!AT57</f>
        <v>2629.6</v>
      </c>
      <c r="K56" s="1092">
        <f t="shared" si="10"/>
        <v>0</v>
      </c>
      <c r="L56" s="1092">
        <f t="shared" si="11"/>
        <v>0</v>
      </c>
      <c r="M56" s="1093">
        <f t="shared" si="12"/>
        <v>0</v>
      </c>
      <c r="N56" s="1093">
        <f t="shared" si="13"/>
        <v>0</v>
      </c>
    </row>
    <row r="57" spans="1:14">
      <c r="A57" s="1021">
        <v>51</v>
      </c>
      <c r="B57" s="1022" t="s">
        <v>151</v>
      </c>
      <c r="C57" s="1164">
        <f>'Table 8 2.1.12 MFP Funded'!AA54</f>
        <v>5</v>
      </c>
      <c r="D57" s="1041">
        <f>'Table 3 Levels 1&amp;2'!AL58</f>
        <v>4384.0477116019692</v>
      </c>
      <c r="E57" s="1096">
        <f t="shared" si="6"/>
        <v>21920.238558009845</v>
      </c>
      <c r="F57" s="1096">
        <f>'Table 4 Level 3'!P56</f>
        <v>706.66</v>
      </c>
      <c r="G57" s="1096">
        <f t="shared" si="7"/>
        <v>3533.2999999999997</v>
      </c>
      <c r="H57" s="1096">
        <f t="shared" si="8"/>
        <v>25453.538558009845</v>
      </c>
      <c r="I57" s="1096">
        <f t="shared" si="9"/>
        <v>2121</v>
      </c>
      <c r="J57" s="1086">
        <f>'Table 3 Levels 1&amp;2'!AT58</f>
        <v>3892.1</v>
      </c>
      <c r="K57" s="1026">
        <f t="shared" si="10"/>
        <v>19460.5</v>
      </c>
      <c r="L57" s="1026">
        <f t="shared" si="11"/>
        <v>1622</v>
      </c>
      <c r="M57" s="1027">
        <f t="shared" si="12"/>
        <v>44914.038558009845</v>
      </c>
      <c r="N57" s="1027">
        <f t="shared" si="13"/>
        <v>3743</v>
      </c>
    </row>
    <row r="58" spans="1:14">
      <c r="A58" s="1028">
        <v>52</v>
      </c>
      <c r="B58" s="1029" t="s">
        <v>152</v>
      </c>
      <c r="C58" s="1162">
        <f>'Table 8 2.1.12 MFP Funded'!AA55</f>
        <v>17</v>
      </c>
      <c r="D58" s="1037">
        <f>'Table 3 Levels 1&amp;2'!AL59</f>
        <v>4920.0697942988754</v>
      </c>
      <c r="E58" s="1094">
        <f t="shared" si="6"/>
        <v>83641.186503080884</v>
      </c>
      <c r="F58" s="1094">
        <f>'Table 4 Level 3'!P57</f>
        <v>658.37</v>
      </c>
      <c r="G58" s="1094">
        <f t="shared" si="7"/>
        <v>11192.29</v>
      </c>
      <c r="H58" s="1094">
        <f t="shared" si="8"/>
        <v>94833.476503080892</v>
      </c>
      <c r="I58" s="1094">
        <f t="shared" si="9"/>
        <v>7903</v>
      </c>
      <c r="J58" s="1086">
        <f>'Table 3 Levels 1&amp;2'!AT59</f>
        <v>3564.47</v>
      </c>
      <c r="K58" s="1088">
        <f t="shared" si="10"/>
        <v>60595.99</v>
      </c>
      <c r="L58" s="1088">
        <f t="shared" si="11"/>
        <v>5050</v>
      </c>
      <c r="M58" s="1089">
        <f t="shared" si="12"/>
        <v>155429.46650308088</v>
      </c>
      <c r="N58" s="1089">
        <f t="shared" si="13"/>
        <v>12953</v>
      </c>
    </row>
    <row r="59" spans="1:14">
      <c r="A59" s="1028">
        <v>53</v>
      </c>
      <c r="B59" s="1029" t="s">
        <v>153</v>
      </c>
      <c r="C59" s="1162">
        <f>'Table 8 2.1.12 MFP Funded'!AA56</f>
        <v>7</v>
      </c>
      <c r="D59" s="1037">
        <f>'Table 3 Levels 1&amp;2'!AL60</f>
        <v>4784.2719870767614</v>
      </c>
      <c r="E59" s="1094">
        <f t="shared" si="6"/>
        <v>33489.90390953733</v>
      </c>
      <c r="F59" s="1094">
        <f>'Table 4 Level 3'!P58</f>
        <v>689.74</v>
      </c>
      <c r="G59" s="1094">
        <f t="shared" si="7"/>
        <v>4828.18</v>
      </c>
      <c r="H59" s="1094">
        <f t="shared" si="8"/>
        <v>38318.08390953733</v>
      </c>
      <c r="I59" s="1094">
        <f t="shared" si="9"/>
        <v>3193</v>
      </c>
      <c r="J59" s="1086">
        <f>'Table 3 Levels 1&amp;2'!AT60</f>
        <v>1928.82</v>
      </c>
      <c r="K59" s="1088">
        <f t="shared" si="10"/>
        <v>13501.74</v>
      </c>
      <c r="L59" s="1088">
        <f t="shared" si="11"/>
        <v>1125</v>
      </c>
      <c r="M59" s="1089">
        <f t="shared" si="12"/>
        <v>51819.823909537328</v>
      </c>
      <c r="N59" s="1089">
        <f t="shared" si="13"/>
        <v>4318</v>
      </c>
    </row>
    <row r="60" spans="1:14">
      <c r="A60" s="1028">
        <v>54</v>
      </c>
      <c r="B60" s="1029" t="s">
        <v>154</v>
      </c>
      <c r="C60" s="1162">
        <f>'Table 8 2.1.12 MFP Funded'!AA57</f>
        <v>0</v>
      </c>
      <c r="D60" s="1037">
        <f>'Table 3 Levels 1&amp;2'!AL61</f>
        <v>5982.5555386476462</v>
      </c>
      <c r="E60" s="1094">
        <f t="shared" si="6"/>
        <v>0</v>
      </c>
      <c r="F60" s="1094">
        <f>'Table 4 Level 3'!P59</f>
        <v>951.45</v>
      </c>
      <c r="G60" s="1094">
        <f t="shared" si="7"/>
        <v>0</v>
      </c>
      <c r="H60" s="1094">
        <f t="shared" si="8"/>
        <v>0</v>
      </c>
      <c r="I60" s="1094">
        <f t="shared" si="9"/>
        <v>0</v>
      </c>
      <c r="J60" s="1086">
        <f>'Table 3 Levels 1&amp;2'!AT61</f>
        <v>3066.55</v>
      </c>
      <c r="K60" s="1088">
        <f t="shared" si="10"/>
        <v>0</v>
      </c>
      <c r="L60" s="1088">
        <f t="shared" si="11"/>
        <v>0</v>
      </c>
      <c r="M60" s="1089">
        <f t="shared" si="12"/>
        <v>0</v>
      </c>
      <c r="N60" s="1089">
        <f t="shared" si="13"/>
        <v>0</v>
      </c>
    </row>
    <row r="61" spans="1:14">
      <c r="A61" s="1032">
        <v>55</v>
      </c>
      <c r="B61" s="1033" t="s">
        <v>155</v>
      </c>
      <c r="C61" s="1163">
        <f>'Table 8 2.1.12 MFP Funded'!AA58</f>
        <v>7</v>
      </c>
      <c r="D61" s="1039">
        <f>'Table 3 Levels 1&amp;2'!AL62</f>
        <v>4087.4017448818722</v>
      </c>
      <c r="E61" s="1095">
        <f t="shared" si="6"/>
        <v>28611.812214173107</v>
      </c>
      <c r="F61" s="1095">
        <f>'Table 4 Level 3'!P60</f>
        <v>795.14</v>
      </c>
      <c r="G61" s="1095">
        <f t="shared" si="7"/>
        <v>5565.98</v>
      </c>
      <c r="H61" s="1095">
        <f t="shared" si="8"/>
        <v>34177.792214173111</v>
      </c>
      <c r="I61" s="1095">
        <f t="shared" si="9"/>
        <v>2848</v>
      </c>
      <c r="J61" s="1091">
        <f>'Table 3 Levels 1&amp;2'!AT62</f>
        <v>3033.7</v>
      </c>
      <c r="K61" s="1092">
        <f t="shared" si="10"/>
        <v>21235.899999999998</v>
      </c>
      <c r="L61" s="1092">
        <f t="shared" si="11"/>
        <v>1770</v>
      </c>
      <c r="M61" s="1093">
        <f t="shared" si="12"/>
        <v>55413.692214173105</v>
      </c>
      <c r="N61" s="1093">
        <f t="shared" si="13"/>
        <v>4618</v>
      </c>
    </row>
    <row r="62" spans="1:14">
      <c r="A62" s="1021">
        <v>56</v>
      </c>
      <c r="B62" s="1022" t="s">
        <v>156</v>
      </c>
      <c r="C62" s="1164">
        <f>'Table 8 2.1.12 MFP Funded'!AA59</f>
        <v>0</v>
      </c>
      <c r="D62" s="1041">
        <f>'Table 3 Levels 1&amp;2'!AL63</f>
        <v>5052.2250942802684</v>
      </c>
      <c r="E62" s="1096">
        <f t="shared" si="6"/>
        <v>0</v>
      </c>
      <c r="F62" s="1096">
        <f>'Table 4 Level 3'!P61</f>
        <v>614.66000000000008</v>
      </c>
      <c r="G62" s="1096">
        <f t="shared" si="7"/>
        <v>0</v>
      </c>
      <c r="H62" s="1096">
        <f t="shared" si="8"/>
        <v>0</v>
      </c>
      <c r="I62" s="1096">
        <f t="shared" si="9"/>
        <v>0</v>
      </c>
      <c r="J62" s="1086">
        <f>'Table 3 Levels 1&amp;2'!AT63</f>
        <v>3016.21</v>
      </c>
      <c r="K62" s="1026">
        <f t="shared" si="10"/>
        <v>0</v>
      </c>
      <c r="L62" s="1026">
        <f t="shared" si="11"/>
        <v>0</v>
      </c>
      <c r="M62" s="1027">
        <f t="shared" si="12"/>
        <v>0</v>
      </c>
      <c r="N62" s="1027">
        <f t="shared" si="13"/>
        <v>0</v>
      </c>
    </row>
    <row r="63" spans="1:14">
      <c r="A63" s="1028">
        <v>57</v>
      </c>
      <c r="B63" s="1029" t="s">
        <v>157</v>
      </c>
      <c r="C63" s="1162">
        <f>'Table 8 2.1.12 MFP Funded'!AA60</f>
        <v>2</v>
      </c>
      <c r="D63" s="1037">
        <f>'Table 3 Levels 1&amp;2'!AL64</f>
        <v>4389.3863180380931</v>
      </c>
      <c r="E63" s="1094">
        <f t="shared" si="6"/>
        <v>8778.7726360761862</v>
      </c>
      <c r="F63" s="1094">
        <f>'Table 4 Level 3'!P62</f>
        <v>764.51</v>
      </c>
      <c r="G63" s="1094">
        <f t="shared" si="7"/>
        <v>1529.02</v>
      </c>
      <c r="H63" s="1094">
        <f t="shared" si="8"/>
        <v>10307.792636076187</v>
      </c>
      <c r="I63" s="1094">
        <f t="shared" si="9"/>
        <v>859</v>
      </c>
      <c r="J63" s="1086">
        <f>'Table 3 Levels 1&amp;2'!AT64</f>
        <v>2872.93</v>
      </c>
      <c r="K63" s="1088">
        <f t="shared" si="10"/>
        <v>5745.86</v>
      </c>
      <c r="L63" s="1088">
        <f t="shared" si="11"/>
        <v>479</v>
      </c>
      <c r="M63" s="1089">
        <f t="shared" si="12"/>
        <v>16053.652636076185</v>
      </c>
      <c r="N63" s="1089">
        <f t="shared" si="13"/>
        <v>1338</v>
      </c>
    </row>
    <row r="64" spans="1:14">
      <c r="A64" s="1028">
        <v>58</v>
      </c>
      <c r="B64" s="1029" t="s">
        <v>158</v>
      </c>
      <c r="C64" s="1162">
        <f>'Table 8 2.1.12 MFP Funded'!AA61</f>
        <v>2</v>
      </c>
      <c r="D64" s="1037">
        <f>'Table 3 Levels 1&amp;2'!AL65</f>
        <v>5325.8881107130073</v>
      </c>
      <c r="E64" s="1094">
        <f t="shared" si="6"/>
        <v>10651.776221426015</v>
      </c>
      <c r="F64" s="1094">
        <f>'Table 4 Level 3'!P63</f>
        <v>697.04</v>
      </c>
      <c r="G64" s="1094">
        <f t="shared" si="7"/>
        <v>1394.08</v>
      </c>
      <c r="H64" s="1094">
        <f t="shared" si="8"/>
        <v>12045.856221426015</v>
      </c>
      <c r="I64" s="1094">
        <f t="shared" si="9"/>
        <v>1004</v>
      </c>
      <c r="J64" s="1086">
        <f>'Table 3 Levels 1&amp;2'!AT65</f>
        <v>1830.1</v>
      </c>
      <c r="K64" s="1088">
        <f t="shared" si="10"/>
        <v>3660.2</v>
      </c>
      <c r="L64" s="1088">
        <f t="shared" si="11"/>
        <v>305</v>
      </c>
      <c r="M64" s="1089">
        <f t="shared" si="12"/>
        <v>15706.056221426014</v>
      </c>
      <c r="N64" s="1089">
        <f t="shared" si="13"/>
        <v>1309</v>
      </c>
    </row>
    <row r="65" spans="1:14">
      <c r="A65" s="1028">
        <v>59</v>
      </c>
      <c r="B65" s="1029" t="s">
        <v>159</v>
      </c>
      <c r="C65" s="1162">
        <f>'Table 8 2.1.12 MFP Funded'!AA62</f>
        <v>7</v>
      </c>
      <c r="D65" s="1037">
        <f>'Table 3 Levels 1&amp;2'!AL66</f>
        <v>6328.4963620482158</v>
      </c>
      <c r="E65" s="1094">
        <f t="shared" si="6"/>
        <v>44299.474534337511</v>
      </c>
      <c r="F65" s="1094">
        <f>'Table 4 Level 3'!P64</f>
        <v>689.52</v>
      </c>
      <c r="G65" s="1094">
        <f t="shared" si="7"/>
        <v>4826.6399999999994</v>
      </c>
      <c r="H65" s="1094">
        <f t="shared" si="8"/>
        <v>49126.11453433751</v>
      </c>
      <c r="I65" s="1094">
        <f t="shared" si="9"/>
        <v>4094</v>
      </c>
      <c r="J65" s="1086">
        <f>'Table 3 Levels 1&amp;2'!AT66</f>
        <v>1688.92</v>
      </c>
      <c r="K65" s="1088">
        <f t="shared" si="10"/>
        <v>11822.44</v>
      </c>
      <c r="L65" s="1088">
        <f t="shared" si="11"/>
        <v>985</v>
      </c>
      <c r="M65" s="1089">
        <f t="shared" si="12"/>
        <v>60948.554534337512</v>
      </c>
      <c r="N65" s="1089">
        <f t="shared" si="13"/>
        <v>5079</v>
      </c>
    </row>
    <row r="66" spans="1:14">
      <c r="A66" s="1032">
        <v>60</v>
      </c>
      <c r="B66" s="1033" t="s">
        <v>160</v>
      </c>
      <c r="C66" s="1163">
        <f>'Table 8 2.1.12 MFP Funded'!AA63</f>
        <v>3</v>
      </c>
      <c r="D66" s="1039">
        <f>'Table 3 Levels 1&amp;2'!AL67</f>
        <v>4825.1723230627122</v>
      </c>
      <c r="E66" s="1095">
        <f t="shared" si="6"/>
        <v>14475.516969188136</v>
      </c>
      <c r="F66" s="1095">
        <f>'Table 4 Level 3'!P65</f>
        <v>594.04</v>
      </c>
      <c r="G66" s="1095">
        <f t="shared" si="7"/>
        <v>1782.12</v>
      </c>
      <c r="H66" s="1095">
        <f t="shared" si="8"/>
        <v>16257.636969188137</v>
      </c>
      <c r="I66" s="1095">
        <f t="shared" si="9"/>
        <v>1355</v>
      </c>
      <c r="J66" s="1091">
        <f>'Table 3 Levels 1&amp;2'!AT67</f>
        <v>3362.7</v>
      </c>
      <c r="K66" s="1092">
        <f t="shared" si="10"/>
        <v>10088.099999999999</v>
      </c>
      <c r="L66" s="1092">
        <f t="shared" si="11"/>
        <v>841</v>
      </c>
      <c r="M66" s="1093">
        <f t="shared" si="12"/>
        <v>26345.736969188136</v>
      </c>
      <c r="N66" s="1093">
        <f t="shared" si="13"/>
        <v>2196</v>
      </c>
    </row>
    <row r="67" spans="1:14">
      <c r="A67" s="1021">
        <v>61</v>
      </c>
      <c r="B67" s="1022" t="s">
        <v>161</v>
      </c>
      <c r="C67" s="1164">
        <f>'Table 8 2.1.12 MFP Funded'!AA64</f>
        <v>3</v>
      </c>
      <c r="D67" s="1041">
        <f>'Table 3 Levels 1&amp;2'!AL68</f>
        <v>3063.3110364585282</v>
      </c>
      <c r="E67" s="1096">
        <f t="shared" si="6"/>
        <v>9189.9331093755845</v>
      </c>
      <c r="F67" s="1096">
        <f>'Table 4 Level 3'!P66</f>
        <v>833.70999999999992</v>
      </c>
      <c r="G67" s="1096">
        <f t="shared" si="7"/>
        <v>2501.1299999999997</v>
      </c>
      <c r="H67" s="1096">
        <f t="shared" si="8"/>
        <v>11691.063109375584</v>
      </c>
      <c r="I67" s="1096">
        <f t="shared" si="9"/>
        <v>974</v>
      </c>
      <c r="J67" s="1086">
        <f>'Table 3 Levels 1&amp;2'!AT68</f>
        <v>4796.05</v>
      </c>
      <c r="K67" s="1026">
        <f t="shared" si="10"/>
        <v>14388.150000000001</v>
      </c>
      <c r="L67" s="1026">
        <f t="shared" si="11"/>
        <v>1199</v>
      </c>
      <c r="M67" s="1027">
        <f t="shared" si="12"/>
        <v>26079.213109375585</v>
      </c>
      <c r="N67" s="1027">
        <f t="shared" si="13"/>
        <v>2173</v>
      </c>
    </row>
    <row r="68" spans="1:14">
      <c r="A68" s="1028">
        <v>62</v>
      </c>
      <c r="B68" s="1029" t="s">
        <v>162</v>
      </c>
      <c r="C68" s="1162">
        <f>'Table 8 2.1.12 MFP Funded'!AA65</f>
        <v>2</v>
      </c>
      <c r="D68" s="1037">
        <f>'Table 3 Levels 1&amp;2'!AL69</f>
        <v>5564.645485869667</v>
      </c>
      <c r="E68" s="1094">
        <f t="shared" si="6"/>
        <v>11129.290971739334</v>
      </c>
      <c r="F68" s="1094">
        <f>'Table 4 Level 3'!P67</f>
        <v>516.08000000000004</v>
      </c>
      <c r="G68" s="1094">
        <f t="shared" si="7"/>
        <v>1032.1600000000001</v>
      </c>
      <c r="H68" s="1094">
        <f t="shared" si="8"/>
        <v>12161.450971739334</v>
      </c>
      <c r="I68" s="1094">
        <f t="shared" si="9"/>
        <v>1013</v>
      </c>
      <c r="J68" s="1086">
        <f>'Table 3 Levels 1&amp;2'!AT69</f>
        <v>1694.28</v>
      </c>
      <c r="K68" s="1088">
        <f t="shared" si="10"/>
        <v>3388.56</v>
      </c>
      <c r="L68" s="1088">
        <f t="shared" si="11"/>
        <v>282</v>
      </c>
      <c r="M68" s="1089">
        <f t="shared" si="12"/>
        <v>15550.010971739333</v>
      </c>
      <c r="N68" s="1089">
        <f t="shared" si="13"/>
        <v>1295</v>
      </c>
    </row>
    <row r="69" spans="1:14">
      <c r="A69" s="1028">
        <v>63</v>
      </c>
      <c r="B69" s="1029" t="s">
        <v>163</v>
      </c>
      <c r="C69" s="1162">
        <f>'Table 8 2.1.12 MFP Funded'!AA66</f>
        <v>1</v>
      </c>
      <c r="D69" s="1037">
        <f>'Table 3 Levels 1&amp;2'!AL70</f>
        <v>4414.1775336636538</v>
      </c>
      <c r="E69" s="1094">
        <f t="shared" si="6"/>
        <v>4414.1775336636538</v>
      </c>
      <c r="F69" s="1094">
        <f>'Table 4 Level 3'!P68</f>
        <v>756.79</v>
      </c>
      <c r="G69" s="1094">
        <f t="shared" si="7"/>
        <v>756.79</v>
      </c>
      <c r="H69" s="1094">
        <f t="shared" si="8"/>
        <v>5170.9675336636537</v>
      </c>
      <c r="I69" s="1094">
        <f t="shared" si="9"/>
        <v>431</v>
      </c>
      <c r="J69" s="1086">
        <f>'Table 3 Levels 1&amp;2'!AT70</f>
        <v>4998.83</v>
      </c>
      <c r="K69" s="1088">
        <f t="shared" si="10"/>
        <v>4998.83</v>
      </c>
      <c r="L69" s="1088">
        <f t="shared" si="11"/>
        <v>417</v>
      </c>
      <c r="M69" s="1089">
        <f t="shared" si="12"/>
        <v>10169.797533663654</v>
      </c>
      <c r="N69" s="1089">
        <f t="shared" si="13"/>
        <v>848</v>
      </c>
    </row>
    <row r="70" spans="1:14">
      <c r="A70" s="1028">
        <v>64</v>
      </c>
      <c r="B70" s="1029" t="s">
        <v>164</v>
      </c>
      <c r="C70" s="1162">
        <f>'Table 8 2.1.12 MFP Funded'!AA67</f>
        <v>1</v>
      </c>
      <c r="D70" s="1037">
        <f>'Table 3 Levels 1&amp;2'!AL71</f>
        <v>5871.0485811924027</v>
      </c>
      <c r="E70" s="1094">
        <f t="shared" si="6"/>
        <v>5871.0485811924027</v>
      </c>
      <c r="F70" s="1094">
        <f>'Table 4 Level 3'!P69</f>
        <v>592.66</v>
      </c>
      <c r="G70" s="1094">
        <f t="shared" si="7"/>
        <v>592.66</v>
      </c>
      <c r="H70" s="1094">
        <f t="shared" si="8"/>
        <v>6463.7085811924026</v>
      </c>
      <c r="I70" s="1094">
        <f t="shared" si="9"/>
        <v>539</v>
      </c>
      <c r="J70" s="1086">
        <f>'Table 3 Levels 1&amp;2'!AT71</f>
        <v>2752.56</v>
      </c>
      <c r="K70" s="1088">
        <f t="shared" si="10"/>
        <v>2752.56</v>
      </c>
      <c r="L70" s="1088">
        <f t="shared" si="11"/>
        <v>229</v>
      </c>
      <c r="M70" s="1089">
        <f t="shared" si="12"/>
        <v>9216.2685811924021</v>
      </c>
      <c r="N70" s="1089">
        <f t="shared" si="13"/>
        <v>768</v>
      </c>
    </row>
    <row r="71" spans="1:14">
      <c r="A71" s="1032">
        <v>65</v>
      </c>
      <c r="B71" s="1033" t="s">
        <v>165</v>
      </c>
      <c r="C71" s="1163">
        <f>'Table 8 2.1.12 MFP Funded'!AA68</f>
        <v>0</v>
      </c>
      <c r="D71" s="1039">
        <f>'Table 3 Levels 1&amp;2'!AL72</f>
        <v>4602.2046951319899</v>
      </c>
      <c r="E71" s="1095">
        <f t="shared" si="6"/>
        <v>0</v>
      </c>
      <c r="F71" s="1095">
        <f>'Table 4 Level 3'!P70</f>
        <v>829.12</v>
      </c>
      <c r="G71" s="1095">
        <f t="shared" si="7"/>
        <v>0</v>
      </c>
      <c r="H71" s="1095">
        <f t="shared" si="8"/>
        <v>0</v>
      </c>
      <c r="I71" s="1095">
        <f t="shared" si="9"/>
        <v>0</v>
      </c>
      <c r="J71" s="1091">
        <f>'Table 3 Levels 1&amp;2'!AT72</f>
        <v>3868.15</v>
      </c>
      <c r="K71" s="1092">
        <f t="shared" si="10"/>
        <v>0</v>
      </c>
      <c r="L71" s="1092">
        <f t="shared" si="11"/>
        <v>0</v>
      </c>
      <c r="M71" s="1093">
        <f t="shared" si="12"/>
        <v>0</v>
      </c>
      <c r="N71" s="1093">
        <f t="shared" si="13"/>
        <v>0</v>
      </c>
    </row>
    <row r="72" spans="1:14">
      <c r="A72" s="1021">
        <v>66</v>
      </c>
      <c r="B72" s="1022" t="s">
        <v>166</v>
      </c>
      <c r="C72" s="1164">
        <f>'Table 8 2.1.12 MFP Funded'!AA69</f>
        <v>0</v>
      </c>
      <c r="D72" s="1041">
        <f>'Table 3 Levels 1&amp;2'!AL73</f>
        <v>6243.8912249150071</v>
      </c>
      <c r="E72" s="1096">
        <f t="shared" ref="E72:E75" si="14">C72*D72</f>
        <v>0</v>
      </c>
      <c r="F72" s="1096">
        <f>'Table 4 Level 3'!P71</f>
        <v>730.06</v>
      </c>
      <c r="G72" s="1096">
        <f t="shared" ref="G72:G75" si="15">F72*C72</f>
        <v>0</v>
      </c>
      <c r="H72" s="1096">
        <f t="shared" ref="H72:H75" si="16">E72+G72</f>
        <v>0</v>
      </c>
      <c r="I72" s="1096">
        <f t="shared" ref="I72:I75" si="17">ROUND(H72/12,0)</f>
        <v>0</v>
      </c>
      <c r="J72" s="1086">
        <f>'Table 3 Levels 1&amp;2'!AT73</f>
        <v>3518.68</v>
      </c>
      <c r="K72" s="1026">
        <f t="shared" ref="K72:K75" si="18">C72*J72</f>
        <v>0</v>
      </c>
      <c r="L72" s="1026">
        <f>ROUND(K72/12,0)</f>
        <v>0</v>
      </c>
      <c r="M72" s="1027">
        <f t="shared" ref="M72:M75" si="19">H72+K72</f>
        <v>0</v>
      </c>
      <c r="N72" s="1027">
        <f t="shared" si="13"/>
        <v>0</v>
      </c>
    </row>
    <row r="73" spans="1:14">
      <c r="A73" s="1028">
        <v>67</v>
      </c>
      <c r="B73" s="1029" t="s">
        <v>33</v>
      </c>
      <c r="C73" s="1162">
        <f>'Table 8 2.1.12 MFP Funded'!AA70</f>
        <v>2</v>
      </c>
      <c r="D73" s="1037">
        <f>'Table 3 Levels 1&amp;2'!AL74</f>
        <v>5049.6489898847567</v>
      </c>
      <c r="E73" s="1094">
        <f t="shared" si="14"/>
        <v>10099.297979769513</v>
      </c>
      <c r="F73" s="1094">
        <f>'Table 4 Level 3'!P72</f>
        <v>715.61</v>
      </c>
      <c r="G73" s="1094">
        <f t="shared" si="15"/>
        <v>1431.22</v>
      </c>
      <c r="H73" s="1094">
        <f t="shared" si="16"/>
        <v>11530.517979769513</v>
      </c>
      <c r="I73" s="1094">
        <f t="shared" si="17"/>
        <v>961</v>
      </c>
      <c r="J73" s="1086">
        <f>'Table 3 Levels 1&amp;2'!AT74</f>
        <v>3078.38</v>
      </c>
      <c r="K73" s="1088">
        <f t="shared" si="18"/>
        <v>6156.76</v>
      </c>
      <c r="L73" s="1088">
        <f>ROUND(K73/12,0)</f>
        <v>513</v>
      </c>
      <c r="M73" s="1089">
        <f t="shared" si="19"/>
        <v>17687.277979769511</v>
      </c>
      <c r="N73" s="1089">
        <f t="shared" si="13"/>
        <v>1474</v>
      </c>
    </row>
    <row r="74" spans="1:14">
      <c r="A74" s="1028">
        <v>68</v>
      </c>
      <c r="B74" s="1029" t="s">
        <v>31</v>
      </c>
      <c r="C74" s="1162">
        <f>'Table 8 2.1.12 MFP Funded'!AA71</f>
        <v>0</v>
      </c>
      <c r="D74" s="1037">
        <f>'Table 3 Levels 1&amp;2'!AL75</f>
        <v>5861.7500805575619</v>
      </c>
      <c r="E74" s="1094">
        <f t="shared" si="14"/>
        <v>0</v>
      </c>
      <c r="F74" s="1094">
        <f>'Table 4 Level 3'!P73</f>
        <v>798.7</v>
      </c>
      <c r="G74" s="1094">
        <f t="shared" si="15"/>
        <v>0</v>
      </c>
      <c r="H74" s="1094">
        <f t="shared" si="16"/>
        <v>0</v>
      </c>
      <c r="I74" s="1094">
        <f t="shared" si="17"/>
        <v>0</v>
      </c>
      <c r="J74" s="1086">
        <f>'Table 3 Levels 1&amp;2'!AT75</f>
        <v>2871.04</v>
      </c>
      <c r="K74" s="1088">
        <f t="shared" si="18"/>
        <v>0</v>
      </c>
      <c r="L74" s="1088">
        <f>ROUND(K74/12,0)</f>
        <v>0</v>
      </c>
      <c r="M74" s="1089">
        <f t="shared" si="19"/>
        <v>0</v>
      </c>
      <c r="N74" s="1089">
        <f t="shared" si="13"/>
        <v>0</v>
      </c>
    </row>
    <row r="75" spans="1:14">
      <c r="A75" s="1042">
        <v>69</v>
      </c>
      <c r="B75" s="1043" t="s">
        <v>235</v>
      </c>
      <c r="C75" s="1165">
        <f>'Table 8 2.1.12 MFP Funded'!AA72</f>
        <v>1</v>
      </c>
      <c r="D75" s="1045">
        <f>'Table 3 Levels 1&amp;2'!AL76</f>
        <v>5508.3397285189958</v>
      </c>
      <c r="E75" s="1097">
        <f t="shared" si="14"/>
        <v>5508.3397285189958</v>
      </c>
      <c r="F75" s="1097">
        <f>'Table 4 Level 3'!P74</f>
        <v>705.67</v>
      </c>
      <c r="G75" s="1097">
        <f t="shared" si="15"/>
        <v>705.67</v>
      </c>
      <c r="H75" s="1097">
        <f t="shared" si="16"/>
        <v>6214.0097285189959</v>
      </c>
      <c r="I75" s="1097">
        <f t="shared" si="17"/>
        <v>518</v>
      </c>
      <c r="J75" s="1086">
        <f>'Table 3 Levels 1&amp;2'!AT76</f>
        <v>2827.2</v>
      </c>
      <c r="K75" s="1098">
        <f t="shared" si="18"/>
        <v>2827.2</v>
      </c>
      <c r="L75" s="1098">
        <f>ROUND(K75/12,0)</f>
        <v>236</v>
      </c>
      <c r="M75" s="1099">
        <f t="shared" si="19"/>
        <v>9041.2097285189957</v>
      </c>
      <c r="N75" s="1099">
        <f t="shared" si="13"/>
        <v>754</v>
      </c>
    </row>
    <row r="76" spans="1:14" s="1053" customFormat="1" ht="13.5" thickBot="1">
      <c r="A76" s="1046"/>
      <c r="B76" s="1047" t="s">
        <v>167</v>
      </c>
      <c r="C76" s="1048">
        <f>SUM(C7:C75)</f>
        <v>286</v>
      </c>
      <c r="D76" s="1049">
        <f>'Table 3 Levels 1&amp;2'!AL77</f>
        <v>4325.8670725247357</v>
      </c>
      <c r="E76" s="1050">
        <f t="shared" ref="E76:H76" si="20">SUM(E7:E75)</f>
        <v>1249461.4322767868</v>
      </c>
      <c r="F76" s="1050"/>
      <c r="G76" s="1050">
        <f t="shared" si="20"/>
        <v>204090.58424539454</v>
      </c>
      <c r="H76" s="1050">
        <f t="shared" si="20"/>
        <v>1453552.0165221815</v>
      </c>
      <c r="I76" s="1050">
        <f>SUM(I7:I75)</f>
        <v>121128</v>
      </c>
      <c r="J76" s="1100">
        <f>'Table 3 Levels 1&amp;2'!AT77</f>
        <v>3506.46</v>
      </c>
      <c r="K76" s="1051">
        <f>SUM(K7:K75)</f>
        <v>983412.4800000001</v>
      </c>
      <c r="L76" s="1051">
        <f>SUM(L7:L75)</f>
        <v>81954</v>
      </c>
      <c r="M76" s="1052">
        <f>SUM(M7:M75)</f>
        <v>2436964.4965221812</v>
      </c>
      <c r="N76" s="1052">
        <f>SUM(N7:N75)</f>
        <v>203082</v>
      </c>
    </row>
    <row r="77" spans="1:14" s="1053" customFormat="1" ht="13.5" thickTop="1">
      <c r="A77" s="1054"/>
      <c r="B77" s="1054"/>
      <c r="C77" s="1055"/>
      <c r="D77" s="1055"/>
      <c r="E77" s="1058"/>
      <c r="F77" s="1058"/>
      <c r="G77" s="1058"/>
      <c r="H77" s="1058"/>
      <c r="J77" s="1057"/>
      <c r="K77" s="1057"/>
      <c r="L77" s="1057"/>
    </row>
    <row r="78" spans="1:14" ht="27" customHeight="1">
      <c r="A78" s="1059"/>
      <c r="C78" s="1166"/>
    </row>
    <row r="79" spans="1:14" ht="12.75" hidden="1" customHeight="1"/>
    <row r="80" spans="1:14" hidden="1"/>
    <row r="81" spans="3:9" hidden="1"/>
    <row r="82" spans="3:9" hidden="1"/>
    <row r="83" spans="3:9" hidden="1">
      <c r="E83" s="1062"/>
      <c r="F83" s="1062"/>
      <c r="G83" s="1062"/>
      <c r="H83" s="1062"/>
      <c r="I83" s="1061"/>
    </row>
    <row r="84" spans="3:9" ht="10.5" hidden="1" customHeight="1"/>
    <row r="85" spans="3:9" hidden="1"/>
    <row r="86" spans="3:9" hidden="1">
      <c r="C86" s="1063"/>
      <c r="D86" s="1064" t="s">
        <v>582</v>
      </c>
    </row>
    <row r="87" spans="3:9" hidden="1">
      <c r="C87" s="1063"/>
      <c r="D87" s="1064" t="s">
        <v>583</v>
      </c>
    </row>
    <row r="88" spans="3:9" hidden="1">
      <c r="C88" s="1065"/>
      <c r="D88" s="1064" t="s">
        <v>584</v>
      </c>
    </row>
    <row r="89" spans="3:9" hidden="1">
      <c r="C89" s="1063"/>
      <c r="D89" s="1064"/>
    </row>
    <row r="90" spans="3:9" hidden="1">
      <c r="C90" s="1063"/>
      <c r="D90" s="1064" t="s">
        <v>585</v>
      </c>
    </row>
    <row r="91" spans="3:9" hidden="1">
      <c r="C91" s="1063"/>
      <c r="D91" s="1064" t="s">
        <v>586</v>
      </c>
    </row>
    <row r="92" spans="3:9" hidden="1">
      <c r="C92" s="1065"/>
      <c r="D92" s="1064" t="s">
        <v>587</v>
      </c>
    </row>
    <row r="93" spans="3:9" hidden="1">
      <c r="C93" s="1063"/>
      <c r="D93" s="1064"/>
    </row>
    <row r="94" spans="3:9" hidden="1">
      <c r="C94" s="1066"/>
      <c r="D94" s="1067" t="s">
        <v>588</v>
      </c>
    </row>
    <row r="95" spans="3:9" hidden="1">
      <c r="C95" s="1167"/>
      <c r="D95" s="1067"/>
    </row>
    <row r="96" spans="3:9" hidden="1">
      <c r="C96" s="1069"/>
      <c r="D96" s="1064" t="s">
        <v>589</v>
      </c>
    </row>
    <row r="97" spans="3:4" hidden="1">
      <c r="C97" s="1168"/>
      <c r="D97" s="1067" t="s">
        <v>590</v>
      </c>
    </row>
    <row r="98" spans="3:4" hidden="1">
      <c r="C98" s="1069"/>
      <c r="D98" s="1071" t="s">
        <v>591</v>
      </c>
    </row>
    <row r="99" spans="3:4" hidden="1">
      <c r="C99" s="1169"/>
      <c r="D99" s="1067" t="s">
        <v>592</v>
      </c>
    </row>
    <row r="100" spans="3:4" hidden="1">
      <c r="C100" s="1069"/>
      <c r="D100" s="1067" t="s">
        <v>593</v>
      </c>
    </row>
    <row r="101" spans="3:4" hidden="1">
      <c r="C101" s="1170"/>
      <c r="D101" s="1067" t="s">
        <v>594</v>
      </c>
    </row>
    <row r="102" spans="3:4" hidden="1">
      <c r="C102" s="1074"/>
      <c r="D102" s="1067" t="s">
        <v>595</v>
      </c>
    </row>
    <row r="103" spans="3:4" hidden="1">
      <c r="C103" s="1074"/>
      <c r="D103" s="1067"/>
    </row>
    <row r="104" spans="3:4" hidden="1">
      <c r="C104" s="1074"/>
      <c r="D104" s="1067"/>
    </row>
    <row r="105" spans="3:4" hidden="1">
      <c r="D105" s="1067"/>
    </row>
    <row r="106" spans="3:4" hidden="1"/>
  </sheetData>
  <mergeCells count="15">
    <mergeCell ref="A2:B4"/>
    <mergeCell ref="C2:I2"/>
    <mergeCell ref="J2:L2"/>
    <mergeCell ref="M2:M4"/>
    <mergeCell ref="N2:N4"/>
    <mergeCell ref="D3:D4"/>
    <mergeCell ref="E3:E4"/>
    <mergeCell ref="C3:C4"/>
    <mergeCell ref="F3:F4"/>
    <mergeCell ref="G3:G4"/>
    <mergeCell ref="H3:H4"/>
    <mergeCell ref="I3:I4"/>
    <mergeCell ref="J3:J4"/>
    <mergeCell ref="K3:K4"/>
    <mergeCell ref="L3:L4"/>
  </mergeCells>
  <printOptions horizontalCentered="1"/>
  <pageMargins left="0.27" right="0.25" top="0.87" bottom="0.2" header="0.25" footer="0.2"/>
  <pageSetup paperSize="5" scale="70" firstPageNumber="44" fitToWidth="3" orientation="portrait" useFirstPageNumber="1" r:id="rId1"/>
  <headerFooter alignWithMargins="0">
    <oddHeader xml:space="preserve">&amp;L&amp;"Arial,Bold"&amp;16Table 5A5:  FY2012-13 MFP Budget Letter
Special School District (SSD)&amp;R&amp;"Arial,Bold"&amp;12&amp;KFF0000
</oddHeader>
    <oddFooter>&amp;R&amp;P</oddFooter>
  </headerFooter>
  <colBreaks count="1" manualBreakCount="1">
    <brk id="9" min="1" max="7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Z85"/>
  <sheetViews>
    <sheetView view="pageBreakPreview" zoomScale="80" zoomScaleNormal="75" zoomScaleSheetLayoutView="8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B65" sqref="B65"/>
    </sheetView>
  </sheetViews>
  <sheetFormatPr defaultRowHeight="12.75"/>
  <cols>
    <col min="1" max="1" width="8.7109375" style="1465" customWidth="1"/>
    <col min="2" max="2" width="36.85546875" style="1465" customWidth="1"/>
    <col min="3" max="3" width="12" style="1465" customWidth="1"/>
    <col min="4" max="4" width="14.5703125" style="1465" bestFit="1" customWidth="1"/>
    <col min="5" max="5" width="17.5703125" style="1465" bestFit="1" customWidth="1"/>
    <col min="6" max="6" width="19.42578125" style="1465" customWidth="1"/>
    <col min="7" max="7" width="17" style="1465" bestFit="1" customWidth="1"/>
    <col min="8" max="8" width="18.42578125" style="1465" bestFit="1" customWidth="1"/>
    <col min="9" max="9" width="14.28515625" style="1465" customWidth="1"/>
    <col min="10" max="10" width="18.85546875" style="1465" customWidth="1"/>
    <col min="11" max="11" width="13.85546875" style="1465" hidden="1" customWidth="1"/>
    <col min="12" max="12" width="18.42578125" style="1465" hidden="1" customWidth="1"/>
    <col min="13" max="13" width="16.42578125" style="1465" hidden="1" customWidth="1"/>
    <col min="14" max="14" width="13.85546875" style="1465" hidden="1" customWidth="1"/>
    <col min="15" max="15" width="16.42578125" style="1465" hidden="1" customWidth="1"/>
    <col min="16" max="16" width="18.42578125" style="1465" hidden="1" customWidth="1"/>
    <col min="17" max="17" width="13.85546875" style="1465" hidden="1" customWidth="1"/>
    <col min="18" max="18" width="18.42578125" style="1465" hidden="1" customWidth="1"/>
    <col min="19" max="19" width="17" style="1465" hidden="1" customWidth="1"/>
    <col min="20" max="20" width="11.7109375" style="563" hidden="1" customWidth="1"/>
    <col min="21" max="21" width="17.5703125" style="563" hidden="1" customWidth="1"/>
    <col min="22" max="26" width="9.140625" style="563"/>
    <col min="27" max="16384" width="9.140625" style="1465"/>
  </cols>
  <sheetData>
    <row r="1" spans="1:24" ht="43.5" customHeight="1">
      <c r="A1" s="1796" t="s">
        <v>1451</v>
      </c>
      <c r="B1" s="1797"/>
      <c r="C1" s="1797"/>
      <c r="D1" s="1797"/>
      <c r="E1" s="1797"/>
      <c r="F1" s="1797"/>
      <c r="G1" s="1797"/>
      <c r="H1" s="1797"/>
      <c r="I1" s="1797"/>
      <c r="J1" s="1798"/>
    </row>
    <row r="2" spans="1:24" ht="10.5" customHeight="1">
      <c r="A2" s="1607"/>
      <c r="B2" s="1607"/>
      <c r="C2" s="1607"/>
      <c r="D2" s="1607"/>
      <c r="E2" s="1607"/>
      <c r="F2" s="1608"/>
      <c r="G2" s="1608"/>
      <c r="H2" s="1607"/>
      <c r="I2" s="1607"/>
      <c r="J2" s="1607"/>
    </row>
    <row r="3" spans="1:24" ht="39.75" customHeight="1" thickBot="1">
      <c r="C3" s="1466"/>
      <c r="D3" s="1604">
        <f>'Table 3 Levels 1&amp;2'!AL43</f>
        <v>3493.4615493208294</v>
      </c>
      <c r="E3" s="1467"/>
      <c r="F3" s="1812" t="s">
        <v>602</v>
      </c>
      <c r="G3" s="1813"/>
      <c r="H3" s="1467"/>
      <c r="I3" s="1468"/>
      <c r="J3" s="1469"/>
      <c r="K3" s="1469"/>
      <c r="L3" s="1469"/>
      <c r="M3" s="1469"/>
      <c r="N3" s="1469"/>
      <c r="O3" s="1469"/>
      <c r="P3" s="1469"/>
      <c r="Q3" s="1469"/>
      <c r="R3" s="1469"/>
      <c r="S3" s="1469"/>
    </row>
    <row r="4" spans="1:24" ht="112.5" customHeight="1">
      <c r="A4" s="1814" t="s">
        <v>665</v>
      </c>
      <c r="B4" s="1814" t="s">
        <v>203</v>
      </c>
      <c r="C4" s="1814" t="s">
        <v>1293</v>
      </c>
      <c r="D4" s="1470" t="s">
        <v>85</v>
      </c>
      <c r="E4" s="1810" t="s">
        <v>1390</v>
      </c>
      <c r="F4" s="1814" t="s">
        <v>604</v>
      </c>
      <c r="G4" s="1814" t="s">
        <v>601</v>
      </c>
      <c r="H4" s="1810" t="s">
        <v>1391</v>
      </c>
      <c r="I4" s="1816" t="s">
        <v>1294</v>
      </c>
      <c r="J4" s="1810" t="s">
        <v>1396</v>
      </c>
      <c r="K4" s="1810" t="s">
        <v>1310</v>
      </c>
      <c r="L4" s="1806" t="s">
        <v>1392</v>
      </c>
      <c r="M4" s="1471" t="s">
        <v>791</v>
      </c>
      <c r="N4" s="1471" t="s">
        <v>791</v>
      </c>
      <c r="O4" s="1808" t="s">
        <v>791</v>
      </c>
      <c r="P4" s="1806" t="s">
        <v>1393</v>
      </c>
      <c r="Q4" s="1802" t="s">
        <v>1295</v>
      </c>
      <c r="R4" s="1804" t="s">
        <v>1394</v>
      </c>
      <c r="S4" s="1806" t="s">
        <v>1395</v>
      </c>
    </row>
    <row r="5" spans="1:24" ht="57.75" customHeight="1">
      <c r="A5" s="1815" t="s">
        <v>87</v>
      </c>
      <c r="B5" s="1815"/>
      <c r="C5" s="1815"/>
      <c r="D5" s="1472" t="s">
        <v>329</v>
      </c>
      <c r="E5" s="1811"/>
      <c r="F5" s="1815"/>
      <c r="G5" s="1815"/>
      <c r="H5" s="1811"/>
      <c r="I5" s="1817"/>
      <c r="J5" s="1811"/>
      <c r="K5" s="1811"/>
      <c r="L5" s="1807"/>
      <c r="M5" s="1473">
        <v>1.7500000000000002E-2</v>
      </c>
      <c r="N5" s="1473">
        <v>2.5000000000000001E-3</v>
      </c>
      <c r="O5" s="1809"/>
      <c r="P5" s="1807"/>
      <c r="Q5" s="1803"/>
      <c r="R5" s="1805"/>
      <c r="S5" s="1807"/>
      <c r="U5" s="1605"/>
    </row>
    <row r="6" spans="1:24">
      <c r="A6" s="1474"/>
      <c r="B6" s="1474"/>
      <c r="C6" s="1475">
        <v>1</v>
      </c>
      <c r="D6" s="1475">
        <f t="shared" ref="D6:J6" si="0">C6+1</f>
        <v>2</v>
      </c>
      <c r="E6" s="1475">
        <f t="shared" si="0"/>
        <v>3</v>
      </c>
      <c r="F6" s="1475">
        <f t="shared" si="0"/>
        <v>4</v>
      </c>
      <c r="G6" s="1475">
        <f t="shared" si="0"/>
        <v>5</v>
      </c>
      <c r="H6" s="1475">
        <f t="shared" si="0"/>
        <v>6</v>
      </c>
      <c r="I6" s="1475">
        <f t="shared" si="0"/>
        <v>7</v>
      </c>
      <c r="J6" s="1475">
        <f t="shared" si="0"/>
        <v>8</v>
      </c>
      <c r="K6" s="1475"/>
      <c r="L6" s="1475">
        <f t="shared" ref="L6" si="1">J6+1</f>
        <v>9</v>
      </c>
      <c r="M6" s="1475">
        <f t="shared" ref="M6" si="2">L6+1</f>
        <v>10</v>
      </c>
      <c r="N6" s="1475">
        <f t="shared" ref="N6" si="3">M6+1</f>
        <v>11</v>
      </c>
      <c r="O6" s="1475">
        <f t="shared" ref="O6" si="4">N6+1</f>
        <v>12</v>
      </c>
      <c r="P6" s="1475">
        <f t="shared" ref="P6" si="5">O6+1</f>
        <v>13</v>
      </c>
      <c r="Q6" s="1475">
        <f t="shared" ref="Q6" si="6">P6+1</f>
        <v>14</v>
      </c>
      <c r="R6" s="1475">
        <f t="shared" ref="R6" si="7">Q6+1</f>
        <v>15</v>
      </c>
      <c r="S6" s="1475">
        <f t="shared" ref="S6" si="8">R6+1</f>
        <v>16</v>
      </c>
    </row>
    <row r="7" spans="1:24" ht="30.75">
      <c r="A7" s="1455" t="s">
        <v>656</v>
      </c>
      <c r="B7" s="1456" t="s">
        <v>1292</v>
      </c>
      <c r="C7" s="1457">
        <f>'Table 8 2.1.12 MFP Funded'!G39</f>
        <v>10644</v>
      </c>
      <c r="D7" s="1458">
        <f>$D$3</f>
        <v>3493.4615493208294</v>
      </c>
      <c r="E7" s="1458">
        <f>ROUND(C7*D7,0)</f>
        <v>37184405</v>
      </c>
      <c r="F7" s="1458">
        <v>727.23177743956114</v>
      </c>
      <c r="G7" s="1458">
        <f>F7*C7</f>
        <v>7740655.0390666891</v>
      </c>
      <c r="H7" s="1459">
        <f>E7+G7</f>
        <v>44925060.039066687</v>
      </c>
      <c r="I7" s="1460" t="s">
        <v>69</v>
      </c>
      <c r="J7" s="1461" t="s">
        <v>96</v>
      </c>
      <c r="K7" s="1476"/>
      <c r="L7" s="1461"/>
      <c r="M7" s="1476"/>
      <c r="N7" s="1476"/>
      <c r="O7" s="1476"/>
      <c r="P7" s="1476"/>
      <c r="Q7" s="1476"/>
      <c r="R7" s="1461"/>
      <c r="S7" s="1461"/>
    </row>
    <row r="8" spans="1:24" ht="8.25" customHeight="1">
      <c r="A8" s="1462"/>
      <c r="B8" s="1799"/>
      <c r="C8" s="1800"/>
      <c r="D8" s="1800"/>
      <c r="E8" s="1800"/>
      <c r="F8" s="1800"/>
      <c r="G8" s="1800"/>
      <c r="H8" s="1800"/>
      <c r="I8" s="1800"/>
      <c r="J8" s="1800"/>
      <c r="K8" s="1477"/>
      <c r="L8" s="1799"/>
      <c r="M8" s="1800"/>
      <c r="N8" s="1800"/>
      <c r="O8" s="1800"/>
      <c r="P8" s="1800"/>
      <c r="Q8" s="1800"/>
      <c r="R8" s="1800"/>
      <c r="S8" s="1800"/>
      <c r="T8" s="1800"/>
      <c r="U8" s="1800"/>
      <c r="V8" s="1800"/>
      <c r="W8" s="1800"/>
      <c r="X8" s="1800"/>
    </row>
    <row r="9" spans="1:24" ht="24.75" customHeight="1">
      <c r="A9" s="1463" t="s">
        <v>655</v>
      </c>
      <c r="B9" s="1464" t="s">
        <v>667</v>
      </c>
      <c r="C9" s="1454">
        <f>'-'!H127-C41-C45-C18-C17-C37-C38-C16+239+120+230</f>
        <v>4653</v>
      </c>
      <c r="D9" s="1458">
        <f>$D$3</f>
        <v>3493.4615493208294</v>
      </c>
      <c r="E9" s="1458">
        <f>ROUND(C9*D9,0)</f>
        <v>16255077</v>
      </c>
      <c r="F9" s="1458">
        <v>797.0524448632965</v>
      </c>
      <c r="G9" s="1458">
        <f>F9*C9</f>
        <v>3708685.0259489184</v>
      </c>
      <c r="H9" s="1459">
        <f>E9+G9</f>
        <v>19963762.025948919</v>
      </c>
      <c r="I9" s="1458">
        <v>-603556.4490870384</v>
      </c>
      <c r="J9" s="1459">
        <f>H9+I9</f>
        <v>19360205.576861881</v>
      </c>
      <c r="K9" s="1478">
        <f>'[8]FY2012-13 Initial'!$D$43</f>
        <v>4110</v>
      </c>
      <c r="L9" s="1459">
        <f>C9*K9</f>
        <v>19123830</v>
      </c>
      <c r="M9" s="1478">
        <f>-M69</f>
        <v>1720826.3625</v>
      </c>
      <c r="N9" s="1478"/>
      <c r="O9" s="1478">
        <f>M9+N9</f>
        <v>1720826.3625</v>
      </c>
      <c r="P9" s="1478">
        <f>L9+O9</f>
        <v>20844656.362500001</v>
      </c>
      <c r="Q9" s="1478">
        <v>-167420</v>
      </c>
      <c r="R9" s="1459">
        <f>SUM(P9:Q9)</f>
        <v>20677236.362500001</v>
      </c>
      <c r="S9" s="1479">
        <f>R9/12</f>
        <v>1723103.0302083334</v>
      </c>
    </row>
    <row r="10" spans="1:24" ht="8.25" customHeight="1">
      <c r="A10" s="1480"/>
      <c r="B10" s="1799"/>
      <c r="C10" s="1800"/>
      <c r="D10" s="1800"/>
      <c r="E10" s="1800"/>
      <c r="F10" s="1800"/>
      <c r="G10" s="1800"/>
      <c r="H10" s="1800"/>
      <c r="I10" s="1800"/>
      <c r="J10" s="1800"/>
      <c r="K10" s="1477"/>
      <c r="L10" s="1799"/>
      <c r="M10" s="1800"/>
      <c r="N10" s="1800"/>
      <c r="O10" s="1800"/>
      <c r="P10" s="1800"/>
      <c r="Q10" s="1800"/>
      <c r="R10" s="1800"/>
      <c r="S10" s="1800"/>
      <c r="T10" s="1800"/>
      <c r="U10" s="1800"/>
      <c r="V10" s="1800"/>
      <c r="W10" s="1800"/>
      <c r="X10" s="1800"/>
    </row>
    <row r="11" spans="1:24" ht="21" customHeight="1">
      <c r="A11" s="1481"/>
      <c r="B11" s="1482" t="s">
        <v>88</v>
      </c>
      <c r="C11" s="1457"/>
      <c r="D11" s="1458"/>
      <c r="E11" s="1458"/>
      <c r="F11" s="1458"/>
      <c r="G11" s="1458"/>
      <c r="H11" s="1459"/>
      <c r="I11" s="1478"/>
      <c r="J11" s="1459"/>
      <c r="K11" s="1478"/>
      <c r="L11" s="1459"/>
      <c r="M11" s="1478"/>
      <c r="N11" s="1478"/>
      <c r="O11" s="1478"/>
      <c r="P11" s="1478"/>
      <c r="Q11" s="1478"/>
      <c r="R11" s="1459"/>
      <c r="S11" s="1459"/>
    </row>
    <row r="12" spans="1:24" ht="30.75" customHeight="1">
      <c r="A12" s="806">
        <v>300001</v>
      </c>
      <c r="B12" s="792" t="s">
        <v>323</v>
      </c>
      <c r="C12" s="809">
        <f>'-'!G53</f>
        <v>340</v>
      </c>
      <c r="D12" s="1483">
        <f t="shared" ref="D12:D68" si="9">$D$3</f>
        <v>3493.4615493208294</v>
      </c>
      <c r="E12" s="1483">
        <f t="shared" ref="E12:E65" si="10">ROUND(C12*D12,0)</f>
        <v>1187777</v>
      </c>
      <c r="F12" s="1458">
        <v>767.72184717013943</v>
      </c>
      <c r="G12" s="1458">
        <f t="shared" ref="G12:G65" si="11">F12*C12</f>
        <v>261025.42803784739</v>
      </c>
      <c r="H12" s="1459">
        <f>E12+G12</f>
        <v>1448802.4280378474</v>
      </c>
      <c r="I12" s="1484">
        <v>3961.9839854058328</v>
      </c>
      <c r="J12" s="1485">
        <f t="shared" ref="J12:J65" si="12">H12+I12</f>
        <v>1452764.4120232533</v>
      </c>
      <c r="K12" s="1484">
        <f>'[8]FY2012-13 Initial'!$D$43</f>
        <v>4110</v>
      </c>
      <c r="L12" s="1485">
        <f t="shared" ref="L12:L67" si="13">C12*K12</f>
        <v>1397400</v>
      </c>
      <c r="M12" s="1486">
        <f>-$M$5*L12</f>
        <v>-24454.500000000004</v>
      </c>
      <c r="N12" s="1486">
        <f>-$N$5*L12</f>
        <v>-3493.5</v>
      </c>
      <c r="O12" s="1484">
        <f>M12+N12</f>
        <v>-27948.000000000004</v>
      </c>
      <c r="P12" s="1484">
        <f t="shared" ref="P12:P67" si="14">L12+O12</f>
        <v>1369452</v>
      </c>
      <c r="Q12" s="1484">
        <v>4103</v>
      </c>
      <c r="R12" s="1485">
        <f t="shared" ref="R12:R67" si="15">SUM(P12:Q12)</f>
        <v>1373555</v>
      </c>
      <c r="S12" s="1485">
        <f t="shared" ref="S12:S67" si="16">R12/12</f>
        <v>114462.91666666667</v>
      </c>
    </row>
    <row r="13" spans="1:24" ht="30.75" customHeight="1">
      <c r="A13" s="806">
        <v>300002</v>
      </c>
      <c r="B13" s="792" t="s">
        <v>322</v>
      </c>
      <c r="C13" s="809">
        <f>'-'!G54</f>
        <v>420</v>
      </c>
      <c r="D13" s="1483">
        <f t="shared" si="9"/>
        <v>3493.4615493208294</v>
      </c>
      <c r="E13" s="1483">
        <f t="shared" si="10"/>
        <v>1467254</v>
      </c>
      <c r="F13" s="1458">
        <v>730.66950653120466</v>
      </c>
      <c r="G13" s="1458">
        <f t="shared" si="11"/>
        <v>306881.19274310593</v>
      </c>
      <c r="H13" s="1459">
        <f t="shared" ref="H13:H65" si="17">E13+G13</f>
        <v>1774135.1927431058</v>
      </c>
      <c r="I13" s="1484">
        <v>-6614.7721822148442</v>
      </c>
      <c r="J13" s="1485">
        <f t="shared" si="12"/>
        <v>1767520.420560891</v>
      </c>
      <c r="K13" s="1484">
        <f>'[8]FY2012-13 Initial'!$D$43</f>
        <v>4110</v>
      </c>
      <c r="L13" s="1485">
        <f t="shared" si="13"/>
        <v>1726200</v>
      </c>
      <c r="M13" s="1486">
        <f t="shared" ref="M13:M67" si="18">-$M$5*L13</f>
        <v>-30208.500000000004</v>
      </c>
      <c r="N13" s="1486">
        <f t="shared" ref="N13:N67" si="19">-$N$5*L13</f>
        <v>-4315.5</v>
      </c>
      <c r="O13" s="1484">
        <f t="shared" ref="O13:O67" si="20">M13+N13</f>
        <v>-34524</v>
      </c>
      <c r="P13" s="1484">
        <f t="shared" si="14"/>
        <v>1691676</v>
      </c>
      <c r="Q13" s="1484">
        <v>0</v>
      </c>
      <c r="R13" s="1485">
        <f t="shared" si="15"/>
        <v>1691676</v>
      </c>
      <c r="S13" s="1485">
        <f t="shared" si="16"/>
        <v>140973</v>
      </c>
    </row>
    <row r="14" spans="1:24" ht="30.75" customHeight="1">
      <c r="A14" s="1103">
        <v>300003</v>
      </c>
      <c r="B14" s="1104" t="s">
        <v>551</v>
      </c>
      <c r="C14" s="809">
        <f>'-'!G55</f>
        <v>601</v>
      </c>
      <c r="D14" s="1483">
        <f t="shared" si="9"/>
        <v>3493.4615493208294</v>
      </c>
      <c r="E14" s="1483">
        <f t="shared" si="10"/>
        <v>2099570</v>
      </c>
      <c r="F14" s="1458">
        <v>767.72184717013943</v>
      </c>
      <c r="G14" s="1458">
        <f t="shared" si="11"/>
        <v>461400.83014925377</v>
      </c>
      <c r="H14" s="1459">
        <f t="shared" si="17"/>
        <v>2560970.8301492538</v>
      </c>
      <c r="I14" s="1484">
        <v>-6614.7721822148442</v>
      </c>
      <c r="J14" s="1485">
        <f t="shared" si="12"/>
        <v>2554356.0579670388</v>
      </c>
      <c r="K14" s="1484">
        <f>'[8]FY2012-13 Initial'!$D$43</f>
        <v>4110</v>
      </c>
      <c r="L14" s="1485">
        <f t="shared" si="13"/>
        <v>2470110</v>
      </c>
      <c r="M14" s="1486">
        <f t="shared" si="18"/>
        <v>-43226.925000000003</v>
      </c>
      <c r="N14" s="1486">
        <f t="shared" si="19"/>
        <v>-6175.2750000000005</v>
      </c>
      <c r="O14" s="1484">
        <f t="shared" si="20"/>
        <v>-49402.200000000004</v>
      </c>
      <c r="P14" s="1484">
        <f t="shared" si="14"/>
        <v>2420707.7999999998</v>
      </c>
      <c r="Q14" s="1484">
        <v>0</v>
      </c>
      <c r="R14" s="1485">
        <f t="shared" si="15"/>
        <v>2420707.7999999998</v>
      </c>
      <c r="S14" s="1485">
        <f t="shared" si="16"/>
        <v>201725.65</v>
      </c>
    </row>
    <row r="15" spans="1:24" ht="30.75" customHeight="1">
      <c r="A15" s="806">
        <v>300004</v>
      </c>
      <c r="B15" s="792" t="s">
        <v>607</v>
      </c>
      <c r="C15" s="809">
        <f>'-'!G56</f>
        <v>423</v>
      </c>
      <c r="D15" s="1483">
        <f t="shared" si="9"/>
        <v>3493.4615493208294</v>
      </c>
      <c r="E15" s="1483">
        <f t="shared" si="10"/>
        <v>1477734</v>
      </c>
      <c r="F15" s="1478">
        <v>746.0335616438357</v>
      </c>
      <c r="G15" s="1458">
        <f t="shared" si="11"/>
        <v>315572.1965753425</v>
      </c>
      <c r="H15" s="1459">
        <f t="shared" si="17"/>
        <v>1793306.1965753424</v>
      </c>
      <c r="I15" s="1484">
        <v>2603.0574587118685</v>
      </c>
      <c r="J15" s="1485">
        <f t="shared" si="12"/>
        <v>1795909.2540340542</v>
      </c>
      <c r="K15" s="1484">
        <f>'[8]FY2012-13 Initial'!$D$43</f>
        <v>4110</v>
      </c>
      <c r="L15" s="1485">
        <f t="shared" si="13"/>
        <v>1738530</v>
      </c>
      <c r="M15" s="1486">
        <f t="shared" si="18"/>
        <v>-30424.275000000001</v>
      </c>
      <c r="N15" s="1486">
        <f t="shared" si="19"/>
        <v>-4346.3249999999998</v>
      </c>
      <c r="O15" s="1484">
        <f t="shared" si="20"/>
        <v>-34770.6</v>
      </c>
      <c r="P15" s="1484">
        <f t="shared" si="14"/>
        <v>1703759.4</v>
      </c>
      <c r="Q15" s="1484">
        <v>6154.5</v>
      </c>
      <c r="R15" s="1485">
        <f t="shared" si="15"/>
        <v>1709913.9</v>
      </c>
      <c r="S15" s="1485">
        <f t="shared" si="16"/>
        <v>142492.82499999998</v>
      </c>
    </row>
    <row r="16" spans="1:24" ht="34.5" customHeight="1">
      <c r="A16" s="1103">
        <v>360001</v>
      </c>
      <c r="B16" s="1104" t="s">
        <v>1252</v>
      </c>
      <c r="C16" s="809">
        <v>140</v>
      </c>
      <c r="D16" s="1483">
        <f t="shared" si="9"/>
        <v>3493.4615493208294</v>
      </c>
      <c r="E16" s="1483">
        <f t="shared" si="10"/>
        <v>489085</v>
      </c>
      <c r="F16" s="1478">
        <v>746.0335616438357</v>
      </c>
      <c r="G16" s="1458">
        <f t="shared" si="11"/>
        <v>104444.69863013699</v>
      </c>
      <c r="H16" s="1459">
        <f t="shared" si="17"/>
        <v>593529.69863013702</v>
      </c>
      <c r="I16" s="1484"/>
      <c r="J16" s="1485">
        <f t="shared" si="12"/>
        <v>593529.69863013702</v>
      </c>
      <c r="K16" s="1484">
        <f>'[8]FY2012-13 Initial'!$D$43</f>
        <v>4110</v>
      </c>
      <c r="L16" s="1485">
        <f t="shared" si="13"/>
        <v>575400</v>
      </c>
      <c r="M16" s="1486">
        <f t="shared" si="18"/>
        <v>-10069.500000000002</v>
      </c>
      <c r="N16" s="1486">
        <f t="shared" si="19"/>
        <v>-1438.5</v>
      </c>
      <c r="O16" s="1484">
        <f t="shared" si="20"/>
        <v>-11508.000000000002</v>
      </c>
      <c r="P16" s="1484">
        <f t="shared" si="14"/>
        <v>563892</v>
      </c>
      <c r="Q16" s="1484"/>
      <c r="R16" s="1485">
        <f t="shared" si="15"/>
        <v>563892</v>
      </c>
      <c r="S16" s="1485">
        <f t="shared" si="16"/>
        <v>46991</v>
      </c>
    </row>
    <row r="17" spans="1:19" ht="40.5">
      <c r="A17" s="1103">
        <v>361001</v>
      </c>
      <c r="B17" s="1104" t="s">
        <v>1296</v>
      </c>
      <c r="C17" s="1454">
        <v>200</v>
      </c>
      <c r="D17" s="1483">
        <f t="shared" si="9"/>
        <v>3493.4615493208294</v>
      </c>
      <c r="E17" s="1483">
        <f>ROUND(C17*D17,0)</f>
        <v>698692</v>
      </c>
      <c r="F17" s="1458">
        <v>746.0335616438357</v>
      </c>
      <c r="G17" s="1458">
        <f>F17*C17</f>
        <v>149206.71232876714</v>
      </c>
      <c r="H17" s="1459">
        <f>E17+G17</f>
        <v>847898.71232876717</v>
      </c>
      <c r="I17" s="1483">
        <v>0</v>
      </c>
      <c r="J17" s="1485">
        <f>H17+I17</f>
        <v>847898.71232876717</v>
      </c>
      <c r="K17" s="1484">
        <f>'[8]FY2012-13 Initial'!$K$43</f>
        <v>4785</v>
      </c>
      <c r="L17" s="1485">
        <f>C17*K17</f>
        <v>957000</v>
      </c>
      <c r="M17" s="1486">
        <f>-$M$5*L17</f>
        <v>-16747.5</v>
      </c>
      <c r="N17" s="1486">
        <f>-$N$5*L17</f>
        <v>-2392.5</v>
      </c>
      <c r="O17" s="1484">
        <f>M17+N17</f>
        <v>-19140</v>
      </c>
      <c r="P17" s="1484">
        <f>L17+O17</f>
        <v>937860</v>
      </c>
      <c r="Q17" s="1484">
        <v>0</v>
      </c>
      <c r="R17" s="1485">
        <f>SUM(P17:Q17)</f>
        <v>937860</v>
      </c>
      <c r="S17" s="1485">
        <f>R17/12</f>
        <v>78155</v>
      </c>
    </row>
    <row r="18" spans="1:19" ht="34.5" customHeight="1">
      <c r="A18" s="1103">
        <v>362001</v>
      </c>
      <c r="B18" s="1104" t="s">
        <v>784</v>
      </c>
      <c r="C18" s="1454">
        <v>480</v>
      </c>
      <c r="D18" s="1483">
        <f t="shared" si="9"/>
        <v>3493.4615493208294</v>
      </c>
      <c r="E18" s="1483">
        <f>ROUND(C18*D18,0)</f>
        <v>1676862</v>
      </c>
      <c r="F18" s="1458">
        <v>746.0335616438357</v>
      </c>
      <c r="G18" s="1458">
        <f>F18*C18</f>
        <v>358096.10958904115</v>
      </c>
      <c r="H18" s="1459">
        <f>E18+G18</f>
        <v>2034958.1095890412</v>
      </c>
      <c r="I18" s="1483">
        <v>0</v>
      </c>
      <c r="J18" s="1485">
        <f>H18+I18</f>
        <v>2034958.1095890412</v>
      </c>
      <c r="K18" s="1484">
        <f>'[8]FY2012-13 Initial'!$D$43</f>
        <v>4110</v>
      </c>
      <c r="L18" s="1485">
        <f>C18*K18</f>
        <v>1972800</v>
      </c>
      <c r="M18" s="1486">
        <f>-$M$5*L18</f>
        <v>-34524</v>
      </c>
      <c r="N18" s="1486">
        <f>-$N$5*L18</f>
        <v>-4932</v>
      </c>
      <c r="O18" s="1484">
        <f>M18+N18</f>
        <v>-39456</v>
      </c>
      <c r="P18" s="1484">
        <f>L18+O18</f>
        <v>1933344</v>
      </c>
      <c r="Q18" s="1484">
        <v>0</v>
      </c>
      <c r="R18" s="1485">
        <f>SUM(P18:Q18)</f>
        <v>1933344</v>
      </c>
      <c r="S18" s="1485">
        <f>R18/12</f>
        <v>161112</v>
      </c>
    </row>
    <row r="19" spans="1:19" ht="30.75" customHeight="1">
      <c r="A19" s="1103">
        <v>363001</v>
      </c>
      <c r="B19" s="1104" t="s">
        <v>782</v>
      </c>
      <c r="C19" s="809">
        <f>'-'!G57</f>
        <v>547</v>
      </c>
      <c r="D19" s="1483">
        <f t="shared" si="9"/>
        <v>3493.4615493208294</v>
      </c>
      <c r="E19" s="1483">
        <f t="shared" ref="E19:E28" si="21">ROUND(C19*D19,0)</f>
        <v>1910923</v>
      </c>
      <c r="F19" s="1458">
        <v>746.0335616438357</v>
      </c>
      <c r="G19" s="1458">
        <f t="shared" ref="G19:G28" si="22">F19*C19</f>
        <v>408080.3582191781</v>
      </c>
      <c r="H19" s="1459">
        <f t="shared" ref="H19:H28" si="23">E19+G19</f>
        <v>2319003.3582191779</v>
      </c>
      <c r="I19" s="1483">
        <v>-3998.0606576154241</v>
      </c>
      <c r="J19" s="1485">
        <f t="shared" ref="J19:J28" si="24">H19+I19</f>
        <v>2315005.2975615626</v>
      </c>
      <c r="K19" s="1484">
        <f>'[8]FY2012-13 Initial'!$D$43</f>
        <v>4110</v>
      </c>
      <c r="L19" s="1485">
        <f t="shared" si="13"/>
        <v>2248170</v>
      </c>
      <c r="M19" s="1486">
        <f t="shared" si="18"/>
        <v>-39342.975000000006</v>
      </c>
      <c r="N19" s="1486">
        <f t="shared" si="19"/>
        <v>-5620.4250000000002</v>
      </c>
      <c r="O19" s="1484">
        <f t="shared" si="20"/>
        <v>-44963.400000000009</v>
      </c>
      <c r="P19" s="1484">
        <f t="shared" si="14"/>
        <v>2203206.6</v>
      </c>
      <c r="Q19" s="1484">
        <v>-4203</v>
      </c>
      <c r="R19" s="1485">
        <f t="shared" si="15"/>
        <v>2199003.6</v>
      </c>
      <c r="S19" s="1485">
        <f t="shared" si="16"/>
        <v>183250.30000000002</v>
      </c>
    </row>
    <row r="20" spans="1:19" ht="30.75" customHeight="1">
      <c r="A20" s="1103">
        <v>364001</v>
      </c>
      <c r="B20" s="1104" t="s">
        <v>783</v>
      </c>
      <c r="C20" s="809">
        <f>'-'!G58</f>
        <v>462</v>
      </c>
      <c r="D20" s="1483">
        <f t="shared" si="9"/>
        <v>3493.4615493208294</v>
      </c>
      <c r="E20" s="1483">
        <f t="shared" si="21"/>
        <v>1613979</v>
      </c>
      <c r="F20" s="1458">
        <v>746.0335616438357</v>
      </c>
      <c r="G20" s="1458">
        <f t="shared" si="22"/>
        <v>344667.50547945208</v>
      </c>
      <c r="H20" s="1459">
        <f t="shared" si="23"/>
        <v>1958646.5054794522</v>
      </c>
      <c r="I20" s="1483">
        <v>0</v>
      </c>
      <c r="J20" s="1485">
        <f t="shared" si="24"/>
        <v>1958646.5054794522</v>
      </c>
      <c r="K20" s="1484">
        <f>'[8]FY2012-13 Initial'!$D$43</f>
        <v>4110</v>
      </c>
      <c r="L20" s="1485">
        <f t="shared" si="13"/>
        <v>1898820</v>
      </c>
      <c r="M20" s="1486">
        <f t="shared" si="18"/>
        <v>-33229.350000000006</v>
      </c>
      <c r="N20" s="1486">
        <f t="shared" si="19"/>
        <v>-4747.05</v>
      </c>
      <c r="O20" s="1484">
        <f t="shared" si="20"/>
        <v>-37976.400000000009</v>
      </c>
      <c r="P20" s="1484">
        <f t="shared" si="14"/>
        <v>1860843.6</v>
      </c>
      <c r="Q20" s="1484">
        <v>0</v>
      </c>
      <c r="R20" s="1485">
        <f t="shared" si="15"/>
        <v>1860843.6</v>
      </c>
      <c r="S20" s="1485">
        <f t="shared" si="16"/>
        <v>155070.30000000002</v>
      </c>
    </row>
    <row r="21" spans="1:19" ht="47.25" customHeight="1">
      <c r="A21" s="806">
        <v>366001</v>
      </c>
      <c r="B21" s="792" t="s">
        <v>1199</v>
      </c>
      <c r="C21" s="809">
        <f>'-'!G59</f>
        <v>103</v>
      </c>
      <c r="D21" s="1483">
        <f t="shared" si="9"/>
        <v>3493.4615493208294</v>
      </c>
      <c r="E21" s="1483">
        <f t="shared" si="21"/>
        <v>359827</v>
      </c>
      <c r="F21" s="1458">
        <v>746.0335616438357</v>
      </c>
      <c r="G21" s="1458">
        <f t="shared" si="22"/>
        <v>76841.456849315073</v>
      </c>
      <c r="H21" s="1459">
        <f t="shared" si="23"/>
        <v>436668.45684931509</v>
      </c>
      <c r="I21" s="1483">
        <v>0</v>
      </c>
      <c r="J21" s="1485">
        <f t="shared" si="24"/>
        <v>436668.45684931509</v>
      </c>
      <c r="K21" s="1484">
        <f>'[8]FY2012-13 Initial'!$K$43</f>
        <v>4785</v>
      </c>
      <c r="L21" s="1485">
        <f t="shared" si="13"/>
        <v>492855</v>
      </c>
      <c r="M21" s="1486">
        <f t="shared" si="18"/>
        <v>-8624.9625000000015</v>
      </c>
      <c r="N21" s="1486">
        <f t="shared" si="19"/>
        <v>-1232.1375</v>
      </c>
      <c r="O21" s="1484">
        <f t="shared" si="20"/>
        <v>-9857.1000000000022</v>
      </c>
      <c r="P21" s="1484">
        <f t="shared" si="14"/>
        <v>482997.9</v>
      </c>
      <c r="Q21" s="1484">
        <v>0</v>
      </c>
      <c r="R21" s="1485">
        <f t="shared" si="15"/>
        <v>482997.9</v>
      </c>
      <c r="S21" s="1485">
        <f t="shared" si="16"/>
        <v>40249.825000000004</v>
      </c>
    </row>
    <row r="22" spans="1:19" ht="30.75" customHeight="1">
      <c r="A22" s="806">
        <v>367001</v>
      </c>
      <c r="B22" s="792" t="s">
        <v>632</v>
      </c>
      <c r="C22" s="809">
        <f>'-'!G60</f>
        <v>364</v>
      </c>
      <c r="D22" s="1483">
        <f t="shared" si="9"/>
        <v>3493.4615493208294</v>
      </c>
      <c r="E22" s="1483">
        <f t="shared" si="21"/>
        <v>1271620</v>
      </c>
      <c r="F22" s="1458">
        <v>746.0335616438357</v>
      </c>
      <c r="G22" s="1458">
        <f t="shared" si="22"/>
        <v>271556.2164383562</v>
      </c>
      <c r="H22" s="1459">
        <f t="shared" si="23"/>
        <v>1543176.2164383563</v>
      </c>
      <c r="I22" s="1483">
        <v>-3307.3860911074221</v>
      </c>
      <c r="J22" s="1485">
        <f t="shared" si="24"/>
        <v>1539868.8303472488</v>
      </c>
      <c r="K22" s="1484">
        <f>'[8]FY2012-13 Initial'!$D$43</f>
        <v>4110</v>
      </c>
      <c r="L22" s="1485">
        <f t="shared" si="13"/>
        <v>1496040</v>
      </c>
      <c r="M22" s="1486">
        <f t="shared" si="18"/>
        <v>-26180.7</v>
      </c>
      <c r="N22" s="1486">
        <f t="shared" si="19"/>
        <v>-3740.1</v>
      </c>
      <c r="O22" s="1484">
        <f t="shared" si="20"/>
        <v>-29920.799999999999</v>
      </c>
      <c r="P22" s="1484">
        <f t="shared" si="14"/>
        <v>1466119.2</v>
      </c>
      <c r="Q22" s="1484">
        <v>0</v>
      </c>
      <c r="R22" s="1485">
        <f t="shared" si="15"/>
        <v>1466119.2</v>
      </c>
      <c r="S22" s="1485">
        <f t="shared" si="16"/>
        <v>122176.59999999999</v>
      </c>
    </row>
    <row r="23" spans="1:19" ht="30.75" customHeight="1">
      <c r="A23" s="806">
        <v>368001</v>
      </c>
      <c r="B23" s="792" t="s">
        <v>561</v>
      </c>
      <c r="C23" s="809">
        <f>'-'!G61</f>
        <v>200</v>
      </c>
      <c r="D23" s="1483">
        <f t="shared" si="9"/>
        <v>3493.4615493208294</v>
      </c>
      <c r="E23" s="1483">
        <f t="shared" si="21"/>
        <v>698692</v>
      </c>
      <c r="F23" s="1458">
        <v>746.0335616438357</v>
      </c>
      <c r="G23" s="1458">
        <f t="shared" si="22"/>
        <v>149206.71232876714</v>
      </c>
      <c r="H23" s="1459">
        <f t="shared" si="23"/>
        <v>847898.71232876717</v>
      </c>
      <c r="I23" s="1483">
        <v>7996.1213152309065</v>
      </c>
      <c r="J23" s="1485">
        <f t="shared" si="24"/>
        <v>855894.83364399802</v>
      </c>
      <c r="K23" s="1484">
        <f>'[8]FY2012-13 Initial'!$D$43</f>
        <v>4110</v>
      </c>
      <c r="L23" s="1485">
        <f t="shared" si="13"/>
        <v>822000</v>
      </c>
      <c r="M23" s="1486">
        <f t="shared" si="18"/>
        <v>-14385.000000000002</v>
      </c>
      <c r="N23" s="1486">
        <f t="shared" si="19"/>
        <v>-2055</v>
      </c>
      <c r="O23" s="1484">
        <f t="shared" si="20"/>
        <v>-16440</v>
      </c>
      <c r="P23" s="1484">
        <f t="shared" si="14"/>
        <v>805560</v>
      </c>
      <c r="Q23" s="1484">
        <v>8406</v>
      </c>
      <c r="R23" s="1485">
        <f t="shared" si="15"/>
        <v>813966</v>
      </c>
      <c r="S23" s="1485">
        <f t="shared" si="16"/>
        <v>67830.5</v>
      </c>
    </row>
    <row r="24" spans="1:19" ht="29.25">
      <c r="A24" s="806">
        <v>369001</v>
      </c>
      <c r="B24" s="792" t="s">
        <v>559</v>
      </c>
      <c r="C24" s="809">
        <f>'-'!G62</f>
        <v>581</v>
      </c>
      <c r="D24" s="1483">
        <f t="shared" si="9"/>
        <v>3493.4615493208294</v>
      </c>
      <c r="E24" s="1483">
        <f t="shared" si="21"/>
        <v>2029701</v>
      </c>
      <c r="F24" s="1458">
        <v>746.0335616438357</v>
      </c>
      <c r="G24" s="1458">
        <f t="shared" si="22"/>
        <v>433445.49931506853</v>
      </c>
      <c r="H24" s="1459">
        <f t="shared" si="23"/>
        <v>2463146.4993150686</v>
      </c>
      <c r="I24" s="1483">
        <v>-7464.7880192367847</v>
      </c>
      <c r="J24" s="1485">
        <f t="shared" si="24"/>
        <v>2455681.7112958319</v>
      </c>
      <c r="K24" s="1484">
        <f>'[8]FY2012-13 Initial'!$D$43</f>
        <v>4110</v>
      </c>
      <c r="L24" s="1485">
        <f t="shared" si="13"/>
        <v>2387910</v>
      </c>
      <c r="M24" s="1486">
        <f t="shared" si="18"/>
        <v>-41788.425000000003</v>
      </c>
      <c r="N24" s="1486">
        <f t="shared" si="19"/>
        <v>-5969.7750000000005</v>
      </c>
      <c r="O24" s="1484">
        <f t="shared" si="20"/>
        <v>-47758.200000000004</v>
      </c>
      <c r="P24" s="1484">
        <f t="shared" si="14"/>
        <v>2340151.7999999998</v>
      </c>
      <c r="Q24" s="1484">
        <v>-6554.5</v>
      </c>
      <c r="R24" s="1485">
        <f t="shared" si="15"/>
        <v>2333597.2999999998</v>
      </c>
      <c r="S24" s="1485">
        <f t="shared" si="16"/>
        <v>194466.44166666665</v>
      </c>
    </row>
    <row r="25" spans="1:19" ht="30.75" customHeight="1">
      <c r="A25" s="806">
        <v>369002</v>
      </c>
      <c r="B25" s="792" t="s">
        <v>560</v>
      </c>
      <c r="C25" s="809">
        <f>'-'!G63</f>
        <v>608</v>
      </c>
      <c r="D25" s="1483">
        <f t="shared" si="9"/>
        <v>3493.4615493208294</v>
      </c>
      <c r="E25" s="1483">
        <f t="shared" si="21"/>
        <v>2124025</v>
      </c>
      <c r="F25" s="1458">
        <v>746.0335616438357</v>
      </c>
      <c r="G25" s="1458">
        <f t="shared" si="22"/>
        <v>453588.40547945211</v>
      </c>
      <c r="H25" s="1459">
        <f t="shared" si="23"/>
        <v>2577613.4054794521</v>
      </c>
      <c r="I25" s="1483">
        <v>-13507.625357002464</v>
      </c>
      <c r="J25" s="1485">
        <f t="shared" si="24"/>
        <v>2564105.7801224496</v>
      </c>
      <c r="K25" s="1484">
        <f>'[8]FY2012-13 Initial'!$D$43</f>
        <v>4110</v>
      </c>
      <c r="L25" s="1485">
        <f t="shared" si="13"/>
        <v>2498880</v>
      </c>
      <c r="M25" s="1486">
        <f t="shared" si="18"/>
        <v>-43730.400000000001</v>
      </c>
      <c r="N25" s="1486">
        <f t="shared" si="19"/>
        <v>-6247.2</v>
      </c>
      <c r="O25" s="1484">
        <f t="shared" si="20"/>
        <v>-49977.599999999999</v>
      </c>
      <c r="P25" s="1484">
        <f t="shared" si="14"/>
        <v>2448902.4</v>
      </c>
      <c r="Q25" s="1484">
        <v>-4203</v>
      </c>
      <c r="R25" s="1485">
        <f t="shared" si="15"/>
        <v>2444699.4</v>
      </c>
      <c r="S25" s="1485">
        <f t="shared" si="16"/>
        <v>203724.94999999998</v>
      </c>
    </row>
    <row r="26" spans="1:19" ht="30.75" customHeight="1">
      <c r="A26" s="1103">
        <v>369003</v>
      </c>
      <c r="B26" s="1104" t="s">
        <v>703</v>
      </c>
      <c r="C26" s="809">
        <f>'-'!G64</f>
        <v>581</v>
      </c>
      <c r="D26" s="1483">
        <f t="shared" si="9"/>
        <v>3493.4615493208294</v>
      </c>
      <c r="E26" s="1483">
        <f t="shared" si="21"/>
        <v>2029701</v>
      </c>
      <c r="F26" s="1458">
        <v>746.0335616438357</v>
      </c>
      <c r="G26" s="1458">
        <f t="shared" si="22"/>
        <v>433445.49931506853</v>
      </c>
      <c r="H26" s="1459">
        <f t="shared" si="23"/>
        <v>2463146.4993150686</v>
      </c>
      <c r="I26" s="1483">
        <v>0</v>
      </c>
      <c r="J26" s="1485">
        <f t="shared" si="24"/>
        <v>2463146.4993150686</v>
      </c>
      <c r="K26" s="1484">
        <f>'[8]FY2012-13 Initial'!$D$43</f>
        <v>4110</v>
      </c>
      <c r="L26" s="1485">
        <f t="shared" si="13"/>
        <v>2387910</v>
      </c>
      <c r="M26" s="1486">
        <f t="shared" si="18"/>
        <v>-41788.425000000003</v>
      </c>
      <c r="N26" s="1486">
        <f t="shared" si="19"/>
        <v>-5969.7750000000005</v>
      </c>
      <c r="O26" s="1484">
        <f t="shared" si="20"/>
        <v>-47758.200000000004</v>
      </c>
      <c r="P26" s="1484">
        <f t="shared" si="14"/>
        <v>2340151.7999999998</v>
      </c>
      <c r="Q26" s="1484">
        <v>0</v>
      </c>
      <c r="R26" s="1485">
        <f t="shared" si="15"/>
        <v>2340151.7999999998</v>
      </c>
      <c r="S26" s="1485">
        <f t="shared" si="16"/>
        <v>195012.65</v>
      </c>
    </row>
    <row r="27" spans="1:19" ht="30.75" customHeight="1">
      <c r="A27" s="1103">
        <v>369004</v>
      </c>
      <c r="B27" s="1104" t="s">
        <v>728</v>
      </c>
      <c r="C27" s="809">
        <f>'-'!G65</f>
        <v>157</v>
      </c>
      <c r="D27" s="1483">
        <f t="shared" si="9"/>
        <v>3493.4615493208294</v>
      </c>
      <c r="E27" s="1483">
        <f t="shared" si="21"/>
        <v>548473</v>
      </c>
      <c r="F27" s="1458">
        <v>746.0335616438357</v>
      </c>
      <c r="G27" s="1458">
        <f t="shared" si="22"/>
        <v>117127.26917808221</v>
      </c>
      <c r="H27" s="1459">
        <f t="shared" si="23"/>
        <v>665600.26917808224</v>
      </c>
      <c r="I27" s="1483">
        <v>-19990.303288077288</v>
      </c>
      <c r="J27" s="1485">
        <f t="shared" si="24"/>
        <v>645609.965890005</v>
      </c>
      <c r="K27" s="1484">
        <f>'[8]FY2012-13 Initial'!$D$43</f>
        <v>4110</v>
      </c>
      <c r="L27" s="1485">
        <f t="shared" si="13"/>
        <v>645270</v>
      </c>
      <c r="M27" s="1486">
        <f t="shared" si="18"/>
        <v>-11292.225</v>
      </c>
      <c r="N27" s="1486">
        <f t="shared" si="19"/>
        <v>-1613.175</v>
      </c>
      <c r="O27" s="1484">
        <f t="shared" si="20"/>
        <v>-12905.4</v>
      </c>
      <c r="P27" s="1484">
        <f t="shared" si="14"/>
        <v>632364.6</v>
      </c>
      <c r="Q27" s="1484">
        <v>-21015</v>
      </c>
      <c r="R27" s="1485">
        <f t="shared" si="15"/>
        <v>611349.6</v>
      </c>
      <c r="S27" s="1485">
        <f t="shared" si="16"/>
        <v>50945.799999999996</v>
      </c>
    </row>
    <row r="28" spans="1:19" ht="30.75" customHeight="1">
      <c r="A28" s="1103">
        <v>369005</v>
      </c>
      <c r="B28" s="1104" t="s">
        <v>729</v>
      </c>
      <c r="C28" s="809">
        <f>'-'!G66</f>
        <v>139</v>
      </c>
      <c r="D28" s="1483">
        <f t="shared" si="9"/>
        <v>3493.4615493208294</v>
      </c>
      <c r="E28" s="1483">
        <f t="shared" si="21"/>
        <v>485591</v>
      </c>
      <c r="F28" s="1458">
        <v>746.0335616438357</v>
      </c>
      <c r="G28" s="1458">
        <f t="shared" si="22"/>
        <v>103698.66506849317</v>
      </c>
      <c r="H28" s="1459">
        <f t="shared" si="23"/>
        <v>589289.66506849322</v>
      </c>
      <c r="I28" s="1483">
        <v>0</v>
      </c>
      <c r="J28" s="1485">
        <f t="shared" si="24"/>
        <v>589289.66506849322</v>
      </c>
      <c r="K28" s="1484">
        <f>'[8]FY2012-13 Initial'!$D$43</f>
        <v>4110</v>
      </c>
      <c r="L28" s="1485">
        <f t="shared" si="13"/>
        <v>571290</v>
      </c>
      <c r="M28" s="1486">
        <f t="shared" si="18"/>
        <v>-9997.5750000000007</v>
      </c>
      <c r="N28" s="1486">
        <f t="shared" si="19"/>
        <v>-1428.2250000000001</v>
      </c>
      <c r="O28" s="1484">
        <f t="shared" si="20"/>
        <v>-11425.800000000001</v>
      </c>
      <c r="P28" s="1484">
        <f t="shared" si="14"/>
        <v>559864.19999999995</v>
      </c>
      <c r="Q28" s="1484">
        <v>0</v>
      </c>
      <c r="R28" s="1485">
        <f t="shared" si="15"/>
        <v>559864.19999999995</v>
      </c>
      <c r="S28" s="1485">
        <f t="shared" si="16"/>
        <v>46655.35</v>
      </c>
    </row>
    <row r="29" spans="1:19" ht="30.75" customHeight="1">
      <c r="A29" s="1103">
        <v>373001</v>
      </c>
      <c r="B29" s="1104" t="s">
        <v>650</v>
      </c>
      <c r="C29" s="809">
        <f>'-'!G67</f>
        <v>310</v>
      </c>
      <c r="D29" s="1483">
        <f t="shared" si="9"/>
        <v>3493.4615493208294</v>
      </c>
      <c r="E29" s="1483">
        <f t="shared" si="10"/>
        <v>1082973</v>
      </c>
      <c r="F29" s="1458">
        <v>746.0335616438357</v>
      </c>
      <c r="G29" s="1458">
        <f t="shared" si="11"/>
        <v>231270.40410958906</v>
      </c>
      <c r="H29" s="1459">
        <f t="shared" si="17"/>
        <v>1314243.4041095891</v>
      </c>
      <c r="I29" s="1484">
        <v>0</v>
      </c>
      <c r="J29" s="1485">
        <f t="shared" si="12"/>
        <v>1314243.4041095891</v>
      </c>
      <c r="K29" s="1484">
        <f>'[8]FY2012-13 Initial'!$D$43</f>
        <v>4110</v>
      </c>
      <c r="L29" s="1485">
        <f t="shared" si="13"/>
        <v>1274100</v>
      </c>
      <c r="M29" s="1486">
        <f t="shared" si="18"/>
        <v>-22296.750000000004</v>
      </c>
      <c r="N29" s="1486">
        <f t="shared" si="19"/>
        <v>-3185.25</v>
      </c>
      <c r="O29" s="1484">
        <f t="shared" si="20"/>
        <v>-25482.000000000004</v>
      </c>
      <c r="P29" s="1484">
        <f t="shared" si="14"/>
        <v>1248618</v>
      </c>
      <c r="Q29" s="1484">
        <v>0</v>
      </c>
      <c r="R29" s="1485">
        <f t="shared" si="15"/>
        <v>1248618</v>
      </c>
      <c r="S29" s="1485">
        <f t="shared" si="16"/>
        <v>104051.5</v>
      </c>
    </row>
    <row r="30" spans="1:19" ht="30.75" customHeight="1">
      <c r="A30" s="1103">
        <v>374001</v>
      </c>
      <c r="B30" s="1104" t="s">
        <v>651</v>
      </c>
      <c r="C30" s="809">
        <f>'-'!G68</f>
        <v>383</v>
      </c>
      <c r="D30" s="1483">
        <f t="shared" si="9"/>
        <v>3493.4615493208294</v>
      </c>
      <c r="E30" s="1483">
        <f t="shared" si="10"/>
        <v>1337996</v>
      </c>
      <c r="F30" s="1458">
        <v>746.0335616438357</v>
      </c>
      <c r="G30" s="1458">
        <f t="shared" si="11"/>
        <v>285730.85410958907</v>
      </c>
      <c r="H30" s="1459">
        <f t="shared" si="17"/>
        <v>1623726.854109589</v>
      </c>
      <c r="I30" s="1483">
        <v>-1557.5542760045093</v>
      </c>
      <c r="J30" s="1485">
        <f t="shared" si="12"/>
        <v>1622169.2998335846</v>
      </c>
      <c r="K30" s="1484">
        <f>'[8]FY2012-13 Initial'!$D$43</f>
        <v>4110</v>
      </c>
      <c r="L30" s="1485">
        <f t="shared" si="13"/>
        <v>1574130</v>
      </c>
      <c r="M30" s="1486">
        <f t="shared" si="18"/>
        <v>-27547.275000000001</v>
      </c>
      <c r="N30" s="1486">
        <f t="shared" si="19"/>
        <v>-3935.3250000000003</v>
      </c>
      <c r="O30" s="1484">
        <f t="shared" si="20"/>
        <v>-31482.600000000002</v>
      </c>
      <c r="P30" s="1484">
        <f t="shared" si="14"/>
        <v>1542647.4</v>
      </c>
      <c r="Q30" s="1484">
        <v>-2051.5</v>
      </c>
      <c r="R30" s="1485">
        <f t="shared" si="15"/>
        <v>1540595.9</v>
      </c>
      <c r="S30" s="1485">
        <f t="shared" si="16"/>
        <v>128382.99166666665</v>
      </c>
    </row>
    <row r="31" spans="1:19" ht="30.75" customHeight="1">
      <c r="A31" s="1103">
        <v>375001</v>
      </c>
      <c r="B31" s="1104" t="s">
        <v>1211</v>
      </c>
      <c r="C31" s="809">
        <f>'-'!G69</f>
        <v>304</v>
      </c>
      <c r="D31" s="1483">
        <f t="shared" si="9"/>
        <v>3493.4615493208294</v>
      </c>
      <c r="E31" s="1483">
        <f t="shared" si="10"/>
        <v>1062012</v>
      </c>
      <c r="F31" s="1458">
        <v>746.0335616438357</v>
      </c>
      <c r="G31" s="1458">
        <f t="shared" si="11"/>
        <v>226794.20273972605</v>
      </c>
      <c r="H31" s="1459">
        <f t="shared" si="17"/>
        <v>1288806.2027397261</v>
      </c>
      <c r="I31" s="1483">
        <v>-6188.2250055857421</v>
      </c>
      <c r="J31" s="1485">
        <f t="shared" si="12"/>
        <v>1282617.9777341404</v>
      </c>
      <c r="K31" s="1484">
        <f>'[8]FY2012-13 Initial'!$D$43</f>
        <v>4110</v>
      </c>
      <c r="L31" s="1485">
        <f t="shared" si="13"/>
        <v>1249440</v>
      </c>
      <c r="M31" s="1486">
        <f t="shared" si="18"/>
        <v>-21865.200000000001</v>
      </c>
      <c r="N31" s="1486">
        <f t="shared" si="19"/>
        <v>-3123.6</v>
      </c>
      <c r="O31" s="1484">
        <f t="shared" si="20"/>
        <v>-24988.799999999999</v>
      </c>
      <c r="P31" s="1484">
        <f t="shared" si="14"/>
        <v>1224451.2</v>
      </c>
      <c r="Q31" s="1484">
        <v>-2051.5</v>
      </c>
      <c r="R31" s="1485">
        <f t="shared" si="15"/>
        <v>1222399.7</v>
      </c>
      <c r="S31" s="1485">
        <f t="shared" si="16"/>
        <v>101866.64166666666</v>
      </c>
    </row>
    <row r="32" spans="1:19" ht="30.75" customHeight="1">
      <c r="A32" s="1103">
        <v>376001</v>
      </c>
      <c r="B32" s="1104" t="s">
        <v>652</v>
      </c>
      <c r="C32" s="809">
        <f>'-'!G70</f>
        <v>253</v>
      </c>
      <c r="D32" s="1483">
        <f t="shared" si="9"/>
        <v>3493.4615493208294</v>
      </c>
      <c r="E32" s="1483">
        <f t="shared" si="10"/>
        <v>883846</v>
      </c>
      <c r="F32" s="1458">
        <v>746.0335616438357</v>
      </c>
      <c r="G32" s="1458">
        <f t="shared" si="11"/>
        <v>188746.49109589044</v>
      </c>
      <c r="H32" s="1459">
        <f t="shared" si="17"/>
        <v>1072592.4910958905</v>
      </c>
      <c r="I32" s="1483">
        <v>0</v>
      </c>
      <c r="J32" s="1485">
        <f t="shared" si="12"/>
        <v>1072592.4910958905</v>
      </c>
      <c r="K32" s="1484">
        <f>'[8]FY2012-13 Initial'!$D$43</f>
        <v>4110</v>
      </c>
      <c r="L32" s="1485">
        <f t="shared" si="13"/>
        <v>1039830</v>
      </c>
      <c r="M32" s="1486">
        <f t="shared" si="18"/>
        <v>-18197.025000000001</v>
      </c>
      <c r="N32" s="1486">
        <f t="shared" si="19"/>
        <v>-2599.5750000000003</v>
      </c>
      <c r="O32" s="1484">
        <f t="shared" si="20"/>
        <v>-20796.600000000002</v>
      </c>
      <c r="P32" s="1484">
        <f t="shared" si="14"/>
        <v>1019033.4</v>
      </c>
      <c r="Q32" s="1484">
        <v>0</v>
      </c>
      <c r="R32" s="1485">
        <f t="shared" si="15"/>
        <v>1019033.4</v>
      </c>
      <c r="S32" s="1485">
        <f t="shared" si="16"/>
        <v>84919.45</v>
      </c>
    </row>
    <row r="33" spans="1:19" ht="30.75" customHeight="1">
      <c r="A33" s="806">
        <v>379001</v>
      </c>
      <c r="B33" s="792" t="s">
        <v>305</v>
      </c>
      <c r="C33" s="809">
        <f>'-'!G71</f>
        <v>210</v>
      </c>
      <c r="D33" s="1483">
        <f t="shared" si="9"/>
        <v>3493.4615493208294</v>
      </c>
      <c r="E33" s="1483">
        <f t="shared" si="10"/>
        <v>733627</v>
      </c>
      <c r="F33" s="1458">
        <v>926.66296296296309</v>
      </c>
      <c r="G33" s="1458">
        <f t="shared" si="11"/>
        <v>194599.22222222225</v>
      </c>
      <c r="H33" s="1459">
        <f t="shared" si="17"/>
        <v>928226.22222222225</v>
      </c>
      <c r="I33" s="1483">
        <v>-57.764957735931603</v>
      </c>
      <c r="J33" s="1485">
        <f t="shared" si="12"/>
        <v>928168.45726448635</v>
      </c>
      <c r="K33" s="1484">
        <f>'[8]FY2012-13 Initial'!$D$43</f>
        <v>4110</v>
      </c>
      <c r="L33" s="1485">
        <f t="shared" si="13"/>
        <v>863100</v>
      </c>
      <c r="M33" s="1486">
        <f t="shared" si="18"/>
        <v>-15104.250000000002</v>
      </c>
      <c r="N33" s="1486">
        <f t="shared" si="19"/>
        <v>-2157.75</v>
      </c>
      <c r="O33" s="1484">
        <f t="shared" si="20"/>
        <v>-17262</v>
      </c>
      <c r="P33" s="1484">
        <f t="shared" si="14"/>
        <v>845838</v>
      </c>
      <c r="Q33" s="1484">
        <v>-100</v>
      </c>
      <c r="R33" s="1485">
        <f t="shared" si="15"/>
        <v>845738</v>
      </c>
      <c r="S33" s="1485">
        <f t="shared" si="16"/>
        <v>70478.166666666672</v>
      </c>
    </row>
    <row r="34" spans="1:19" ht="30.75" customHeight="1">
      <c r="A34" s="806">
        <v>380001</v>
      </c>
      <c r="B34" s="792" t="s">
        <v>306</v>
      </c>
      <c r="C34" s="809">
        <f>'-'!G72</f>
        <v>419</v>
      </c>
      <c r="D34" s="1483">
        <f t="shared" si="9"/>
        <v>3493.4615493208294</v>
      </c>
      <c r="E34" s="1483">
        <f t="shared" si="10"/>
        <v>1463760</v>
      </c>
      <c r="F34" s="1458">
        <v>744.77798165137619</v>
      </c>
      <c r="G34" s="1458">
        <f t="shared" si="11"/>
        <v>312061.97431192663</v>
      </c>
      <c r="H34" s="1459">
        <f t="shared" si="17"/>
        <v>1775821.9743119266</v>
      </c>
      <c r="I34" s="1483">
        <v>0</v>
      </c>
      <c r="J34" s="1485">
        <f t="shared" si="12"/>
        <v>1775821.9743119266</v>
      </c>
      <c r="K34" s="1484">
        <f>'[8]FY2012-13 Initial'!$D$43</f>
        <v>4110</v>
      </c>
      <c r="L34" s="1485">
        <f t="shared" si="13"/>
        <v>1722090</v>
      </c>
      <c r="M34" s="1486">
        <f t="shared" si="18"/>
        <v>-30136.575000000004</v>
      </c>
      <c r="N34" s="1486">
        <f t="shared" si="19"/>
        <v>-4305.2250000000004</v>
      </c>
      <c r="O34" s="1484">
        <f t="shared" si="20"/>
        <v>-34441.800000000003</v>
      </c>
      <c r="P34" s="1484">
        <f t="shared" si="14"/>
        <v>1687648.2</v>
      </c>
      <c r="Q34" s="1484">
        <v>0</v>
      </c>
      <c r="R34" s="1485">
        <f t="shared" si="15"/>
        <v>1687648.2</v>
      </c>
      <c r="S34" s="1485">
        <f t="shared" si="16"/>
        <v>140637.35</v>
      </c>
    </row>
    <row r="35" spans="1:19" ht="33" customHeight="1">
      <c r="A35" s="806">
        <v>381001</v>
      </c>
      <c r="B35" s="792" t="s">
        <v>1298</v>
      </c>
      <c r="C35" s="809">
        <f>'-'!G73</f>
        <v>308</v>
      </c>
      <c r="D35" s="1517">
        <f t="shared" si="9"/>
        <v>3493.4615493208294</v>
      </c>
      <c r="E35" s="1517">
        <f t="shared" si="10"/>
        <v>1075986</v>
      </c>
      <c r="F35" s="1518">
        <v>743.65689655172423</v>
      </c>
      <c r="G35" s="1458">
        <f t="shared" si="11"/>
        <v>229046.32413793105</v>
      </c>
      <c r="H35" s="1459">
        <f t="shared" si="17"/>
        <v>1305032.324137931</v>
      </c>
      <c r="I35" s="1483">
        <v>0</v>
      </c>
      <c r="J35" s="1485">
        <f t="shared" si="12"/>
        <v>1305032.324137931</v>
      </c>
      <c r="K35" s="1484">
        <f>'[8]FY2012-13 Initial'!$D$43</f>
        <v>4110</v>
      </c>
      <c r="L35" s="1485">
        <f t="shared" si="13"/>
        <v>1265880</v>
      </c>
      <c r="M35" s="1486">
        <f t="shared" si="18"/>
        <v>-22152.9</v>
      </c>
      <c r="N35" s="1486">
        <f t="shared" si="19"/>
        <v>-3164.7000000000003</v>
      </c>
      <c r="O35" s="1484">
        <f t="shared" si="20"/>
        <v>-25317.600000000002</v>
      </c>
      <c r="P35" s="1484">
        <f t="shared" si="14"/>
        <v>1240562.3999999999</v>
      </c>
      <c r="Q35" s="1484">
        <v>0</v>
      </c>
      <c r="R35" s="1485">
        <f t="shared" si="15"/>
        <v>1240562.3999999999</v>
      </c>
      <c r="S35" s="1485">
        <f t="shared" si="16"/>
        <v>103380.2</v>
      </c>
    </row>
    <row r="36" spans="1:19" ht="30.75" customHeight="1">
      <c r="A36" s="806">
        <v>382001</v>
      </c>
      <c r="B36" s="792" t="s">
        <v>1312</v>
      </c>
      <c r="C36" s="809">
        <f>'-'!G74</f>
        <v>336</v>
      </c>
      <c r="D36" s="1483">
        <f t="shared" si="9"/>
        <v>3493.4615493208294</v>
      </c>
      <c r="E36" s="1483">
        <f t="shared" si="10"/>
        <v>1173803</v>
      </c>
      <c r="F36" s="1458">
        <v>783.54939759036142</v>
      </c>
      <c r="G36" s="1458">
        <f t="shared" si="11"/>
        <v>263272.59759036143</v>
      </c>
      <c r="H36" s="1459">
        <f t="shared" si="17"/>
        <v>1437075.5975903615</v>
      </c>
      <c r="I36" s="1483">
        <v>-1017.172158089008</v>
      </c>
      <c r="J36" s="1485">
        <f t="shared" si="12"/>
        <v>1436058.4254322725</v>
      </c>
      <c r="K36" s="1484">
        <f>'[8]FY2012-13 Initial'!$D$43</f>
        <v>4110</v>
      </c>
      <c r="L36" s="1485">
        <f t="shared" si="13"/>
        <v>1380960</v>
      </c>
      <c r="M36" s="1486">
        <f t="shared" si="18"/>
        <v>-24166.800000000003</v>
      </c>
      <c r="N36" s="1486">
        <f t="shared" si="19"/>
        <v>-3452.4</v>
      </c>
      <c r="O36" s="1484">
        <f t="shared" si="20"/>
        <v>-27619.200000000004</v>
      </c>
      <c r="P36" s="1484">
        <f t="shared" si="14"/>
        <v>1353340.8</v>
      </c>
      <c r="Q36" s="1484">
        <v>-4103</v>
      </c>
      <c r="R36" s="1485">
        <f t="shared" si="15"/>
        <v>1349237.8</v>
      </c>
      <c r="S36" s="1485">
        <f t="shared" si="16"/>
        <v>112436.48333333334</v>
      </c>
    </row>
    <row r="37" spans="1:19" ht="33" customHeight="1">
      <c r="A37" s="1103">
        <v>382002</v>
      </c>
      <c r="B37" s="1104" t="s">
        <v>786</v>
      </c>
      <c r="C37" s="1454">
        <v>120</v>
      </c>
      <c r="D37" s="1483">
        <f t="shared" si="9"/>
        <v>3493.4615493208294</v>
      </c>
      <c r="E37" s="1483">
        <f t="shared" ref="E37:E38" si="25">ROUND(C37*D37,0)</f>
        <v>419215</v>
      </c>
      <c r="F37" s="1458">
        <v>746.0335616438357</v>
      </c>
      <c r="G37" s="1458">
        <f t="shared" ref="G37:G38" si="26">F37*C37</f>
        <v>89524.027397260288</v>
      </c>
      <c r="H37" s="1459">
        <f t="shared" ref="H37:H38" si="27">E37+G37</f>
        <v>508739.0273972603</v>
      </c>
      <c r="I37" s="1483">
        <v>0</v>
      </c>
      <c r="J37" s="1485">
        <f t="shared" ref="J37:J38" si="28">H37+I37</f>
        <v>508739.0273972603</v>
      </c>
      <c r="K37" s="1484">
        <f>'[8]FY2012-13 Initial'!$D$43</f>
        <v>4110</v>
      </c>
      <c r="L37" s="1485">
        <f>C37*K37</f>
        <v>493200</v>
      </c>
      <c r="M37" s="1486">
        <f>-$M$5*L37</f>
        <v>-8631</v>
      </c>
      <c r="N37" s="1486">
        <f>-$N$5*L37</f>
        <v>-1233</v>
      </c>
      <c r="O37" s="1484">
        <f>M37+N37</f>
        <v>-9864</v>
      </c>
      <c r="P37" s="1484">
        <f>L37+O37</f>
        <v>483336</v>
      </c>
      <c r="Q37" s="1484">
        <v>0</v>
      </c>
      <c r="R37" s="1485">
        <f>SUM(P37:Q37)</f>
        <v>483336</v>
      </c>
      <c r="S37" s="1485">
        <f>R37/12</f>
        <v>40278</v>
      </c>
    </row>
    <row r="38" spans="1:19" ht="33" customHeight="1">
      <c r="A38" s="1103">
        <v>382003</v>
      </c>
      <c r="B38" s="1104" t="s">
        <v>1253</v>
      </c>
      <c r="C38" s="1454">
        <v>120</v>
      </c>
      <c r="D38" s="1483">
        <f t="shared" si="9"/>
        <v>3493.4615493208294</v>
      </c>
      <c r="E38" s="1483">
        <f t="shared" si="25"/>
        <v>419215</v>
      </c>
      <c r="F38" s="1458">
        <v>746.0335616438357</v>
      </c>
      <c r="G38" s="1458">
        <f t="shared" si="26"/>
        <v>89524.027397260288</v>
      </c>
      <c r="H38" s="1459">
        <f t="shared" si="27"/>
        <v>508739.0273972603</v>
      </c>
      <c r="I38" s="1483">
        <v>0</v>
      </c>
      <c r="J38" s="1485">
        <f t="shared" si="28"/>
        <v>508739.0273972603</v>
      </c>
      <c r="K38" s="1484">
        <f>'[8]FY2012-13 Initial'!$D$43</f>
        <v>4110</v>
      </c>
      <c r="L38" s="1485">
        <f>C38*K38</f>
        <v>493200</v>
      </c>
      <c r="M38" s="1486">
        <f>-$M$5*L38</f>
        <v>-8631</v>
      </c>
      <c r="N38" s="1486">
        <f>-$N$5*L38</f>
        <v>-1233</v>
      </c>
      <c r="O38" s="1484">
        <f>M38+N38</f>
        <v>-9864</v>
      </c>
      <c r="P38" s="1484">
        <f>L38+O38</f>
        <v>483336</v>
      </c>
      <c r="Q38" s="1484">
        <v>0</v>
      </c>
      <c r="R38" s="1485">
        <f>SUM(P38:Q38)</f>
        <v>483336</v>
      </c>
      <c r="S38" s="1485">
        <f>R38/12</f>
        <v>40278</v>
      </c>
    </row>
    <row r="39" spans="1:19" ht="30.75" customHeight="1">
      <c r="A39" s="806">
        <v>384001</v>
      </c>
      <c r="B39" s="792" t="s">
        <v>552</v>
      </c>
      <c r="C39" s="809">
        <f>'-'!G76</f>
        <v>526</v>
      </c>
      <c r="D39" s="1483">
        <f t="shared" si="9"/>
        <v>3493.4615493208294</v>
      </c>
      <c r="E39" s="1483">
        <f t="shared" si="10"/>
        <v>1837561</v>
      </c>
      <c r="F39" s="1458">
        <v>735.82244897959185</v>
      </c>
      <c r="G39" s="1458">
        <f t="shared" si="11"/>
        <v>387042.60816326534</v>
      </c>
      <c r="H39" s="1459">
        <f t="shared" si="17"/>
        <v>2224603.6081632655</v>
      </c>
      <c r="I39" s="1483">
        <v>-5771.3580955673315</v>
      </c>
      <c r="J39" s="1485">
        <f t="shared" si="12"/>
        <v>2218832.2500676983</v>
      </c>
      <c r="K39" s="1484">
        <f>'[8]FY2012-13 Initial'!$D$43</f>
        <v>4110</v>
      </c>
      <c r="L39" s="1485">
        <f t="shared" si="13"/>
        <v>2161860</v>
      </c>
      <c r="M39" s="1486">
        <f t="shared" si="18"/>
        <v>-37832.550000000003</v>
      </c>
      <c r="N39" s="1486">
        <f t="shared" si="19"/>
        <v>-5404.6500000000005</v>
      </c>
      <c r="O39" s="1484">
        <f t="shared" si="20"/>
        <v>-43237.200000000004</v>
      </c>
      <c r="P39" s="1484">
        <f t="shared" si="14"/>
        <v>2118622.7999999998</v>
      </c>
      <c r="Q39" s="1484">
        <v>-6654.5</v>
      </c>
      <c r="R39" s="1485">
        <f t="shared" si="15"/>
        <v>2111968.2999999998</v>
      </c>
      <c r="S39" s="1485">
        <f t="shared" si="16"/>
        <v>175997.35833333331</v>
      </c>
    </row>
    <row r="40" spans="1:19" ht="30.75" customHeight="1">
      <c r="A40" s="806">
        <v>385001</v>
      </c>
      <c r="B40" s="792" t="s">
        <v>307</v>
      </c>
      <c r="C40" s="809">
        <f>'-'!G77-350</f>
        <v>420</v>
      </c>
      <c r="D40" s="1483">
        <f t="shared" si="9"/>
        <v>3493.4615493208294</v>
      </c>
      <c r="E40" s="1483">
        <f t="shared" si="10"/>
        <v>1467254</v>
      </c>
      <c r="F40" s="1458">
        <v>618.75651162790689</v>
      </c>
      <c r="G40" s="1458">
        <f t="shared" si="11"/>
        <v>259877.7348837209</v>
      </c>
      <c r="H40" s="1459">
        <f t="shared" si="17"/>
        <v>1727131.734883721</v>
      </c>
      <c r="I40" s="1483">
        <v>-9602.6036842078665</v>
      </c>
      <c r="J40" s="1485">
        <f t="shared" si="12"/>
        <v>1717529.1311995131</v>
      </c>
      <c r="K40" s="1484">
        <f>'[8]FY2012-13 Initial'!$D$43</f>
        <v>4110</v>
      </c>
      <c r="L40" s="1485">
        <f t="shared" si="13"/>
        <v>1726200</v>
      </c>
      <c r="M40" s="1486">
        <f t="shared" si="18"/>
        <v>-30208.500000000004</v>
      </c>
      <c r="N40" s="1486">
        <f t="shared" si="19"/>
        <v>-4315.5</v>
      </c>
      <c r="O40" s="1484">
        <f t="shared" si="20"/>
        <v>-34524</v>
      </c>
      <c r="P40" s="1484">
        <f t="shared" si="14"/>
        <v>1691676</v>
      </c>
      <c r="Q40" s="1484">
        <v>-4103</v>
      </c>
      <c r="R40" s="1485">
        <f t="shared" si="15"/>
        <v>1687573</v>
      </c>
      <c r="S40" s="1485">
        <f t="shared" si="16"/>
        <v>140631.08333333334</v>
      </c>
    </row>
    <row r="41" spans="1:19" ht="30.75" customHeight="1">
      <c r="A41" s="806">
        <v>385002</v>
      </c>
      <c r="B41" s="792" t="s">
        <v>787</v>
      </c>
      <c r="C41" s="809">
        <f>340+230</f>
        <v>570</v>
      </c>
      <c r="D41" s="1483">
        <f t="shared" si="9"/>
        <v>3493.4615493208294</v>
      </c>
      <c r="E41" s="1483">
        <f t="shared" si="10"/>
        <v>1991273</v>
      </c>
      <c r="F41" s="1458">
        <v>746.0335616438357</v>
      </c>
      <c r="G41" s="1458">
        <f t="shared" si="11"/>
        <v>425239.13013698632</v>
      </c>
      <c r="H41" s="1459">
        <f t="shared" si="17"/>
        <v>2416512.1301369863</v>
      </c>
      <c r="I41" s="1483">
        <v>0</v>
      </c>
      <c r="J41" s="1485">
        <f t="shared" si="12"/>
        <v>2416512.1301369863</v>
      </c>
      <c r="K41" s="1484">
        <f>'[8]FY2012-13 Initial'!$D$43</f>
        <v>4110</v>
      </c>
      <c r="L41" s="1485">
        <f t="shared" si="13"/>
        <v>2342700</v>
      </c>
      <c r="M41" s="1486">
        <f t="shared" si="18"/>
        <v>-40997.250000000007</v>
      </c>
      <c r="N41" s="1486">
        <f t="shared" si="19"/>
        <v>-5856.75</v>
      </c>
      <c r="O41" s="1484">
        <f t="shared" si="20"/>
        <v>-46854.000000000007</v>
      </c>
      <c r="P41" s="1484">
        <f t="shared" si="14"/>
        <v>2295846</v>
      </c>
      <c r="Q41" s="1484"/>
      <c r="R41" s="1485">
        <f t="shared" si="15"/>
        <v>2295846</v>
      </c>
      <c r="S41" s="1485">
        <f t="shared" si="16"/>
        <v>191320.5</v>
      </c>
    </row>
    <row r="42" spans="1:19" ht="30.75" customHeight="1">
      <c r="A42" s="806">
        <v>388001</v>
      </c>
      <c r="B42" s="792" t="s">
        <v>308</v>
      </c>
      <c r="C42" s="809">
        <f>'-'!G79</f>
        <v>548</v>
      </c>
      <c r="D42" s="1483">
        <f t="shared" si="9"/>
        <v>3493.4615493208294</v>
      </c>
      <c r="E42" s="1483">
        <f t="shared" si="10"/>
        <v>1914417</v>
      </c>
      <c r="F42" s="1458">
        <v>708.2132751810401</v>
      </c>
      <c r="G42" s="1458">
        <f t="shared" si="11"/>
        <v>388100.87479921</v>
      </c>
      <c r="H42" s="1459">
        <f t="shared" si="17"/>
        <v>2302517.8747992101</v>
      </c>
      <c r="I42" s="1483">
        <v>-4018.0053288885883</v>
      </c>
      <c r="J42" s="1485">
        <f t="shared" si="12"/>
        <v>2298499.8694703216</v>
      </c>
      <c r="K42" s="1484">
        <f>'[8]FY2012-13 Initial'!$D$43</f>
        <v>4110</v>
      </c>
      <c r="L42" s="1485">
        <f t="shared" si="13"/>
        <v>2252280</v>
      </c>
      <c r="M42" s="1486">
        <f t="shared" si="18"/>
        <v>-39414.9</v>
      </c>
      <c r="N42" s="1486">
        <f t="shared" si="19"/>
        <v>-5630.7</v>
      </c>
      <c r="O42" s="1484">
        <f t="shared" si="20"/>
        <v>-45045.599999999999</v>
      </c>
      <c r="P42" s="1484">
        <f t="shared" si="14"/>
        <v>2207234.4</v>
      </c>
      <c r="Q42" s="1484">
        <v>-4303</v>
      </c>
      <c r="R42" s="1485">
        <f t="shared" si="15"/>
        <v>2202931.4</v>
      </c>
      <c r="S42" s="1485">
        <f t="shared" si="16"/>
        <v>183577.61666666667</v>
      </c>
    </row>
    <row r="43" spans="1:19" ht="44.25" customHeight="1">
      <c r="A43" s="806">
        <v>390001</v>
      </c>
      <c r="B43" s="792" t="s">
        <v>1200</v>
      </c>
      <c r="C43" s="809">
        <f>'-'!G80</f>
        <v>667</v>
      </c>
      <c r="D43" s="1483">
        <f t="shared" si="9"/>
        <v>3493.4615493208294</v>
      </c>
      <c r="E43" s="1483">
        <f t="shared" si="10"/>
        <v>2330139</v>
      </c>
      <c r="F43" s="1458">
        <v>650.55234865477053</v>
      </c>
      <c r="G43" s="1458">
        <f t="shared" si="11"/>
        <v>433918.41655273194</v>
      </c>
      <c r="H43" s="1459">
        <f t="shared" si="17"/>
        <v>2764057.4165527318</v>
      </c>
      <c r="I43" s="1483">
        <v>-3307.3860911074221</v>
      </c>
      <c r="J43" s="1485">
        <f t="shared" si="12"/>
        <v>2760750.0304616243</v>
      </c>
      <c r="K43" s="1484">
        <f>'[8]FY2012-13 Initial'!$K$43</f>
        <v>4785</v>
      </c>
      <c r="L43" s="1485">
        <f t="shared" si="13"/>
        <v>3191595</v>
      </c>
      <c r="M43" s="1486">
        <f t="shared" si="18"/>
        <v>-55852.912500000006</v>
      </c>
      <c r="N43" s="1486">
        <f t="shared" si="19"/>
        <v>-7978.9875000000002</v>
      </c>
      <c r="O43" s="1484">
        <f t="shared" si="20"/>
        <v>-63831.900000000009</v>
      </c>
      <c r="P43" s="1484">
        <f t="shared" si="14"/>
        <v>3127763.1</v>
      </c>
      <c r="Q43" s="1484">
        <v>0</v>
      </c>
      <c r="R43" s="1485">
        <f t="shared" si="15"/>
        <v>3127763.1</v>
      </c>
      <c r="S43" s="1485">
        <f t="shared" si="16"/>
        <v>260646.92500000002</v>
      </c>
    </row>
    <row r="44" spans="1:19" ht="30.75" customHeight="1">
      <c r="A44" s="806">
        <v>391001</v>
      </c>
      <c r="B44" s="792" t="s">
        <v>321</v>
      </c>
      <c r="C44" s="809">
        <f>'-'!G81</f>
        <v>686</v>
      </c>
      <c r="D44" s="1483">
        <f t="shared" si="9"/>
        <v>3493.4615493208294</v>
      </c>
      <c r="E44" s="1483">
        <f t="shared" si="10"/>
        <v>2396515</v>
      </c>
      <c r="F44" s="1458">
        <v>721.28337970262919</v>
      </c>
      <c r="G44" s="1458">
        <f t="shared" si="11"/>
        <v>494800.39847600361</v>
      </c>
      <c r="H44" s="1459">
        <f t="shared" si="17"/>
        <v>2891315.3984760037</v>
      </c>
      <c r="I44" s="1483">
        <v>-2868.4638235076786</v>
      </c>
      <c r="J44" s="1485">
        <f t="shared" si="12"/>
        <v>2888446.9346524961</v>
      </c>
      <c r="K44" s="1484">
        <f>'[8]FY2012-13 Initial'!$D$43</f>
        <v>4110</v>
      </c>
      <c r="L44" s="1485">
        <f t="shared" si="13"/>
        <v>2819460</v>
      </c>
      <c r="M44" s="1486">
        <f t="shared" si="18"/>
        <v>-49340.55</v>
      </c>
      <c r="N44" s="1486">
        <f t="shared" si="19"/>
        <v>-7048.6500000000005</v>
      </c>
      <c r="O44" s="1484">
        <f t="shared" si="20"/>
        <v>-56389.200000000004</v>
      </c>
      <c r="P44" s="1484">
        <f t="shared" si="14"/>
        <v>2763070.8</v>
      </c>
      <c r="Q44" s="1484">
        <v>-2051.5</v>
      </c>
      <c r="R44" s="1485">
        <f t="shared" si="15"/>
        <v>2761019.3</v>
      </c>
      <c r="S44" s="1485">
        <f t="shared" si="16"/>
        <v>230084.94166666665</v>
      </c>
    </row>
    <row r="45" spans="1:19" ht="30.75" customHeight="1">
      <c r="A45" s="806">
        <v>391002</v>
      </c>
      <c r="B45" s="792" t="s">
        <v>785</v>
      </c>
      <c r="C45" s="809">
        <v>420</v>
      </c>
      <c r="D45" s="1483">
        <f t="shared" si="9"/>
        <v>3493.4615493208294</v>
      </c>
      <c r="E45" s="1483">
        <f t="shared" si="10"/>
        <v>1467254</v>
      </c>
      <c r="F45" s="1458">
        <v>746.0335616438357</v>
      </c>
      <c r="G45" s="1458">
        <f t="shared" ref="G45" si="29">F45*C45</f>
        <v>313334.095890411</v>
      </c>
      <c r="H45" s="1459">
        <f t="shared" ref="H45" si="30">E45+G45</f>
        <v>1780588.0958904109</v>
      </c>
      <c r="I45" s="1483">
        <v>0</v>
      </c>
      <c r="J45" s="1485">
        <f t="shared" si="12"/>
        <v>1780588.0958904109</v>
      </c>
      <c r="K45" s="1484">
        <f>'[8]FY2012-13 Initial'!$D$43</f>
        <v>4110</v>
      </c>
      <c r="L45" s="1485">
        <f t="shared" si="13"/>
        <v>1726200</v>
      </c>
      <c r="M45" s="1486">
        <f t="shared" si="18"/>
        <v>-30208.500000000004</v>
      </c>
      <c r="N45" s="1486">
        <f t="shared" si="19"/>
        <v>-4315.5</v>
      </c>
      <c r="O45" s="1484">
        <f t="shared" si="20"/>
        <v>-34524</v>
      </c>
      <c r="P45" s="1484">
        <f t="shared" si="14"/>
        <v>1691676</v>
      </c>
      <c r="Q45" s="1484"/>
      <c r="R45" s="1485">
        <f t="shared" si="15"/>
        <v>1691676</v>
      </c>
      <c r="S45" s="1485">
        <f t="shared" si="16"/>
        <v>140973</v>
      </c>
    </row>
    <row r="46" spans="1:19" ht="30.75" customHeight="1">
      <c r="A46" s="806">
        <v>392001</v>
      </c>
      <c r="B46" s="792" t="s">
        <v>320</v>
      </c>
      <c r="C46" s="809">
        <f>'-'!G82</f>
        <v>399</v>
      </c>
      <c r="D46" s="1483">
        <f t="shared" si="9"/>
        <v>3493.4615493208294</v>
      </c>
      <c r="E46" s="1483">
        <f t="shared" si="10"/>
        <v>1393891</v>
      </c>
      <c r="F46" s="1458">
        <v>600.21655982905986</v>
      </c>
      <c r="G46" s="1458">
        <f t="shared" si="11"/>
        <v>239486.40737179489</v>
      </c>
      <c r="H46" s="1459">
        <f t="shared" si="17"/>
        <v>1633377.4073717948</v>
      </c>
      <c r="I46" s="1483">
        <v>-2012.7692645042325</v>
      </c>
      <c r="J46" s="1485">
        <f t="shared" si="12"/>
        <v>1631364.6381072905</v>
      </c>
      <c r="K46" s="1484">
        <f>'[8]FY2012-13 Initial'!$D$43</f>
        <v>4110</v>
      </c>
      <c r="L46" s="1485">
        <f t="shared" si="13"/>
        <v>1639890</v>
      </c>
      <c r="M46" s="1486">
        <f t="shared" si="18"/>
        <v>-28698.075000000004</v>
      </c>
      <c r="N46" s="1486">
        <f t="shared" si="19"/>
        <v>-4099.7250000000004</v>
      </c>
      <c r="O46" s="1484">
        <f t="shared" si="20"/>
        <v>-32797.800000000003</v>
      </c>
      <c r="P46" s="1484">
        <f t="shared" si="14"/>
        <v>1607092.2</v>
      </c>
      <c r="Q46" s="1484">
        <v>-2251.5</v>
      </c>
      <c r="R46" s="1485">
        <f t="shared" si="15"/>
        <v>1604840.7</v>
      </c>
      <c r="S46" s="1485">
        <f t="shared" si="16"/>
        <v>133736.72500000001</v>
      </c>
    </row>
    <row r="47" spans="1:19" ht="30.75" customHeight="1">
      <c r="A47" s="806">
        <v>393001</v>
      </c>
      <c r="B47" s="792" t="s">
        <v>319</v>
      </c>
      <c r="C47" s="809">
        <f>'-'!G83</f>
        <v>785</v>
      </c>
      <c r="D47" s="1483">
        <f t="shared" si="9"/>
        <v>3493.4615493208294</v>
      </c>
      <c r="E47" s="1483">
        <f t="shared" si="10"/>
        <v>2742367</v>
      </c>
      <c r="F47" s="1458">
        <v>776.90344307346322</v>
      </c>
      <c r="G47" s="1458">
        <f t="shared" si="11"/>
        <v>609869.20281266863</v>
      </c>
      <c r="H47" s="1459">
        <f t="shared" si="17"/>
        <v>3352236.2028126689</v>
      </c>
      <c r="I47" s="1483">
        <v>-4028.9305390450827</v>
      </c>
      <c r="J47" s="1485">
        <f t="shared" si="12"/>
        <v>3348207.2722736239</v>
      </c>
      <c r="K47" s="1484">
        <f>'[8]FY2012-13 Initial'!$D$43</f>
        <v>4110</v>
      </c>
      <c r="L47" s="1485">
        <f t="shared" si="13"/>
        <v>3226350</v>
      </c>
      <c r="M47" s="1486">
        <f t="shared" si="18"/>
        <v>-56461.125000000007</v>
      </c>
      <c r="N47" s="1486">
        <f t="shared" si="19"/>
        <v>-8065.875</v>
      </c>
      <c r="O47" s="1484">
        <f t="shared" si="20"/>
        <v>-64527.000000000007</v>
      </c>
      <c r="P47" s="1484">
        <f t="shared" si="14"/>
        <v>3161823</v>
      </c>
      <c r="Q47" s="1484">
        <v>-4203</v>
      </c>
      <c r="R47" s="1485">
        <f t="shared" si="15"/>
        <v>3157620</v>
      </c>
      <c r="S47" s="1485">
        <f t="shared" si="16"/>
        <v>263135</v>
      </c>
    </row>
    <row r="48" spans="1:19" ht="30.75" customHeight="1">
      <c r="A48" s="806">
        <v>393002</v>
      </c>
      <c r="B48" s="792" t="s">
        <v>653</v>
      </c>
      <c r="C48" s="809">
        <f>'-'!G84</f>
        <v>422</v>
      </c>
      <c r="D48" s="1483">
        <f t="shared" si="9"/>
        <v>3493.4615493208294</v>
      </c>
      <c r="E48" s="1483">
        <f>ROUND(C48*D48,0)</f>
        <v>1474241</v>
      </c>
      <c r="F48" s="1458">
        <v>642.89065513553726</v>
      </c>
      <c r="G48" s="1458">
        <f>F48*C48</f>
        <v>271299.85646719672</v>
      </c>
      <c r="H48" s="1459">
        <f>E48+G48</f>
        <v>1745540.8564671967</v>
      </c>
      <c r="I48" s="1483">
        <v>-3299.625992895325</v>
      </c>
      <c r="J48" s="1485">
        <f>H48+I48</f>
        <v>1742241.2304743014</v>
      </c>
      <c r="K48" s="1484">
        <f>'[8]FY2012-13 Initial'!$D$43</f>
        <v>4110</v>
      </c>
      <c r="L48" s="1485">
        <f t="shared" si="13"/>
        <v>1734420</v>
      </c>
      <c r="M48" s="1486">
        <f t="shared" si="18"/>
        <v>-30352.350000000002</v>
      </c>
      <c r="N48" s="1486">
        <f t="shared" si="19"/>
        <v>-4336.05</v>
      </c>
      <c r="O48" s="1484">
        <f t="shared" si="20"/>
        <v>-34688.400000000001</v>
      </c>
      <c r="P48" s="1484">
        <f t="shared" si="14"/>
        <v>1699731.6</v>
      </c>
      <c r="Q48" s="1484">
        <v>-2151.5</v>
      </c>
      <c r="R48" s="1485">
        <f t="shared" si="15"/>
        <v>1697580.1</v>
      </c>
      <c r="S48" s="1485">
        <f t="shared" si="16"/>
        <v>141465.00833333333</v>
      </c>
    </row>
    <row r="49" spans="1:26" s="1487" customFormat="1" ht="30.75" customHeight="1">
      <c r="A49" s="806">
        <v>393003</v>
      </c>
      <c r="B49" s="792" t="s">
        <v>788</v>
      </c>
      <c r="C49" s="809">
        <f>'-'!G85</f>
        <v>480</v>
      </c>
      <c r="D49" s="1483">
        <f t="shared" si="9"/>
        <v>3493.4615493208294</v>
      </c>
      <c r="E49" s="1483">
        <f t="shared" si="10"/>
        <v>1676862</v>
      </c>
      <c r="F49" s="1458">
        <v>746.0335616438357</v>
      </c>
      <c r="G49" s="1458">
        <f t="shared" si="11"/>
        <v>358096.10958904115</v>
      </c>
      <c r="H49" s="1459">
        <f t="shared" si="17"/>
        <v>2034958.1095890412</v>
      </c>
      <c r="I49" s="1483"/>
      <c r="J49" s="1485">
        <f t="shared" si="12"/>
        <v>2034958.1095890412</v>
      </c>
      <c r="K49" s="1484">
        <f>'[8]FY2012-13 Initial'!$D$43</f>
        <v>4110</v>
      </c>
      <c r="L49" s="1485">
        <f t="shared" si="13"/>
        <v>1972800</v>
      </c>
      <c r="M49" s="1486">
        <f t="shared" si="18"/>
        <v>-34524</v>
      </c>
      <c r="N49" s="1486">
        <f t="shared" si="19"/>
        <v>-4932</v>
      </c>
      <c r="O49" s="1484">
        <f t="shared" si="20"/>
        <v>-39456</v>
      </c>
      <c r="P49" s="1484">
        <f t="shared" si="14"/>
        <v>1933344</v>
      </c>
      <c r="Q49" s="1484"/>
      <c r="R49" s="1485">
        <f t="shared" si="15"/>
        <v>1933344</v>
      </c>
      <c r="S49" s="1485">
        <f t="shared" si="16"/>
        <v>161112</v>
      </c>
      <c r="T49" s="1602"/>
      <c r="U49" s="1602"/>
      <c r="V49" s="1602"/>
      <c r="W49" s="1602"/>
      <c r="X49" s="1602"/>
      <c r="Y49" s="1602"/>
      <c r="Z49" s="1602"/>
    </row>
    <row r="50" spans="1:26" ht="30.75" customHeight="1">
      <c r="A50" s="806">
        <v>395001</v>
      </c>
      <c r="B50" s="792" t="s">
        <v>314</v>
      </c>
      <c r="C50" s="809">
        <f>'-'!G86</f>
        <v>641</v>
      </c>
      <c r="D50" s="1483">
        <f t="shared" si="9"/>
        <v>3493.4615493208294</v>
      </c>
      <c r="E50" s="1483">
        <f t="shared" si="10"/>
        <v>2239309</v>
      </c>
      <c r="F50" s="1458">
        <v>678.38194087511556</v>
      </c>
      <c r="G50" s="1458">
        <f t="shared" si="11"/>
        <v>434842.8241009491</v>
      </c>
      <c r="H50" s="1459">
        <f t="shared" si="17"/>
        <v>2674151.8241009489</v>
      </c>
      <c r="I50" s="1483">
        <v>-4831.1145567275616</v>
      </c>
      <c r="J50" s="1485">
        <f t="shared" si="12"/>
        <v>2669320.7095442214</v>
      </c>
      <c r="K50" s="1484">
        <f>'[8]FY2012-13 Initial'!$D$43</f>
        <v>4110</v>
      </c>
      <c r="L50" s="1485">
        <f t="shared" si="13"/>
        <v>2634510</v>
      </c>
      <c r="M50" s="1486">
        <f t="shared" si="18"/>
        <v>-46103.925000000003</v>
      </c>
      <c r="N50" s="1486">
        <f t="shared" si="19"/>
        <v>-6586.2750000000005</v>
      </c>
      <c r="O50" s="1484">
        <f t="shared" si="20"/>
        <v>-52690.200000000004</v>
      </c>
      <c r="P50" s="1484">
        <f t="shared" si="14"/>
        <v>2581819.7999999998</v>
      </c>
      <c r="Q50" s="1484">
        <v>-2051.5</v>
      </c>
      <c r="R50" s="1485">
        <f t="shared" si="15"/>
        <v>2579768.2999999998</v>
      </c>
      <c r="S50" s="1485">
        <f t="shared" si="16"/>
        <v>214980.69166666665</v>
      </c>
    </row>
    <row r="51" spans="1:26" ht="30.75" customHeight="1">
      <c r="A51" s="806">
        <v>395002</v>
      </c>
      <c r="B51" s="792" t="s">
        <v>315</v>
      </c>
      <c r="C51" s="809">
        <f>'-'!G87</f>
        <v>592</v>
      </c>
      <c r="D51" s="1483">
        <f t="shared" si="9"/>
        <v>3493.4615493208294</v>
      </c>
      <c r="E51" s="1483">
        <f t="shared" si="10"/>
        <v>2068129</v>
      </c>
      <c r="F51" s="1458">
        <v>686.92241021135874</v>
      </c>
      <c r="G51" s="1458">
        <f t="shared" si="11"/>
        <v>406658.06684512435</v>
      </c>
      <c r="H51" s="1459">
        <f t="shared" si="17"/>
        <v>2474787.0668451246</v>
      </c>
      <c r="I51" s="1483">
        <v>-13433.516585811494</v>
      </c>
      <c r="J51" s="1485">
        <f t="shared" si="12"/>
        <v>2461353.5502593131</v>
      </c>
      <c r="K51" s="1484">
        <f>'[8]FY2012-13 Initial'!$D$43</f>
        <v>4110</v>
      </c>
      <c r="L51" s="1485">
        <f t="shared" si="13"/>
        <v>2433120</v>
      </c>
      <c r="M51" s="1486">
        <f t="shared" si="18"/>
        <v>-42579.600000000006</v>
      </c>
      <c r="N51" s="1486">
        <f t="shared" si="19"/>
        <v>-6082.8</v>
      </c>
      <c r="O51" s="1484">
        <f t="shared" si="20"/>
        <v>-48662.400000000009</v>
      </c>
      <c r="P51" s="1484">
        <f t="shared" si="14"/>
        <v>2384457.6</v>
      </c>
      <c r="Q51" s="1484">
        <v>-10557.5</v>
      </c>
      <c r="R51" s="1485">
        <f t="shared" si="15"/>
        <v>2373900.1</v>
      </c>
      <c r="S51" s="1485">
        <f t="shared" si="16"/>
        <v>197825.00833333333</v>
      </c>
    </row>
    <row r="52" spans="1:26" ht="30.75" customHeight="1">
      <c r="A52" s="806">
        <v>395003</v>
      </c>
      <c r="B52" s="792" t="s">
        <v>316</v>
      </c>
      <c r="C52" s="809">
        <f>'-'!G88</f>
        <v>610</v>
      </c>
      <c r="D52" s="1483">
        <f t="shared" si="9"/>
        <v>3493.4615493208294</v>
      </c>
      <c r="E52" s="1483">
        <f t="shared" si="10"/>
        <v>2131012</v>
      </c>
      <c r="F52" s="1458">
        <v>761.3587570202327</v>
      </c>
      <c r="G52" s="1458">
        <f t="shared" si="11"/>
        <v>464428.84178234194</v>
      </c>
      <c r="H52" s="1459">
        <f t="shared" si="17"/>
        <v>2595440.8417823417</v>
      </c>
      <c r="I52" s="1483">
        <v>-25409.890761430594</v>
      </c>
      <c r="J52" s="1485">
        <f t="shared" si="12"/>
        <v>2570030.9510209113</v>
      </c>
      <c r="K52" s="1484">
        <f>'[8]FY2012-13 Initial'!$D$43</f>
        <v>4110</v>
      </c>
      <c r="L52" s="1485">
        <f t="shared" si="13"/>
        <v>2507100</v>
      </c>
      <c r="M52" s="1486">
        <f t="shared" si="18"/>
        <v>-43874.250000000007</v>
      </c>
      <c r="N52" s="1486">
        <f t="shared" si="19"/>
        <v>-6267.75</v>
      </c>
      <c r="O52" s="1484">
        <f t="shared" si="20"/>
        <v>-50142.000000000007</v>
      </c>
      <c r="P52" s="1484">
        <f t="shared" si="14"/>
        <v>2456958</v>
      </c>
      <c r="Q52" s="1484">
        <v>-23166.5</v>
      </c>
      <c r="R52" s="1485">
        <f t="shared" si="15"/>
        <v>2433791.5</v>
      </c>
      <c r="S52" s="1485">
        <f t="shared" si="16"/>
        <v>202815.95833333334</v>
      </c>
    </row>
    <row r="53" spans="1:26" ht="30.75" customHeight="1">
      <c r="A53" s="806">
        <v>395004</v>
      </c>
      <c r="B53" s="792" t="s">
        <v>317</v>
      </c>
      <c r="C53" s="809">
        <f>'-'!G89</f>
        <v>471</v>
      </c>
      <c r="D53" s="1483">
        <f t="shared" si="9"/>
        <v>3493.4615493208294</v>
      </c>
      <c r="E53" s="1483">
        <f t="shared" si="10"/>
        <v>1645420</v>
      </c>
      <c r="F53" s="1458">
        <v>1003.4698393033485</v>
      </c>
      <c r="G53" s="1458">
        <f t="shared" si="11"/>
        <v>472634.29431187717</v>
      </c>
      <c r="H53" s="1459">
        <f t="shared" si="17"/>
        <v>2118054.2943118773</v>
      </c>
      <c r="I53" s="1483">
        <v>-28217.824855321145</v>
      </c>
      <c r="J53" s="1485">
        <f t="shared" si="12"/>
        <v>2089836.4694565563</v>
      </c>
      <c r="K53" s="1484">
        <f>'[8]FY2012-13 Initial'!$D$43</f>
        <v>4110</v>
      </c>
      <c r="L53" s="1485">
        <f t="shared" si="13"/>
        <v>1935810</v>
      </c>
      <c r="M53" s="1486">
        <f t="shared" si="18"/>
        <v>-33876.675000000003</v>
      </c>
      <c r="N53" s="1486">
        <f t="shared" si="19"/>
        <v>-4839.5250000000005</v>
      </c>
      <c r="O53" s="1484">
        <f t="shared" si="20"/>
        <v>-38716.200000000004</v>
      </c>
      <c r="P53" s="1484">
        <f t="shared" si="14"/>
        <v>1897093.8</v>
      </c>
      <c r="Q53" s="1484">
        <v>-18863.5</v>
      </c>
      <c r="R53" s="1485">
        <f t="shared" si="15"/>
        <v>1878230.3</v>
      </c>
      <c r="S53" s="1485">
        <f t="shared" si="16"/>
        <v>156519.19166666668</v>
      </c>
    </row>
    <row r="54" spans="1:26" ht="30.75" customHeight="1">
      <c r="A54" s="806">
        <v>395005</v>
      </c>
      <c r="B54" s="792" t="s">
        <v>318</v>
      </c>
      <c r="C54" s="809">
        <f>'-'!G90</f>
        <v>858</v>
      </c>
      <c r="D54" s="1483">
        <f t="shared" si="9"/>
        <v>3493.4615493208294</v>
      </c>
      <c r="E54" s="1483">
        <f t="shared" si="10"/>
        <v>2997390</v>
      </c>
      <c r="F54" s="1458">
        <v>592.05529010815155</v>
      </c>
      <c r="G54" s="1458">
        <f t="shared" si="11"/>
        <v>507983.43891279405</v>
      </c>
      <c r="H54" s="1459">
        <f t="shared" si="17"/>
        <v>3505373.438912794</v>
      </c>
      <c r="I54" s="1483">
        <v>-34130.720163278726</v>
      </c>
      <c r="J54" s="1485">
        <f t="shared" si="12"/>
        <v>3471242.7187495152</v>
      </c>
      <c r="K54" s="1484">
        <f>'[8]FY2012-13 Initial'!$D$43</f>
        <v>4110</v>
      </c>
      <c r="L54" s="1485">
        <f t="shared" si="13"/>
        <v>3526380</v>
      </c>
      <c r="M54" s="1486">
        <f t="shared" si="18"/>
        <v>-61711.650000000009</v>
      </c>
      <c r="N54" s="1486">
        <f t="shared" si="19"/>
        <v>-8815.9500000000007</v>
      </c>
      <c r="O54" s="1484">
        <f t="shared" si="20"/>
        <v>-70527.600000000006</v>
      </c>
      <c r="P54" s="1484">
        <f t="shared" si="14"/>
        <v>3455852.4</v>
      </c>
      <c r="Q54" s="1484">
        <v>-20715</v>
      </c>
      <c r="R54" s="1485">
        <f t="shared" si="15"/>
        <v>3435137.4</v>
      </c>
      <c r="S54" s="1485">
        <f t="shared" si="16"/>
        <v>286261.45</v>
      </c>
    </row>
    <row r="55" spans="1:26" ht="30.75" customHeight="1">
      <c r="A55" s="806">
        <v>395007</v>
      </c>
      <c r="B55" s="792" t="s">
        <v>313</v>
      </c>
      <c r="C55" s="809">
        <f>'-'!G91</f>
        <v>278</v>
      </c>
      <c r="D55" s="1483">
        <f t="shared" si="9"/>
        <v>3493.4615493208294</v>
      </c>
      <c r="E55" s="1483">
        <f t="shared" si="10"/>
        <v>971182</v>
      </c>
      <c r="F55" s="1458">
        <v>907.69666061705993</v>
      </c>
      <c r="G55" s="1458">
        <f t="shared" si="11"/>
        <v>252339.67165154265</v>
      </c>
      <c r="H55" s="1459">
        <f t="shared" si="17"/>
        <v>1223521.6716515427</v>
      </c>
      <c r="I55" s="1483">
        <v>-48373.316151059538</v>
      </c>
      <c r="J55" s="1485">
        <f t="shared" si="12"/>
        <v>1175148.3555004832</v>
      </c>
      <c r="K55" s="1484">
        <f>'[8]FY2012-13 Initial'!$D$43</f>
        <v>4110</v>
      </c>
      <c r="L55" s="1485">
        <f t="shared" si="13"/>
        <v>1142580</v>
      </c>
      <c r="M55" s="1486">
        <f t="shared" si="18"/>
        <v>-19995.150000000001</v>
      </c>
      <c r="N55" s="1486">
        <f t="shared" si="19"/>
        <v>-2856.4500000000003</v>
      </c>
      <c r="O55" s="1484">
        <f t="shared" si="20"/>
        <v>-22851.600000000002</v>
      </c>
      <c r="P55" s="1484">
        <f t="shared" si="14"/>
        <v>1119728.3999999999</v>
      </c>
      <c r="Q55" s="1484">
        <v>-44381.5</v>
      </c>
      <c r="R55" s="1485">
        <f t="shared" si="15"/>
        <v>1075346.8999999999</v>
      </c>
      <c r="S55" s="1485">
        <f t="shared" si="16"/>
        <v>89612.241666666654</v>
      </c>
    </row>
    <row r="56" spans="1:26" ht="30.75" customHeight="1">
      <c r="A56" s="806">
        <v>397001</v>
      </c>
      <c r="B56" s="792" t="s">
        <v>312</v>
      </c>
      <c r="C56" s="809">
        <f>'-'!G92</f>
        <v>469</v>
      </c>
      <c r="D56" s="1483">
        <f t="shared" si="9"/>
        <v>3493.4615493208294</v>
      </c>
      <c r="E56" s="1483">
        <f t="shared" si="10"/>
        <v>1638433</v>
      </c>
      <c r="F56" s="1458">
        <v>741.72363820787723</v>
      </c>
      <c r="G56" s="1458">
        <f t="shared" si="11"/>
        <v>347868.3863194944</v>
      </c>
      <c r="H56" s="1459">
        <f t="shared" si="17"/>
        <v>1986301.3863194943</v>
      </c>
      <c r="I56" s="1483">
        <v>0</v>
      </c>
      <c r="J56" s="1485">
        <f t="shared" si="12"/>
        <v>1986301.3863194943</v>
      </c>
      <c r="K56" s="1484">
        <f>'[8]FY2012-13 Initial'!$D$43</f>
        <v>4110</v>
      </c>
      <c r="L56" s="1485">
        <f t="shared" si="13"/>
        <v>1927590</v>
      </c>
      <c r="M56" s="1486">
        <f t="shared" si="18"/>
        <v>-33732.825000000004</v>
      </c>
      <c r="N56" s="1486">
        <f t="shared" si="19"/>
        <v>-4818.9750000000004</v>
      </c>
      <c r="O56" s="1484">
        <f t="shared" si="20"/>
        <v>-38551.800000000003</v>
      </c>
      <c r="P56" s="1484">
        <f t="shared" si="14"/>
        <v>1889038.2</v>
      </c>
      <c r="Q56" s="1484">
        <v>0</v>
      </c>
      <c r="R56" s="1485">
        <f t="shared" si="15"/>
        <v>1889038.2</v>
      </c>
      <c r="S56" s="1485">
        <f t="shared" si="16"/>
        <v>157419.85</v>
      </c>
    </row>
    <row r="57" spans="1:26" ht="30.75" customHeight="1">
      <c r="A57" s="806">
        <v>398001</v>
      </c>
      <c r="B57" s="792" t="s">
        <v>310</v>
      </c>
      <c r="C57" s="809">
        <f>'-'!G93</f>
        <v>481</v>
      </c>
      <c r="D57" s="1483">
        <f t="shared" si="9"/>
        <v>3493.4615493208294</v>
      </c>
      <c r="E57" s="1483">
        <f t="shared" si="10"/>
        <v>1680355</v>
      </c>
      <c r="F57" s="1458">
        <v>643.94778836855926</v>
      </c>
      <c r="G57" s="1458">
        <f t="shared" si="11"/>
        <v>309738.886205277</v>
      </c>
      <c r="H57" s="1459">
        <f t="shared" si="17"/>
        <v>1990093.8862052769</v>
      </c>
      <c r="I57" s="1483">
        <v>-12568.727550269825</v>
      </c>
      <c r="J57" s="1485">
        <f t="shared" si="12"/>
        <v>1977525.1586550071</v>
      </c>
      <c r="K57" s="1484">
        <f>'[8]FY2012-13 Initial'!$D$43</f>
        <v>4110</v>
      </c>
      <c r="L57" s="1485">
        <f t="shared" si="13"/>
        <v>1976910</v>
      </c>
      <c r="M57" s="1486">
        <f t="shared" si="18"/>
        <v>-34595.925000000003</v>
      </c>
      <c r="N57" s="1486">
        <f t="shared" si="19"/>
        <v>-4942.2750000000005</v>
      </c>
      <c r="O57" s="1484">
        <f t="shared" si="20"/>
        <v>-39538.200000000004</v>
      </c>
      <c r="P57" s="1484">
        <f t="shared" si="14"/>
        <v>1937371.8</v>
      </c>
      <c r="Q57" s="1484">
        <v>0</v>
      </c>
      <c r="R57" s="1485">
        <f t="shared" si="15"/>
        <v>1937371.8</v>
      </c>
      <c r="S57" s="1485">
        <f t="shared" si="16"/>
        <v>161447.65</v>
      </c>
    </row>
    <row r="58" spans="1:26" ht="30.75" customHeight="1">
      <c r="A58" s="806">
        <v>398002</v>
      </c>
      <c r="B58" s="792" t="s">
        <v>311</v>
      </c>
      <c r="C58" s="809">
        <f>'-'!G94</f>
        <v>556</v>
      </c>
      <c r="D58" s="1483">
        <f t="shared" si="9"/>
        <v>3493.4615493208294</v>
      </c>
      <c r="E58" s="1483">
        <f t="shared" si="10"/>
        <v>1942365</v>
      </c>
      <c r="F58" s="1458">
        <v>724.79250196607131</v>
      </c>
      <c r="G58" s="1458">
        <f t="shared" si="11"/>
        <v>402984.63109313563</v>
      </c>
      <c r="H58" s="1459">
        <f t="shared" si="17"/>
        <v>2345349.6310931356</v>
      </c>
      <c r="I58" s="1483">
        <v>11533.069772177947</v>
      </c>
      <c r="J58" s="1485">
        <f t="shared" si="12"/>
        <v>2356882.7008653134</v>
      </c>
      <c r="K58" s="1484">
        <f>'[8]FY2012-13 Initial'!$D$43</f>
        <v>4110</v>
      </c>
      <c r="L58" s="1485">
        <f t="shared" si="13"/>
        <v>2285160</v>
      </c>
      <c r="M58" s="1486">
        <f t="shared" si="18"/>
        <v>-39990.300000000003</v>
      </c>
      <c r="N58" s="1486">
        <f t="shared" si="19"/>
        <v>-5712.9000000000005</v>
      </c>
      <c r="O58" s="1484">
        <f t="shared" si="20"/>
        <v>-45703.200000000004</v>
      </c>
      <c r="P58" s="1484">
        <f t="shared" si="14"/>
        <v>2239456.7999999998</v>
      </c>
      <c r="Q58" s="1484">
        <v>16112</v>
      </c>
      <c r="R58" s="1485">
        <f t="shared" si="15"/>
        <v>2255568.7999999998</v>
      </c>
      <c r="S58" s="1485">
        <f t="shared" si="16"/>
        <v>187964.06666666665</v>
      </c>
    </row>
    <row r="59" spans="1:26" ht="30.75" customHeight="1">
      <c r="A59" s="806">
        <v>398003</v>
      </c>
      <c r="B59" s="792" t="s">
        <v>309</v>
      </c>
      <c r="C59" s="809">
        <f>'-'!G95</f>
        <v>387</v>
      </c>
      <c r="D59" s="1483">
        <f t="shared" si="9"/>
        <v>3493.4615493208294</v>
      </c>
      <c r="E59" s="1483">
        <f t="shared" si="10"/>
        <v>1351970</v>
      </c>
      <c r="F59" s="1458">
        <v>592.5310423197493</v>
      </c>
      <c r="G59" s="1458">
        <f t="shared" si="11"/>
        <v>229309.51337774299</v>
      </c>
      <c r="H59" s="1459">
        <f t="shared" si="17"/>
        <v>1581279.5133777431</v>
      </c>
      <c r="I59" s="1483">
        <v>-20795.015874036515</v>
      </c>
      <c r="J59" s="1485">
        <f t="shared" si="12"/>
        <v>1560484.4975037065</v>
      </c>
      <c r="K59" s="1484">
        <f>'[8]FY2012-13 Initial'!$D$43</f>
        <v>4110</v>
      </c>
      <c r="L59" s="1485">
        <f t="shared" si="13"/>
        <v>1590570</v>
      </c>
      <c r="M59" s="1486">
        <f t="shared" si="18"/>
        <v>-27834.975000000002</v>
      </c>
      <c r="N59" s="1486">
        <f t="shared" si="19"/>
        <v>-3976.4250000000002</v>
      </c>
      <c r="O59" s="1484">
        <f t="shared" si="20"/>
        <v>-31811.4</v>
      </c>
      <c r="P59" s="1484">
        <f t="shared" si="14"/>
        <v>1558758.6</v>
      </c>
      <c r="Q59" s="1484">
        <v>-12609</v>
      </c>
      <c r="R59" s="1485">
        <f t="shared" si="15"/>
        <v>1546149.6</v>
      </c>
      <c r="S59" s="1485">
        <f t="shared" si="16"/>
        <v>128845.8</v>
      </c>
    </row>
    <row r="60" spans="1:26" ht="30.75" customHeight="1">
      <c r="A60" s="1819">
        <v>398004</v>
      </c>
      <c r="B60" s="792" t="s">
        <v>555</v>
      </c>
      <c r="C60" s="809">
        <v>203</v>
      </c>
      <c r="D60" s="1483">
        <f t="shared" si="9"/>
        <v>3493.4615493208294</v>
      </c>
      <c r="E60" s="1483">
        <f t="shared" si="10"/>
        <v>709173</v>
      </c>
      <c r="F60" s="1458">
        <v>741.31578947368428</v>
      </c>
      <c r="G60" s="1458">
        <f t="shared" si="11"/>
        <v>150487.10526315792</v>
      </c>
      <c r="H60" s="1459">
        <f t="shared" si="17"/>
        <v>859660.10526315798</v>
      </c>
      <c r="I60" s="1483">
        <v>-1339.5971272527331</v>
      </c>
      <c r="J60" s="1485">
        <f t="shared" si="12"/>
        <v>858320.50813590526</v>
      </c>
      <c r="K60" s="1484">
        <f>'[8]FY2012-13 Initial'!$D$43</f>
        <v>4110</v>
      </c>
      <c r="L60" s="1485">
        <f t="shared" si="13"/>
        <v>834330</v>
      </c>
      <c r="M60" s="1486">
        <f t="shared" si="18"/>
        <v>-14600.775000000001</v>
      </c>
      <c r="N60" s="1486">
        <f t="shared" si="19"/>
        <v>-2085.8249999999998</v>
      </c>
      <c r="O60" s="1484">
        <f t="shared" si="20"/>
        <v>-16686.600000000002</v>
      </c>
      <c r="P60" s="1484">
        <f t="shared" si="14"/>
        <v>817643.4</v>
      </c>
      <c r="Q60" s="1484">
        <v>2051.5</v>
      </c>
      <c r="R60" s="1485">
        <f t="shared" si="15"/>
        <v>819694.9</v>
      </c>
      <c r="S60" s="1485">
        <f t="shared" si="16"/>
        <v>68307.90833333334</v>
      </c>
      <c r="T60" s="1603" t="s">
        <v>1201</v>
      </c>
      <c r="U60" s="1603" t="s">
        <v>1202</v>
      </c>
    </row>
    <row r="61" spans="1:26" ht="44.25" customHeight="1">
      <c r="A61" s="1820"/>
      <c r="B61" s="792" t="s">
        <v>1236</v>
      </c>
      <c r="C61" s="809">
        <v>213</v>
      </c>
      <c r="D61" s="1483">
        <f t="shared" si="9"/>
        <v>3493.4615493208294</v>
      </c>
      <c r="E61" s="1483">
        <f t="shared" si="10"/>
        <v>744107</v>
      </c>
      <c r="F61" s="1458">
        <v>741.31578947368428</v>
      </c>
      <c r="G61" s="1458">
        <f t="shared" si="11"/>
        <v>157900.26315789475</v>
      </c>
      <c r="H61" s="1459">
        <f t="shared" si="17"/>
        <v>902007.26315789472</v>
      </c>
      <c r="I61" s="1483"/>
      <c r="J61" s="1485">
        <f t="shared" si="12"/>
        <v>902007.26315789472</v>
      </c>
      <c r="K61" s="1484">
        <f>'[8]FY2012-13 Initial'!$K$43</f>
        <v>4785</v>
      </c>
      <c r="L61" s="1485">
        <f t="shared" si="13"/>
        <v>1019205</v>
      </c>
      <c r="M61" s="1486">
        <f t="shared" si="18"/>
        <v>-17836.087500000001</v>
      </c>
      <c r="N61" s="1486">
        <f t="shared" si="19"/>
        <v>-2548.0125000000003</v>
      </c>
      <c r="O61" s="1484">
        <f t="shared" si="20"/>
        <v>-20384.100000000002</v>
      </c>
      <c r="P61" s="1484">
        <f t="shared" si="14"/>
        <v>998820.9</v>
      </c>
      <c r="Q61" s="1484"/>
      <c r="R61" s="1485">
        <f t="shared" si="15"/>
        <v>998820.9</v>
      </c>
      <c r="S61" s="1485">
        <f t="shared" si="16"/>
        <v>83235.074999999997</v>
      </c>
      <c r="T61" s="576">
        <f>SUM(R60:R61)</f>
        <v>1818515.8</v>
      </c>
      <c r="U61" s="576">
        <f>SUM(S60:S61)</f>
        <v>151542.98333333334</v>
      </c>
    </row>
    <row r="62" spans="1:26" ht="30.75" customHeight="1">
      <c r="A62" s="806">
        <v>398005</v>
      </c>
      <c r="B62" s="792" t="s">
        <v>553</v>
      </c>
      <c r="C62" s="809">
        <f>'-'!G97</f>
        <v>271</v>
      </c>
      <c r="D62" s="1483">
        <f t="shared" si="9"/>
        <v>3493.4615493208294</v>
      </c>
      <c r="E62" s="1483">
        <f t="shared" si="10"/>
        <v>946728</v>
      </c>
      <c r="F62" s="1458">
        <v>746.0335616438357</v>
      </c>
      <c r="G62" s="1458">
        <f t="shared" si="11"/>
        <v>202175.09520547948</v>
      </c>
      <c r="H62" s="1459">
        <f t="shared" si="17"/>
        <v>1148903.0952054795</v>
      </c>
      <c r="I62" s="1483">
        <v>-22885.095805249432</v>
      </c>
      <c r="J62" s="1485">
        <f t="shared" si="12"/>
        <v>1126017.9994002301</v>
      </c>
      <c r="K62" s="1484">
        <f>'[8]FY2012-13 Initial'!$D$43</f>
        <v>4110</v>
      </c>
      <c r="L62" s="1485">
        <f t="shared" si="13"/>
        <v>1113810</v>
      </c>
      <c r="M62" s="1486">
        <f t="shared" si="18"/>
        <v>-19491.675000000003</v>
      </c>
      <c r="N62" s="1486">
        <f t="shared" si="19"/>
        <v>-2784.5250000000001</v>
      </c>
      <c r="O62" s="1484">
        <f t="shared" si="20"/>
        <v>-22276.200000000004</v>
      </c>
      <c r="P62" s="1484">
        <f t="shared" si="14"/>
        <v>1091533.8</v>
      </c>
      <c r="Q62" s="1484">
        <v>-21015</v>
      </c>
      <c r="R62" s="1485">
        <f t="shared" si="15"/>
        <v>1070518.8</v>
      </c>
      <c r="S62" s="1485">
        <f t="shared" si="16"/>
        <v>89209.900000000009</v>
      </c>
    </row>
    <row r="63" spans="1:26" ht="30.75" customHeight="1">
      <c r="A63" s="806">
        <v>398006</v>
      </c>
      <c r="B63" s="792" t="s">
        <v>554</v>
      </c>
      <c r="C63" s="809">
        <f>'-'!G98</f>
        <v>309</v>
      </c>
      <c r="D63" s="1483">
        <f t="shared" si="9"/>
        <v>3493.4615493208294</v>
      </c>
      <c r="E63" s="1483">
        <f t="shared" si="10"/>
        <v>1079480</v>
      </c>
      <c r="F63" s="1458">
        <v>746.0335616438357</v>
      </c>
      <c r="G63" s="1458">
        <f t="shared" si="11"/>
        <v>230524.37054794523</v>
      </c>
      <c r="H63" s="1459">
        <f t="shared" si="17"/>
        <v>1310004.3705479451</v>
      </c>
      <c r="I63" s="1483">
        <v>-11303.507406338271</v>
      </c>
      <c r="J63" s="1485">
        <f t="shared" si="12"/>
        <v>1298700.8631416068</v>
      </c>
      <c r="K63" s="1484">
        <f>'[8]FY2012-13 Initial'!$D$43</f>
        <v>4110</v>
      </c>
      <c r="L63" s="1485">
        <f t="shared" si="13"/>
        <v>1269990</v>
      </c>
      <c r="M63" s="1486">
        <f t="shared" si="18"/>
        <v>-22224.825000000001</v>
      </c>
      <c r="N63" s="1486">
        <f t="shared" si="19"/>
        <v>-3174.9749999999999</v>
      </c>
      <c r="O63" s="1484">
        <f t="shared" si="20"/>
        <v>-25399.8</v>
      </c>
      <c r="P63" s="1484">
        <f t="shared" si="14"/>
        <v>1244590.2</v>
      </c>
      <c r="Q63" s="1484">
        <v>-8406</v>
      </c>
      <c r="R63" s="1485">
        <f t="shared" si="15"/>
        <v>1236184.2</v>
      </c>
      <c r="S63" s="1485">
        <f t="shared" si="16"/>
        <v>103015.34999999999</v>
      </c>
    </row>
    <row r="64" spans="1:26" ht="30.75" customHeight="1">
      <c r="A64" s="806">
        <v>399001</v>
      </c>
      <c r="B64" s="792" t="s">
        <v>556</v>
      </c>
      <c r="C64" s="809">
        <f>'-'!G99</f>
        <v>515</v>
      </c>
      <c r="D64" s="1483">
        <f t="shared" si="9"/>
        <v>3493.4615493208294</v>
      </c>
      <c r="E64" s="1483">
        <f t="shared" si="10"/>
        <v>1799133</v>
      </c>
      <c r="F64" s="1458">
        <v>752.85062142702634</v>
      </c>
      <c r="G64" s="1458">
        <f t="shared" si="11"/>
        <v>387718.07003491855</v>
      </c>
      <c r="H64" s="1459">
        <f t="shared" si="17"/>
        <v>2186851.0700349184</v>
      </c>
      <c r="I64" s="1483">
        <v>0</v>
      </c>
      <c r="J64" s="1485">
        <f t="shared" si="12"/>
        <v>2186851.0700349184</v>
      </c>
      <c r="K64" s="1484">
        <f>'[8]FY2012-13 Initial'!$D$43</f>
        <v>4110</v>
      </c>
      <c r="L64" s="1485">
        <f t="shared" si="13"/>
        <v>2116650</v>
      </c>
      <c r="M64" s="1486">
        <f t="shared" si="18"/>
        <v>-37041.375</v>
      </c>
      <c r="N64" s="1486">
        <f t="shared" si="19"/>
        <v>-5291.625</v>
      </c>
      <c r="O64" s="1484">
        <f t="shared" si="20"/>
        <v>-42333</v>
      </c>
      <c r="P64" s="1484">
        <f t="shared" si="14"/>
        <v>2074317</v>
      </c>
      <c r="Q64" s="1484">
        <v>0</v>
      </c>
      <c r="R64" s="1485">
        <f t="shared" si="15"/>
        <v>2074317</v>
      </c>
      <c r="S64" s="1485">
        <f t="shared" si="16"/>
        <v>172859.75</v>
      </c>
    </row>
    <row r="65" spans="1:26" ht="30.75" customHeight="1">
      <c r="A65" s="806">
        <v>399002</v>
      </c>
      <c r="B65" s="792" t="s">
        <v>557</v>
      </c>
      <c r="C65" s="1453">
        <f>'-'!G100</f>
        <v>421</v>
      </c>
      <c r="D65" s="1483">
        <f t="shared" si="9"/>
        <v>3493.4615493208294</v>
      </c>
      <c r="E65" s="1483">
        <f t="shared" si="10"/>
        <v>1470747</v>
      </c>
      <c r="F65" s="1458">
        <v>803.97152919927748</v>
      </c>
      <c r="G65" s="1458">
        <f t="shared" si="11"/>
        <v>338472.01379289583</v>
      </c>
      <c r="H65" s="1459">
        <f t="shared" si="17"/>
        <v>1809219.0137928957</v>
      </c>
      <c r="I65" s="1483">
        <v>-4630.6707295812012</v>
      </c>
      <c r="J65" s="1485">
        <f t="shared" si="12"/>
        <v>1804588.3430633144</v>
      </c>
      <c r="K65" s="1484">
        <f>'[8]FY2012-13 Initial'!$D$43</f>
        <v>4110</v>
      </c>
      <c r="L65" s="1485">
        <f t="shared" si="13"/>
        <v>1730310</v>
      </c>
      <c r="M65" s="1486">
        <f t="shared" si="18"/>
        <v>-30280.425000000003</v>
      </c>
      <c r="N65" s="1486">
        <f t="shared" si="19"/>
        <v>-4325.7749999999996</v>
      </c>
      <c r="O65" s="1484">
        <f t="shared" si="20"/>
        <v>-34606.200000000004</v>
      </c>
      <c r="P65" s="1484">
        <f t="shared" si="14"/>
        <v>1695703.8</v>
      </c>
      <c r="Q65" s="1484">
        <v>0</v>
      </c>
      <c r="R65" s="1485">
        <f t="shared" si="15"/>
        <v>1695703.8</v>
      </c>
      <c r="S65" s="1485">
        <f t="shared" si="16"/>
        <v>141308.65</v>
      </c>
    </row>
    <row r="66" spans="1:26" ht="30.75" customHeight="1">
      <c r="A66" s="1103">
        <v>399003</v>
      </c>
      <c r="B66" s="1104" t="s">
        <v>711</v>
      </c>
      <c r="C66" s="1454">
        <f>'-'!G101</f>
        <v>385</v>
      </c>
      <c r="D66" s="1483">
        <f t="shared" si="9"/>
        <v>3493.4615493208294</v>
      </c>
      <c r="E66" s="1483">
        <f>ROUND(C66*D66,0)</f>
        <v>1344983</v>
      </c>
      <c r="F66" s="1458">
        <v>746.0335616438357</v>
      </c>
      <c r="G66" s="1458">
        <f>F66*C66</f>
        <v>287222.92123287672</v>
      </c>
      <c r="H66" s="1459">
        <f>E66+G66</f>
        <v>1632205.9212328768</v>
      </c>
      <c r="I66" s="1483">
        <v>-19990.303288077295</v>
      </c>
      <c r="J66" s="1485">
        <f>H66+I66</f>
        <v>1612215.6179447996</v>
      </c>
      <c r="K66" s="1484">
        <f>'[8]FY2012-13 Initial'!$D$43</f>
        <v>4110</v>
      </c>
      <c r="L66" s="1485">
        <f t="shared" si="13"/>
        <v>1582350</v>
      </c>
      <c r="M66" s="1486">
        <f t="shared" si="18"/>
        <v>-27691.125000000004</v>
      </c>
      <c r="N66" s="1486">
        <f t="shared" si="19"/>
        <v>-3955.875</v>
      </c>
      <c r="O66" s="1484">
        <f t="shared" si="20"/>
        <v>-31647.000000000004</v>
      </c>
      <c r="P66" s="1484">
        <f t="shared" si="14"/>
        <v>1550703</v>
      </c>
      <c r="Q66" s="1484">
        <v>-21015</v>
      </c>
      <c r="R66" s="1485">
        <f t="shared" si="15"/>
        <v>1529688</v>
      </c>
      <c r="S66" s="1485">
        <f t="shared" si="16"/>
        <v>127474</v>
      </c>
    </row>
    <row r="67" spans="1:26" ht="30.75" customHeight="1">
      <c r="A67" s="806">
        <v>399004</v>
      </c>
      <c r="B67" s="792" t="s">
        <v>558</v>
      </c>
      <c r="C67" s="1453">
        <f>'-'!G102</f>
        <v>425</v>
      </c>
      <c r="D67" s="1483">
        <f t="shared" si="9"/>
        <v>3493.4615493208294</v>
      </c>
      <c r="E67" s="1483">
        <f>ROUND(C67*D67,0)</f>
        <v>1484721</v>
      </c>
      <c r="F67" s="1458">
        <v>746.0335616438357</v>
      </c>
      <c r="G67" s="1458">
        <f>F67*C67</f>
        <v>317064.26369863015</v>
      </c>
      <c r="H67" s="1459">
        <f>E67+G67</f>
        <v>1801785.26369863</v>
      </c>
      <c r="I67" s="1483">
        <v>0</v>
      </c>
      <c r="J67" s="1485">
        <f>H67+I67</f>
        <v>1801785.26369863</v>
      </c>
      <c r="K67" s="1484">
        <f>'[8]FY2012-13 Initial'!$D$43</f>
        <v>4110</v>
      </c>
      <c r="L67" s="1485">
        <f t="shared" si="13"/>
        <v>1746750</v>
      </c>
      <c r="M67" s="1486">
        <f t="shared" si="18"/>
        <v>-30568.125000000004</v>
      </c>
      <c r="N67" s="1486">
        <f t="shared" si="19"/>
        <v>-4366.875</v>
      </c>
      <c r="O67" s="1484">
        <f t="shared" si="20"/>
        <v>-34935</v>
      </c>
      <c r="P67" s="1484">
        <f t="shared" si="14"/>
        <v>1711815</v>
      </c>
      <c r="Q67" s="1484">
        <v>0</v>
      </c>
      <c r="R67" s="1485">
        <f t="shared" si="15"/>
        <v>1711815</v>
      </c>
      <c r="S67" s="1485">
        <f t="shared" si="16"/>
        <v>142651.25</v>
      </c>
    </row>
    <row r="68" spans="1:26" ht="30.75" customHeight="1">
      <c r="A68" s="806">
        <v>399005</v>
      </c>
      <c r="B68" s="792" t="s">
        <v>1254</v>
      </c>
      <c r="C68" s="809">
        <f>'-'!G78</f>
        <v>614</v>
      </c>
      <c r="D68" s="1483">
        <f t="shared" si="9"/>
        <v>3493.4615493208294</v>
      </c>
      <c r="E68" s="1483">
        <f>ROUND(C68*D68,0)</f>
        <v>2144985</v>
      </c>
      <c r="F68" s="1458">
        <v>746.0335616438357</v>
      </c>
      <c r="G68" s="1458">
        <f>F68*C68</f>
        <v>458064.60684931511</v>
      </c>
      <c r="H68" s="1459">
        <f>E68+G68</f>
        <v>2603049.6068493151</v>
      </c>
      <c r="I68" s="1483"/>
      <c r="J68" s="1485">
        <f>H68+I68</f>
        <v>2603049.6068493151</v>
      </c>
      <c r="K68" s="1484">
        <f>'[8]FY2012-13 Initial'!$D$43</f>
        <v>4110</v>
      </c>
      <c r="L68" s="1485">
        <f>C68*K68</f>
        <v>2523540</v>
      </c>
      <c r="M68" s="1486">
        <f>-$M$5*L68</f>
        <v>-44161.950000000004</v>
      </c>
      <c r="N68" s="1486">
        <f>-$N$5*L68</f>
        <v>-6308.85</v>
      </c>
      <c r="O68" s="1484">
        <f>M68+N68</f>
        <v>-50470.8</v>
      </c>
      <c r="P68" s="1484">
        <f>L68+O68</f>
        <v>2473069.2000000002</v>
      </c>
      <c r="Q68" s="1484">
        <v>0</v>
      </c>
      <c r="R68" s="1485">
        <f>SUM(P68:Q68)</f>
        <v>2473069.2000000002</v>
      </c>
      <c r="S68" s="1485">
        <f>R68/12</f>
        <v>206089.1</v>
      </c>
    </row>
    <row r="69" spans="1:26" s="1494" customFormat="1" ht="15.75">
      <c r="A69" s="1481"/>
      <c r="B69" s="1482" t="s">
        <v>89</v>
      </c>
      <c r="C69" s="1488">
        <f>SUM(C12:C68)</f>
        <v>23731</v>
      </c>
      <c r="D69" s="1489"/>
      <c r="E69" s="1488">
        <f>SUM(E12:E68)</f>
        <v>82903335</v>
      </c>
      <c r="F69" s="1488"/>
      <c r="G69" s="1490">
        <f>SUM(G12:G68)</f>
        <v>17398336.980362907</v>
      </c>
      <c r="H69" s="1491">
        <f>SUM(H12:H68)</f>
        <v>100301671.98036292</v>
      </c>
      <c r="I69" s="1490">
        <f>SUM(I12:I68)</f>
        <v>-327042.63531751552</v>
      </c>
      <c r="J69" s="1491">
        <f>SUM(J12:J68)</f>
        <v>99974629.345045388</v>
      </c>
      <c r="K69" s="1492"/>
      <c r="L69" s="1493">
        <f>SUM(L12:L68)</f>
        <v>98332935</v>
      </c>
      <c r="M69" s="1493">
        <f t="shared" ref="M69:S69" si="31">SUM(M12:M68)</f>
        <v>-1720826.3625</v>
      </c>
      <c r="N69" s="1493">
        <f t="shared" si="31"/>
        <v>-245832.33749999999</v>
      </c>
      <c r="O69" s="1493">
        <f t="shared" si="31"/>
        <v>-1966658.7</v>
      </c>
      <c r="P69" s="1493">
        <f t="shared" si="31"/>
        <v>96366276.300000012</v>
      </c>
      <c r="Q69" s="1493">
        <f t="shared" si="31"/>
        <v>-215953</v>
      </c>
      <c r="R69" s="1493">
        <f t="shared" si="31"/>
        <v>96150323.300000012</v>
      </c>
      <c r="S69" s="1493">
        <f t="shared" si="31"/>
        <v>8012526.9416666664</v>
      </c>
      <c r="T69" s="578"/>
      <c r="U69" s="578"/>
      <c r="V69" s="578"/>
      <c r="W69" s="578"/>
      <c r="X69" s="578"/>
      <c r="Y69" s="578"/>
      <c r="Z69" s="578"/>
    </row>
    <row r="70" spans="1:26" s="1494" customFormat="1" ht="31.5">
      <c r="A70" s="1481"/>
      <c r="B70" s="1482" t="s">
        <v>90</v>
      </c>
      <c r="C70" s="1488">
        <f>C69+C9</f>
        <v>28384</v>
      </c>
      <c r="D70" s="1489"/>
      <c r="E70" s="1488">
        <f>E69+E9</f>
        <v>99158412</v>
      </c>
      <c r="F70" s="1488"/>
      <c r="G70" s="1490">
        <f>G69+G9</f>
        <v>21107022.006311826</v>
      </c>
      <c r="H70" s="1495">
        <f>H69+H9</f>
        <v>120265434.00631183</v>
      </c>
      <c r="I70" s="1496">
        <f>I69+I9</f>
        <v>-930599.08440455399</v>
      </c>
      <c r="J70" s="1493">
        <f>J69+J9</f>
        <v>119334834.92190728</v>
      </c>
      <c r="K70" s="1492"/>
      <c r="L70" s="1493">
        <f t="shared" ref="L70:S70" si="32">L69+L9</f>
        <v>117456765</v>
      </c>
      <c r="M70" s="1492">
        <f t="shared" si="32"/>
        <v>0</v>
      </c>
      <c r="N70" s="1492">
        <f t="shared" si="32"/>
        <v>-245832.33749999999</v>
      </c>
      <c r="O70" s="1492">
        <f t="shared" si="32"/>
        <v>-245832.33749999991</v>
      </c>
      <c r="P70" s="1492">
        <f t="shared" si="32"/>
        <v>117210932.66250001</v>
      </c>
      <c r="Q70" s="1492">
        <f t="shared" si="32"/>
        <v>-383373</v>
      </c>
      <c r="R70" s="1493">
        <f t="shared" si="32"/>
        <v>116827559.66250001</v>
      </c>
      <c r="S70" s="1493">
        <f t="shared" si="32"/>
        <v>9735629.9718750007</v>
      </c>
      <c r="T70" s="578"/>
      <c r="U70" s="578"/>
      <c r="V70" s="578"/>
      <c r="W70" s="578"/>
      <c r="X70" s="578"/>
      <c r="Y70" s="578"/>
      <c r="Z70" s="578"/>
    </row>
    <row r="71" spans="1:26" ht="8.25" customHeight="1">
      <c r="A71" s="807"/>
      <c r="B71" s="586"/>
      <c r="C71" s="1497"/>
      <c r="D71" s="1498"/>
      <c r="E71" s="1499"/>
      <c r="F71" s="1499"/>
      <c r="G71" s="1499"/>
      <c r="H71" s="1499"/>
      <c r="I71" s="1499"/>
      <c r="J71" s="1500"/>
      <c r="K71" s="1500"/>
      <c r="L71" s="1500"/>
      <c r="M71" s="1500"/>
      <c r="N71" s="1500"/>
      <c r="O71" s="1500"/>
      <c r="P71" s="1500"/>
      <c r="Q71" s="1500"/>
      <c r="R71" s="1500"/>
      <c r="S71" s="1500"/>
    </row>
    <row r="72" spans="1:26" ht="16.5" thickBot="1">
      <c r="A72" s="1501"/>
      <c r="B72" s="1502" t="s">
        <v>328</v>
      </c>
      <c r="C72" s="1503">
        <f>C70+C7</f>
        <v>39028</v>
      </c>
      <c r="D72" s="1504"/>
      <c r="E72" s="1505">
        <f>E70+E7</f>
        <v>136342817</v>
      </c>
      <c r="F72" s="1505"/>
      <c r="G72" s="1505">
        <f>G70+G7</f>
        <v>28847677.045378514</v>
      </c>
      <c r="H72" s="1506">
        <f>H70+H7</f>
        <v>165190494.04537851</v>
      </c>
      <c r="I72" s="1507"/>
      <c r="J72" s="1508"/>
      <c r="K72" s="1508"/>
      <c r="L72" s="1508"/>
      <c r="M72" s="1508"/>
      <c r="N72" s="1508"/>
      <c r="O72" s="1508"/>
      <c r="P72" s="1508"/>
      <c r="Q72" s="1508"/>
      <c r="R72" s="1508"/>
      <c r="S72" s="1508"/>
    </row>
    <row r="73" spans="1:26" ht="13.5" thickTop="1">
      <c r="A73" s="1509"/>
      <c r="B73" s="1509"/>
      <c r="C73" s="1510"/>
      <c r="D73" s="1511"/>
      <c r="E73" s="576"/>
      <c r="F73" s="576"/>
      <c r="G73" s="576"/>
      <c r="H73" s="576"/>
      <c r="I73" s="1512"/>
      <c r="J73" s="576"/>
      <c r="K73" s="576"/>
      <c r="L73" s="576"/>
      <c r="M73" s="576"/>
      <c r="N73" s="576"/>
      <c r="O73" s="576"/>
      <c r="P73" s="576"/>
      <c r="Q73" s="576"/>
      <c r="R73" s="576"/>
      <c r="S73" s="576"/>
    </row>
    <row r="74" spans="1:26" ht="22.5" customHeight="1">
      <c r="A74" s="1509"/>
      <c r="B74" s="1509"/>
      <c r="C74" s="1801" t="s">
        <v>863</v>
      </c>
      <c r="D74" s="1801"/>
      <c r="E74" s="1801"/>
      <c r="F74" s="1801"/>
      <c r="G74" s="1801"/>
      <c r="H74" s="1801"/>
      <c r="I74" s="1801"/>
      <c r="J74" s="1801"/>
      <c r="K74" s="1513"/>
      <c r="L74" s="1801" t="s">
        <v>863</v>
      </c>
      <c r="M74" s="1801"/>
      <c r="N74" s="1801"/>
      <c r="O74" s="1801"/>
      <c r="P74" s="1801"/>
      <c r="Q74" s="1801"/>
      <c r="R74" s="1801"/>
      <c r="S74" s="1801"/>
      <c r="T74" s="1801"/>
      <c r="U74" s="1801"/>
    </row>
    <row r="75" spans="1:26" ht="22.5" customHeight="1">
      <c r="B75" s="1514"/>
      <c r="C75" s="1818" t="s">
        <v>1237</v>
      </c>
      <c r="D75" s="1818"/>
      <c r="E75" s="1818"/>
      <c r="F75" s="1818"/>
      <c r="G75" s="1818"/>
      <c r="H75" s="1818"/>
      <c r="I75" s="1818"/>
      <c r="J75" s="1818"/>
      <c r="K75" s="1515"/>
      <c r="L75" s="1818" t="s">
        <v>1237</v>
      </c>
      <c r="M75" s="1818"/>
      <c r="N75" s="1818"/>
      <c r="O75" s="1818"/>
      <c r="P75" s="1818"/>
      <c r="Q75" s="1818"/>
      <c r="R75" s="1818"/>
      <c r="S75" s="1818"/>
      <c r="T75" s="1514"/>
      <c r="U75" s="1514"/>
    </row>
    <row r="76" spans="1:26" ht="15.75" customHeight="1">
      <c r="C76" s="1821"/>
      <c r="D76" s="1822"/>
      <c r="E76" s="1822"/>
      <c r="F76" s="1822"/>
      <c r="G76" s="1822"/>
      <c r="H76" s="1822"/>
      <c r="I76" s="1822"/>
      <c r="J76" s="1822"/>
      <c r="K76" s="1516"/>
      <c r="L76" s="1821"/>
      <c r="M76" s="1822"/>
      <c r="N76" s="1822"/>
      <c r="O76" s="1822"/>
      <c r="P76" s="1822"/>
      <c r="Q76" s="1822"/>
      <c r="R76" s="1822"/>
      <c r="S76" s="1822"/>
    </row>
    <row r="77" spans="1:26" hidden="1"/>
    <row r="78" spans="1:26" ht="17.25" hidden="1" customHeight="1">
      <c r="B78" s="1465" t="s">
        <v>707</v>
      </c>
      <c r="F78" s="1458">
        <v>746.0335616438357</v>
      </c>
    </row>
    <row r="79" spans="1:26" ht="0.75" hidden="1" customHeight="1"/>
    <row r="80" spans="1:26" hidden="1"/>
    <row r="81" spans="2:3" hidden="1">
      <c r="B81" s="1465" t="s">
        <v>713</v>
      </c>
      <c r="C81" s="1465">
        <v>258</v>
      </c>
    </row>
    <row r="82" spans="2:3" hidden="1"/>
    <row r="83" spans="2:3" hidden="1"/>
    <row r="84" spans="2:3" hidden="1"/>
    <row r="85" spans="2:3" hidden="1"/>
  </sheetData>
  <mergeCells count="29">
    <mergeCell ref="C75:J75"/>
    <mergeCell ref="L75:S75"/>
    <mergeCell ref="A60:A61"/>
    <mergeCell ref="C76:J76"/>
    <mergeCell ref="L76:S76"/>
    <mergeCell ref="L74:U74"/>
    <mergeCell ref="B8:J8"/>
    <mergeCell ref="H4:H5"/>
    <mergeCell ref="C4:C5"/>
    <mergeCell ref="B4:B5"/>
    <mergeCell ref="E4:E5"/>
    <mergeCell ref="I4:I5"/>
    <mergeCell ref="F4:F5"/>
    <mergeCell ref="A1:J1"/>
    <mergeCell ref="B10:J10"/>
    <mergeCell ref="C74:J74"/>
    <mergeCell ref="Q4:Q5"/>
    <mergeCell ref="R4:R5"/>
    <mergeCell ref="L10:X10"/>
    <mergeCell ref="S4:S5"/>
    <mergeCell ref="P4:P5"/>
    <mergeCell ref="O4:O5"/>
    <mergeCell ref="L8:X8"/>
    <mergeCell ref="L4:L5"/>
    <mergeCell ref="K4:K5"/>
    <mergeCell ref="F3:G3"/>
    <mergeCell ref="G4:G5"/>
    <mergeCell ref="A4:A5"/>
    <mergeCell ref="J4:J5"/>
  </mergeCells>
  <phoneticPr fontId="0" type="noConversion"/>
  <printOptions horizontalCentered="1"/>
  <pageMargins left="0.2" right="0.2" top="1.0900000000000001" bottom="0.77" header="0.32" footer="0.19"/>
  <pageSetup paperSize="5" scale="56" firstPageNumber="46" fitToHeight="2" orientation="portrait" useFirstPageNumber="1" r:id="rId1"/>
  <headerFooter alignWithMargins="0">
    <oddHeader xml:space="preserve">&amp;L&amp;"Arial,Bold"&amp;22Table 5B-1:  FY2012-13 MFP Budget Letter  
Recovery School District (Orleans Parish) (July 2012)
&amp;R
</oddHeader>
    <oddFooter>&amp;L&amp;14*FY2010-11 is the first year of operation
&amp;R&amp;16&amp;P</oddFooter>
  </headerFooter>
  <colBreaks count="1" manualBreakCount="1">
    <brk id="10" min="2" max="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Z50"/>
  <sheetViews>
    <sheetView view="pageBreakPreview" zoomScale="70" zoomScaleNormal="75" zoomScaleSheetLayoutView="7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4" sqref="A4:A5"/>
    </sheetView>
  </sheetViews>
  <sheetFormatPr defaultRowHeight="12.75"/>
  <cols>
    <col min="1" max="1" width="9" customWidth="1"/>
    <col min="2" max="2" width="33.28515625" customWidth="1"/>
    <col min="3" max="3" width="12.140625" bestFit="1" customWidth="1"/>
    <col min="4" max="4" width="13.5703125" customWidth="1"/>
    <col min="5" max="5" width="20.7109375" customWidth="1"/>
    <col min="6" max="6" width="18.42578125" customWidth="1"/>
    <col min="7" max="7" width="19.7109375" customWidth="1"/>
    <col min="8" max="8" width="21.42578125" customWidth="1"/>
    <col min="9" max="11" width="18.28515625" customWidth="1"/>
    <col min="12" max="12" width="19.42578125" customWidth="1"/>
    <col min="13" max="13" width="15.85546875" customWidth="1"/>
    <col min="14" max="24" width="20.85546875" customWidth="1"/>
    <col min="25" max="25" width="19.28515625" bestFit="1" customWidth="1"/>
    <col min="26" max="26" width="17.7109375" customWidth="1"/>
  </cols>
  <sheetData>
    <row r="1" spans="1:26" ht="15.75">
      <c r="A1" s="275"/>
      <c r="B1" s="275"/>
    </row>
    <row r="2" spans="1:26" ht="22.5" customHeight="1">
      <c r="B2" s="1827"/>
      <c r="C2" s="1827"/>
      <c r="D2" s="1827"/>
      <c r="E2" s="1827"/>
      <c r="F2" s="1827"/>
      <c r="G2" s="1827"/>
      <c r="H2" s="1827"/>
      <c r="I2" s="1827"/>
      <c r="J2" s="1827"/>
      <c r="K2" s="1827"/>
      <c r="L2" s="1827"/>
      <c r="M2" s="1827"/>
      <c r="N2" s="1827"/>
      <c r="O2" s="353"/>
      <c r="P2" s="353"/>
      <c r="Q2" s="353"/>
    </row>
    <row r="3" spans="1:26" ht="41.25" customHeight="1">
      <c r="C3" s="73"/>
      <c r="D3" s="454"/>
      <c r="E3" s="75"/>
      <c r="F3" s="1828" t="s">
        <v>598</v>
      </c>
      <c r="G3" s="1829"/>
      <c r="H3" s="75"/>
      <c r="I3" s="1830" t="s">
        <v>661</v>
      </c>
      <c r="J3" s="1830"/>
      <c r="K3" s="1830"/>
      <c r="L3" s="794"/>
      <c r="M3" s="75"/>
      <c r="N3" s="75"/>
      <c r="O3" s="75"/>
      <c r="P3" s="75"/>
      <c r="Q3" s="75"/>
      <c r="R3" s="1830" t="s">
        <v>666</v>
      </c>
      <c r="S3" s="1830"/>
      <c r="T3" s="1830"/>
      <c r="U3" s="75"/>
      <c r="V3" s="75"/>
      <c r="W3" s="75"/>
      <c r="X3" s="75"/>
    </row>
    <row r="4" spans="1:26" ht="101.25" customHeight="1">
      <c r="A4" s="1670" t="s">
        <v>665</v>
      </c>
      <c r="B4" s="1670" t="s">
        <v>203</v>
      </c>
      <c r="C4" s="1831" t="s">
        <v>789</v>
      </c>
      <c r="D4" s="1670" t="s">
        <v>302</v>
      </c>
      <c r="E4" s="1667" t="s">
        <v>1397</v>
      </c>
      <c r="F4" s="1670" t="s">
        <v>606</v>
      </c>
      <c r="G4" s="1670" t="s">
        <v>599</v>
      </c>
      <c r="H4" s="1667" t="s">
        <v>1398</v>
      </c>
      <c r="I4" s="346" t="s">
        <v>662</v>
      </c>
      <c r="J4" s="346" t="s">
        <v>663</v>
      </c>
      <c r="K4" s="1833" t="s">
        <v>664</v>
      </c>
      <c r="L4" s="1667" t="s">
        <v>1399</v>
      </c>
      <c r="M4" s="1690" t="s">
        <v>1197</v>
      </c>
      <c r="N4" s="1667" t="s">
        <v>1400</v>
      </c>
      <c r="O4" s="1667" t="s">
        <v>1417</v>
      </c>
      <c r="P4" s="1825" t="s">
        <v>1311</v>
      </c>
      <c r="Q4" s="1825" t="s">
        <v>1401</v>
      </c>
      <c r="R4" s="346" t="s">
        <v>662</v>
      </c>
      <c r="S4" s="346" t="s">
        <v>663</v>
      </c>
      <c r="T4" s="1833" t="s">
        <v>664</v>
      </c>
      <c r="U4" s="1825" t="s">
        <v>1402</v>
      </c>
      <c r="V4" s="1667" t="s">
        <v>1196</v>
      </c>
      <c r="W4" s="1825" t="s">
        <v>1403</v>
      </c>
      <c r="X4" s="1825" t="s">
        <v>1418</v>
      </c>
      <c r="Y4" s="1823" t="s">
        <v>1404</v>
      </c>
      <c r="Z4" s="1823" t="s">
        <v>1405</v>
      </c>
    </row>
    <row r="5" spans="1:26" ht="36.75" customHeight="1">
      <c r="A5" s="1672" t="s">
        <v>87</v>
      </c>
      <c r="B5" s="1672"/>
      <c r="C5" s="1832"/>
      <c r="D5" s="1672"/>
      <c r="E5" s="1669"/>
      <c r="F5" s="1672"/>
      <c r="G5" s="1672"/>
      <c r="H5" s="1669"/>
      <c r="I5" s="793">
        <v>1.7500000000000002E-2</v>
      </c>
      <c r="J5" s="793">
        <v>2.5000000000000001E-3</v>
      </c>
      <c r="K5" s="1834"/>
      <c r="L5" s="1669"/>
      <c r="M5" s="1692"/>
      <c r="N5" s="1669"/>
      <c r="O5" s="1669"/>
      <c r="P5" s="1826"/>
      <c r="Q5" s="1826"/>
      <c r="R5" s="793">
        <v>1.7500000000000002E-2</v>
      </c>
      <c r="S5" s="793">
        <v>2.5000000000000001E-3</v>
      </c>
      <c r="T5" s="1834"/>
      <c r="U5" s="1826"/>
      <c r="V5" s="1669"/>
      <c r="W5" s="1826"/>
      <c r="X5" s="1826"/>
      <c r="Y5" s="1824"/>
      <c r="Z5" s="1824"/>
    </row>
    <row r="6" spans="1:26">
      <c r="A6" s="116"/>
      <c r="B6" s="116"/>
      <c r="C6" s="228">
        <v>1</v>
      </c>
      <c r="D6" s="228">
        <f t="shared" ref="D6:N6" si="0">C6+1</f>
        <v>2</v>
      </c>
      <c r="E6" s="228">
        <f t="shared" si="0"/>
        <v>3</v>
      </c>
      <c r="F6" s="228">
        <f t="shared" si="0"/>
        <v>4</v>
      </c>
      <c r="G6" s="228">
        <f t="shared" si="0"/>
        <v>5</v>
      </c>
      <c r="H6" s="228">
        <f t="shared" si="0"/>
        <v>6</v>
      </c>
      <c r="I6" s="228">
        <f>H6+1</f>
        <v>7</v>
      </c>
      <c r="J6" s="228">
        <f>I6+1</f>
        <v>8</v>
      </c>
      <c r="K6" s="228">
        <f>J6+1</f>
        <v>9</v>
      </c>
      <c r="L6" s="228">
        <f>K6+1</f>
        <v>10</v>
      </c>
      <c r="M6" s="228">
        <f>L6+1</f>
        <v>11</v>
      </c>
      <c r="N6" s="228">
        <f t="shared" si="0"/>
        <v>12</v>
      </c>
      <c r="O6" s="228">
        <f t="shared" ref="O6:X6" si="1">N6+1</f>
        <v>13</v>
      </c>
      <c r="P6" s="228">
        <f t="shared" si="1"/>
        <v>14</v>
      </c>
      <c r="Q6" s="228">
        <f t="shared" si="1"/>
        <v>15</v>
      </c>
      <c r="R6" s="228">
        <f t="shared" si="1"/>
        <v>16</v>
      </c>
      <c r="S6" s="228">
        <f t="shared" si="1"/>
        <v>17</v>
      </c>
      <c r="T6" s="228">
        <f t="shared" si="1"/>
        <v>18</v>
      </c>
      <c r="U6" s="228">
        <f t="shared" si="1"/>
        <v>19</v>
      </c>
      <c r="V6" s="228">
        <f t="shared" si="1"/>
        <v>20</v>
      </c>
      <c r="W6" s="228">
        <f t="shared" si="1"/>
        <v>21</v>
      </c>
      <c r="X6" s="228">
        <f t="shared" si="1"/>
        <v>22</v>
      </c>
      <c r="Y6" s="228">
        <f t="shared" ref="Y6" si="2">X6+1</f>
        <v>23</v>
      </c>
      <c r="Z6" s="228">
        <f t="shared" ref="Z6" si="3">Y6+1</f>
        <v>24</v>
      </c>
    </row>
    <row r="7" spans="1:26" s="109" customFormat="1" ht="30" customHeight="1">
      <c r="A7" s="624"/>
      <c r="B7" s="624" t="s">
        <v>624</v>
      </c>
      <c r="C7" s="1105">
        <f>'Table 8 2.1.12 MFP Funded'!G20-C15</f>
        <v>40369</v>
      </c>
      <c r="D7" s="530">
        <f>'Table 3 Levels 1&amp;2'!$AL$24</f>
        <v>3386.5716964570697</v>
      </c>
      <c r="E7" s="528">
        <f>ROUND(C7*D7,0)</f>
        <v>136712513</v>
      </c>
      <c r="F7" s="528">
        <v>801.47762416806802</v>
      </c>
      <c r="G7" s="528">
        <f>F7*C7</f>
        <v>32354850.210040737</v>
      </c>
      <c r="H7" s="795">
        <f>E7+G7</f>
        <v>169067363.21004075</v>
      </c>
      <c r="I7" s="795"/>
      <c r="J7" s="795"/>
      <c r="K7" s="795"/>
      <c r="L7" s="795"/>
      <c r="M7" s="527" t="s">
        <v>303</v>
      </c>
      <c r="N7" s="799" t="s">
        <v>303</v>
      </c>
      <c r="O7" s="799"/>
      <c r="P7" s="527"/>
      <c r="Q7" s="527"/>
      <c r="R7" s="527"/>
      <c r="S7" s="527"/>
      <c r="T7" s="527"/>
      <c r="U7" s="527"/>
      <c r="V7" s="829" t="s">
        <v>712</v>
      </c>
      <c r="W7" s="801"/>
      <c r="X7" s="801"/>
      <c r="Y7" s="801"/>
      <c r="Z7" s="801"/>
    </row>
    <row r="8" spans="1:26" s="75" customFormat="1" ht="6" customHeight="1">
      <c r="A8" s="516"/>
      <c r="B8" s="516"/>
      <c r="C8" s="517"/>
      <c r="D8" s="518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519"/>
      <c r="W8" s="519"/>
      <c r="X8" s="519"/>
      <c r="Y8" s="519"/>
      <c r="Z8" s="519"/>
    </row>
    <row r="9" spans="1:26">
      <c r="W9" s="804"/>
      <c r="X9" s="804"/>
      <c r="Y9" s="804"/>
      <c r="Z9" s="804"/>
    </row>
    <row r="10" spans="1:26" ht="30.75" customHeight="1">
      <c r="A10" s="624">
        <v>396210</v>
      </c>
      <c r="B10" s="832" t="s">
        <v>1271</v>
      </c>
      <c r="C10" s="811">
        <f>'-'!G43</f>
        <v>326</v>
      </c>
      <c r="D10" s="483">
        <f>'Table 3 Levels 1&amp;2'!$AL$24</f>
        <v>3386.5716964570697</v>
      </c>
      <c r="E10" s="457">
        <f t="shared" ref="E10:E17" si="4">ROUND(C10*D10,0)</f>
        <v>1104022</v>
      </c>
      <c r="F10" s="457">
        <f>F7</f>
        <v>801.47762416806802</v>
      </c>
      <c r="G10" s="457">
        <f t="shared" ref="G10:G17" si="5">F10*C10</f>
        <v>261281.70547879019</v>
      </c>
      <c r="H10" s="796">
        <f t="shared" ref="H10:H17" si="6">E10+G10</f>
        <v>1365303.7054787902</v>
      </c>
      <c r="I10" s="796" t="s">
        <v>712</v>
      </c>
      <c r="J10" s="796" t="s">
        <v>712</v>
      </c>
      <c r="K10" s="796">
        <v>0</v>
      </c>
      <c r="L10" s="796">
        <f>H10+K10</f>
        <v>1365303.7054787902</v>
      </c>
      <c r="M10" s="796">
        <v>0</v>
      </c>
      <c r="N10" s="588">
        <f>SUM(L10:M10)</f>
        <v>1365303.7054787902</v>
      </c>
      <c r="O10" s="588">
        <f>N10/12</f>
        <v>113775.30878989918</v>
      </c>
      <c r="P10" s="796">
        <f>'[8]FY2012-13 Initial'!$D$24</f>
        <v>5654</v>
      </c>
      <c r="Q10" s="457">
        <f>P10*C10</f>
        <v>1843204</v>
      </c>
      <c r="R10" s="457" t="s">
        <v>712</v>
      </c>
      <c r="S10" s="457" t="s">
        <v>712</v>
      </c>
      <c r="T10" s="457">
        <v>0</v>
      </c>
      <c r="U10" s="457">
        <f>Q10+T10</f>
        <v>1843204</v>
      </c>
      <c r="V10" s="796">
        <v>0</v>
      </c>
      <c r="W10" s="802">
        <f>SUM(U10:V10)</f>
        <v>1843204</v>
      </c>
      <c r="X10" s="802">
        <f>W10/12</f>
        <v>153600.33333333334</v>
      </c>
      <c r="Y10" s="802">
        <f>N10+W10</f>
        <v>3208507.7054787902</v>
      </c>
      <c r="Z10" s="802">
        <f>O10+X10</f>
        <v>267375.64212323254</v>
      </c>
    </row>
    <row r="11" spans="1:26" ht="30.75" customHeight="1">
      <c r="A11" s="624">
        <v>396205</v>
      </c>
      <c r="B11" s="832" t="s">
        <v>1269</v>
      </c>
      <c r="C11" s="811">
        <f>'-'!G44</f>
        <v>271</v>
      </c>
      <c r="D11" s="483">
        <f>'Table 3 Levels 1&amp;2'!$AL$24</f>
        <v>3386.5716964570697</v>
      </c>
      <c r="E11" s="457">
        <f t="shared" si="4"/>
        <v>917761</v>
      </c>
      <c r="F11" s="1519">
        <f>F7</f>
        <v>801.47762416806802</v>
      </c>
      <c r="G11" s="457">
        <f t="shared" si="5"/>
        <v>217200.43614954644</v>
      </c>
      <c r="H11" s="796">
        <f t="shared" si="6"/>
        <v>1134961.4361495464</v>
      </c>
      <c r="I11" s="796" t="s">
        <v>712</v>
      </c>
      <c r="J11" s="796" t="s">
        <v>712</v>
      </c>
      <c r="K11" s="796">
        <v>0</v>
      </c>
      <c r="L11" s="796">
        <f t="shared" ref="L11:L16" si="7">H11+K11</f>
        <v>1134961.4361495464</v>
      </c>
      <c r="M11" s="796">
        <v>0</v>
      </c>
      <c r="N11" s="588">
        <f t="shared" ref="N11:N17" si="8">SUM(L11:M11)</f>
        <v>1134961.4361495464</v>
      </c>
      <c r="O11" s="798">
        <f t="shared" ref="O11:O17" si="9">N11/12</f>
        <v>94580.119679128868</v>
      </c>
      <c r="P11" s="796">
        <f>'[8]FY2012-13 Initial'!$D$24</f>
        <v>5654</v>
      </c>
      <c r="Q11" s="457">
        <f t="shared" ref="Q11:Q17" si="10">P11*C11</f>
        <v>1532234</v>
      </c>
      <c r="R11" s="457" t="s">
        <v>712</v>
      </c>
      <c r="S11" s="457" t="s">
        <v>712</v>
      </c>
      <c r="T11" s="457">
        <v>0</v>
      </c>
      <c r="U11" s="457">
        <f t="shared" ref="U11:U17" si="11">Q11+T11</f>
        <v>1532234</v>
      </c>
      <c r="V11" s="796">
        <v>0</v>
      </c>
      <c r="W11" s="802">
        <f t="shared" ref="W11:W17" si="12">SUM(U11:V11)</f>
        <v>1532234</v>
      </c>
      <c r="X11" s="802">
        <f t="shared" ref="X11:X17" si="13">W11/12</f>
        <v>127686.16666666667</v>
      </c>
      <c r="Y11" s="802">
        <f t="shared" ref="Y11:Y17" si="14">N11+W11</f>
        <v>2667195.4361495464</v>
      </c>
      <c r="Z11" s="802">
        <f t="shared" ref="Z11:Z17" si="15">O11+X11</f>
        <v>222266.28634579555</v>
      </c>
    </row>
    <row r="12" spans="1:26" ht="30.75" customHeight="1">
      <c r="A12" s="624">
        <v>396206</v>
      </c>
      <c r="B12" s="832" t="s">
        <v>1268</v>
      </c>
      <c r="C12" s="811">
        <f>'-'!G45</f>
        <v>252</v>
      </c>
      <c r="D12" s="483">
        <f>'Table 3 Levels 1&amp;2'!$AL$24</f>
        <v>3386.5716964570697</v>
      </c>
      <c r="E12" s="457">
        <f t="shared" si="4"/>
        <v>853416</v>
      </c>
      <c r="F12" s="1519">
        <f>F7</f>
        <v>801.47762416806802</v>
      </c>
      <c r="G12" s="457">
        <f t="shared" si="5"/>
        <v>201972.36129035315</v>
      </c>
      <c r="H12" s="796">
        <f t="shared" si="6"/>
        <v>1055388.3612903531</v>
      </c>
      <c r="I12" s="796" t="s">
        <v>712</v>
      </c>
      <c r="J12" s="796" t="s">
        <v>712</v>
      </c>
      <c r="K12" s="796">
        <v>0</v>
      </c>
      <c r="L12" s="796">
        <f t="shared" si="7"/>
        <v>1055388.3612903531</v>
      </c>
      <c r="M12" s="796">
        <v>0</v>
      </c>
      <c r="N12" s="588">
        <f t="shared" si="8"/>
        <v>1055388.3612903531</v>
      </c>
      <c r="O12" s="588">
        <f t="shared" si="9"/>
        <v>87949.030107529426</v>
      </c>
      <c r="P12" s="796">
        <f>'[8]FY2012-13 Initial'!$D$24</f>
        <v>5654</v>
      </c>
      <c r="Q12" s="457">
        <f t="shared" si="10"/>
        <v>1424808</v>
      </c>
      <c r="R12" s="457" t="s">
        <v>712</v>
      </c>
      <c r="S12" s="457" t="s">
        <v>712</v>
      </c>
      <c r="T12" s="457">
        <v>0</v>
      </c>
      <c r="U12" s="457">
        <f t="shared" si="11"/>
        <v>1424808</v>
      </c>
      <c r="V12" s="796">
        <v>0</v>
      </c>
      <c r="W12" s="802">
        <f t="shared" si="12"/>
        <v>1424808</v>
      </c>
      <c r="X12" s="802">
        <f t="shared" si="13"/>
        <v>118734</v>
      </c>
      <c r="Y12" s="802">
        <f t="shared" si="14"/>
        <v>2480196.3612903534</v>
      </c>
      <c r="Z12" s="802">
        <f t="shared" si="15"/>
        <v>206683.03010752943</v>
      </c>
    </row>
    <row r="13" spans="1:26" ht="30.75" customHeight="1">
      <c r="A13" s="624">
        <v>369208</v>
      </c>
      <c r="B13" s="832" t="s">
        <v>1267</v>
      </c>
      <c r="C13" s="811">
        <f>'-'!G46</f>
        <v>402</v>
      </c>
      <c r="D13" s="483">
        <f>'Table 3 Levels 1&amp;2'!$AL$24</f>
        <v>3386.5716964570697</v>
      </c>
      <c r="E13" s="457">
        <f t="shared" si="4"/>
        <v>1361402</v>
      </c>
      <c r="F13" s="1519">
        <f>F7</f>
        <v>801.47762416806802</v>
      </c>
      <c r="G13" s="457">
        <f t="shared" si="5"/>
        <v>322194.00491556333</v>
      </c>
      <c r="H13" s="796">
        <f t="shared" si="6"/>
        <v>1683596.0049155634</v>
      </c>
      <c r="I13" s="796" t="s">
        <v>712</v>
      </c>
      <c r="J13" s="796" t="s">
        <v>712</v>
      </c>
      <c r="K13" s="796">
        <v>0</v>
      </c>
      <c r="L13" s="796">
        <f t="shared" si="7"/>
        <v>1683596.0049155634</v>
      </c>
      <c r="M13" s="796">
        <v>0</v>
      </c>
      <c r="N13" s="588">
        <f t="shared" si="8"/>
        <v>1683596.0049155634</v>
      </c>
      <c r="O13" s="588">
        <f t="shared" si="9"/>
        <v>140299.66707629696</v>
      </c>
      <c r="P13" s="796">
        <f>'[8]FY2012-13 Initial'!$D$24</f>
        <v>5654</v>
      </c>
      <c r="Q13" s="457">
        <f t="shared" si="10"/>
        <v>2272908</v>
      </c>
      <c r="R13" s="457" t="s">
        <v>712</v>
      </c>
      <c r="S13" s="457" t="s">
        <v>712</v>
      </c>
      <c r="T13" s="457">
        <v>0</v>
      </c>
      <c r="U13" s="457">
        <f t="shared" si="11"/>
        <v>2272908</v>
      </c>
      <c r="V13" s="796">
        <v>0</v>
      </c>
      <c r="W13" s="802">
        <f t="shared" si="12"/>
        <v>2272908</v>
      </c>
      <c r="X13" s="802">
        <f t="shared" si="13"/>
        <v>189409</v>
      </c>
      <c r="Y13" s="802">
        <f t="shared" si="14"/>
        <v>3956504.0049155634</v>
      </c>
      <c r="Z13" s="802">
        <f t="shared" si="15"/>
        <v>329708.66707629699</v>
      </c>
    </row>
    <row r="14" spans="1:26" ht="30.75" customHeight="1">
      <c r="A14" s="624">
        <v>369209</v>
      </c>
      <c r="B14" s="832" t="s">
        <v>1264</v>
      </c>
      <c r="C14" s="811">
        <f>'-'!G47</f>
        <v>391</v>
      </c>
      <c r="D14" s="483">
        <f>'Table 3 Levels 1&amp;2'!$AL$24</f>
        <v>3386.5716964570697</v>
      </c>
      <c r="E14" s="457">
        <f t="shared" si="4"/>
        <v>1324150</v>
      </c>
      <c r="F14" s="1519">
        <f>F7</f>
        <v>801.47762416806802</v>
      </c>
      <c r="G14" s="457">
        <f t="shared" si="5"/>
        <v>313377.75104971457</v>
      </c>
      <c r="H14" s="796">
        <f t="shared" si="6"/>
        <v>1637527.7510497146</v>
      </c>
      <c r="I14" s="796" t="s">
        <v>712</v>
      </c>
      <c r="J14" s="796" t="s">
        <v>712</v>
      </c>
      <c r="K14" s="796">
        <v>0</v>
      </c>
      <c r="L14" s="796">
        <f t="shared" si="7"/>
        <v>1637527.7510497146</v>
      </c>
      <c r="M14" s="796">
        <v>0</v>
      </c>
      <c r="N14" s="588">
        <f t="shared" si="8"/>
        <v>1637527.7510497146</v>
      </c>
      <c r="O14" s="588">
        <f t="shared" si="9"/>
        <v>136460.64592080956</v>
      </c>
      <c r="P14" s="796">
        <f>'[8]FY2012-13 Initial'!$D$24</f>
        <v>5654</v>
      </c>
      <c r="Q14" s="457">
        <f t="shared" si="10"/>
        <v>2210714</v>
      </c>
      <c r="R14" s="457" t="s">
        <v>712</v>
      </c>
      <c r="S14" s="457" t="s">
        <v>712</v>
      </c>
      <c r="T14" s="457">
        <v>0</v>
      </c>
      <c r="U14" s="457">
        <f t="shared" si="11"/>
        <v>2210714</v>
      </c>
      <c r="V14" s="796">
        <v>0</v>
      </c>
      <c r="W14" s="802">
        <f t="shared" si="12"/>
        <v>2210714</v>
      </c>
      <c r="X14" s="802">
        <f t="shared" si="13"/>
        <v>184226.16666666666</v>
      </c>
      <c r="Y14" s="802">
        <f t="shared" si="14"/>
        <v>3848241.7510497146</v>
      </c>
      <c r="Z14" s="802">
        <f t="shared" si="15"/>
        <v>320686.81258747622</v>
      </c>
    </row>
    <row r="15" spans="1:26" ht="32.25" customHeight="1">
      <c r="A15" s="624">
        <v>369204</v>
      </c>
      <c r="B15" s="832" t="s">
        <v>1265</v>
      </c>
      <c r="C15" s="482">
        <v>640</v>
      </c>
      <c r="D15" s="483">
        <f>'Table 3 Levels 1&amp;2'!$AL$24</f>
        <v>3386.5716964570697</v>
      </c>
      <c r="E15" s="457">
        <f t="shared" ref="E15" si="16">ROUND(C15*D15,0)</f>
        <v>2167406</v>
      </c>
      <c r="F15" s="1519">
        <f>F7</f>
        <v>801.47762416806802</v>
      </c>
      <c r="G15" s="457">
        <f t="shared" si="5"/>
        <v>512945.67946756352</v>
      </c>
      <c r="H15" s="796">
        <f t="shared" ref="H15" si="17">E15+G15</f>
        <v>2680351.6794675635</v>
      </c>
      <c r="I15" s="796" t="s">
        <v>712</v>
      </c>
      <c r="J15" s="796" t="s">
        <v>712</v>
      </c>
      <c r="K15" s="796">
        <v>0</v>
      </c>
      <c r="L15" s="796">
        <f t="shared" ref="L15" si="18">H15+K15</f>
        <v>2680351.6794675635</v>
      </c>
      <c r="M15" s="796">
        <v>0</v>
      </c>
      <c r="N15" s="588">
        <f t="shared" ref="N15" si="19">SUM(L15:M15)</f>
        <v>2680351.6794675635</v>
      </c>
      <c r="O15" s="588">
        <f t="shared" ref="O15" si="20">N15/12</f>
        <v>223362.63995563029</v>
      </c>
      <c r="P15" s="796">
        <f>'[8]FY2012-13 Initial'!$D$24</f>
        <v>5654</v>
      </c>
      <c r="Q15" s="457">
        <f t="shared" ref="Q15" si="21">P15*C15</f>
        <v>3618560</v>
      </c>
      <c r="R15" s="457" t="s">
        <v>712</v>
      </c>
      <c r="S15" s="457" t="s">
        <v>712</v>
      </c>
      <c r="T15" s="457">
        <v>0</v>
      </c>
      <c r="U15" s="457">
        <f t="shared" ref="U15" si="22">Q15+T15</f>
        <v>3618560</v>
      </c>
      <c r="V15" s="796">
        <v>0</v>
      </c>
      <c r="W15" s="802">
        <f t="shared" ref="W15" si="23">SUM(U15:V15)</f>
        <v>3618560</v>
      </c>
      <c r="X15" s="802">
        <f t="shared" ref="X15" si="24">W15/12</f>
        <v>301546.66666666669</v>
      </c>
      <c r="Y15" s="802">
        <f t="shared" ref="Y15" si="25">N15+W15</f>
        <v>6298911.6794675635</v>
      </c>
      <c r="Z15" s="802">
        <f t="shared" ref="Z15" si="26">O15+X15</f>
        <v>524909.30662229704</v>
      </c>
    </row>
    <row r="16" spans="1:26" ht="35.25" customHeight="1">
      <c r="A16" s="624">
        <v>369</v>
      </c>
      <c r="B16" s="832" t="s">
        <v>1266</v>
      </c>
      <c r="C16" s="482">
        <f>'-'!G106</f>
        <v>253</v>
      </c>
      <c r="D16" s="483">
        <f>'Table 3 Levels 1&amp;2'!$AL$24</f>
        <v>3386.5716964570697</v>
      </c>
      <c r="E16" s="457">
        <f t="shared" si="4"/>
        <v>856803</v>
      </c>
      <c r="F16" s="1519">
        <f>F7</f>
        <v>801.47762416806802</v>
      </c>
      <c r="G16" s="457">
        <f t="shared" si="5"/>
        <v>202773.83891452121</v>
      </c>
      <c r="H16" s="796">
        <f t="shared" si="6"/>
        <v>1059576.8389145213</v>
      </c>
      <c r="I16" s="796" t="s">
        <v>712</v>
      </c>
      <c r="J16" s="796" t="s">
        <v>712</v>
      </c>
      <c r="K16" s="796">
        <v>0</v>
      </c>
      <c r="L16" s="796">
        <f t="shared" si="7"/>
        <v>1059576.8389145213</v>
      </c>
      <c r="M16" s="796">
        <v>0</v>
      </c>
      <c r="N16" s="588">
        <f t="shared" si="8"/>
        <v>1059576.8389145213</v>
      </c>
      <c r="O16" s="588">
        <f t="shared" si="9"/>
        <v>88298.069909543439</v>
      </c>
      <c r="P16" s="796">
        <f>'[8]FY2012-13 Initial'!$D$24</f>
        <v>5654</v>
      </c>
      <c r="Q16" s="457">
        <f t="shared" si="10"/>
        <v>1430462</v>
      </c>
      <c r="R16" s="457" t="s">
        <v>712</v>
      </c>
      <c r="S16" s="457" t="s">
        <v>712</v>
      </c>
      <c r="T16" s="457">
        <v>0</v>
      </c>
      <c r="U16" s="457">
        <f t="shared" si="11"/>
        <v>1430462</v>
      </c>
      <c r="V16" s="457">
        <v>0</v>
      </c>
      <c r="W16" s="802">
        <f t="shared" si="12"/>
        <v>1430462</v>
      </c>
      <c r="X16" s="802">
        <f t="shared" si="13"/>
        <v>119205.16666666667</v>
      </c>
      <c r="Y16" s="802">
        <f t="shared" si="14"/>
        <v>2490038.838914521</v>
      </c>
      <c r="Z16" s="802">
        <f t="shared" si="15"/>
        <v>207503.23657621013</v>
      </c>
    </row>
    <row r="17" spans="1:26" ht="32.25" customHeight="1">
      <c r="A17" s="622">
        <v>389002</v>
      </c>
      <c r="B17" s="1395" t="s">
        <v>562</v>
      </c>
      <c r="C17" s="482">
        <f>'-'!G48</f>
        <v>475</v>
      </c>
      <c r="D17" s="483">
        <f>'Table 3 Levels 1&amp;2'!$AL$24</f>
        <v>3386.5716964570697</v>
      </c>
      <c r="E17" s="457">
        <f t="shared" si="4"/>
        <v>1608622</v>
      </c>
      <c r="F17" s="1519">
        <f>F7</f>
        <v>801.47762416806802</v>
      </c>
      <c r="G17" s="457">
        <f t="shared" si="5"/>
        <v>380701.87147983233</v>
      </c>
      <c r="H17" s="796">
        <f t="shared" si="6"/>
        <v>1989323.8714798323</v>
      </c>
      <c r="I17" s="796">
        <f>-H17*$I$5</f>
        <v>-34813.167750897068</v>
      </c>
      <c r="J17" s="796">
        <f t="shared" ref="J17" si="27">-H17*$J$5</f>
        <v>-4973.3096786995811</v>
      </c>
      <c r="K17" s="796">
        <f t="shared" ref="K17" si="28">I17+J17</f>
        <v>-39786.477429596649</v>
      </c>
      <c r="L17" s="796">
        <f>H17+K17</f>
        <v>1949537.3940502356</v>
      </c>
      <c r="M17" s="796">
        <v>-2930.9181493559095</v>
      </c>
      <c r="N17" s="588">
        <f t="shared" si="8"/>
        <v>1946606.4759008798</v>
      </c>
      <c r="O17" s="588">
        <f t="shared" si="9"/>
        <v>162217.20632507332</v>
      </c>
      <c r="P17" s="796">
        <f>'[8]FY2012-13 Initial'!$D$24</f>
        <v>5654</v>
      </c>
      <c r="Q17" s="457">
        <f t="shared" si="10"/>
        <v>2685650</v>
      </c>
      <c r="R17" s="457">
        <f t="shared" ref="R17" si="29">-Q17*$R$5</f>
        <v>-46998.875000000007</v>
      </c>
      <c r="S17" s="457">
        <f t="shared" ref="S17" si="30">-Q17*$S$5</f>
        <v>-6714.125</v>
      </c>
      <c r="T17" s="457">
        <f t="shared" ref="T17" si="31">R17+S17</f>
        <v>-53713.000000000007</v>
      </c>
      <c r="U17" s="457">
        <f t="shared" si="11"/>
        <v>2631937</v>
      </c>
      <c r="V17" s="457">
        <v>0</v>
      </c>
      <c r="W17" s="802">
        <f t="shared" si="12"/>
        <v>2631937</v>
      </c>
      <c r="X17" s="802">
        <f t="shared" si="13"/>
        <v>219328.08333333334</v>
      </c>
      <c r="Y17" s="802">
        <f t="shared" si="14"/>
        <v>4578543.4759008801</v>
      </c>
      <c r="Z17" s="802">
        <f t="shared" si="15"/>
        <v>381545.28965840663</v>
      </c>
    </row>
    <row r="18" spans="1:26" s="8" customFormat="1" ht="32.25" customHeight="1">
      <c r="A18" s="453"/>
      <c r="B18" s="453" t="s">
        <v>299</v>
      </c>
      <c r="C18" s="520">
        <f>SUM(C10:C17)</f>
        <v>3010</v>
      </c>
      <c r="D18" s="521"/>
      <c r="E18" s="522">
        <f>SUM(E10:E17)</f>
        <v>10193582</v>
      </c>
      <c r="F18" s="522"/>
      <c r="G18" s="522">
        <f t="shared" ref="G18:O18" si="32">SUM(G10:G17)</f>
        <v>2412447.6487458851</v>
      </c>
      <c r="H18" s="743">
        <f t="shared" si="32"/>
        <v>12606029.648745883</v>
      </c>
      <c r="I18" s="743">
        <f t="shared" si="32"/>
        <v>-34813.167750897068</v>
      </c>
      <c r="J18" s="743">
        <f t="shared" si="32"/>
        <v>-4973.3096786995811</v>
      </c>
      <c r="K18" s="743">
        <f t="shared" si="32"/>
        <v>-39786.477429596649</v>
      </c>
      <c r="L18" s="743">
        <f t="shared" si="32"/>
        <v>12566243.171316287</v>
      </c>
      <c r="M18" s="522">
        <f t="shared" si="32"/>
        <v>-2930.9181493559095</v>
      </c>
      <c r="N18" s="522">
        <f t="shared" si="32"/>
        <v>12563312.253166931</v>
      </c>
      <c r="O18" s="522">
        <f t="shared" si="32"/>
        <v>1046942.687763911</v>
      </c>
      <c r="P18" s="522"/>
      <c r="Q18" s="522">
        <f t="shared" ref="Q18:Z18" si="33">SUM(Q10:Q17)</f>
        <v>17018540</v>
      </c>
      <c r="R18" s="522">
        <f t="shared" si="33"/>
        <v>-46998.875000000007</v>
      </c>
      <c r="S18" s="522">
        <f t="shared" si="33"/>
        <v>-6714.125</v>
      </c>
      <c r="T18" s="522">
        <f t="shared" si="33"/>
        <v>-53713.000000000007</v>
      </c>
      <c r="U18" s="522">
        <f t="shared" si="33"/>
        <v>16964827</v>
      </c>
      <c r="V18" s="522">
        <f t="shared" si="33"/>
        <v>0</v>
      </c>
      <c r="W18" s="803">
        <f t="shared" si="33"/>
        <v>16964827</v>
      </c>
      <c r="X18" s="803">
        <f t="shared" si="33"/>
        <v>1413735.5833333333</v>
      </c>
      <c r="Y18" s="803">
        <f t="shared" si="33"/>
        <v>29528139.253166933</v>
      </c>
      <c r="Z18" s="803">
        <f t="shared" si="33"/>
        <v>2460678.2710972447</v>
      </c>
    </row>
    <row r="19" spans="1:26" s="8" customFormat="1" ht="36" customHeight="1">
      <c r="A19" s="826"/>
      <c r="B19" s="826" t="s">
        <v>330</v>
      </c>
      <c r="C19" s="827">
        <f>C18+C7</f>
        <v>43379</v>
      </c>
      <c r="D19" s="828"/>
      <c r="E19" s="828">
        <f>E18+E7</f>
        <v>146906095</v>
      </c>
      <c r="F19" s="828"/>
      <c r="G19" s="828">
        <f>G18+G7</f>
        <v>34767297.85878662</v>
      </c>
      <c r="H19" s="828">
        <f>H18+H7</f>
        <v>181673392.85878664</v>
      </c>
      <c r="I19" s="828"/>
      <c r="J19" s="828"/>
      <c r="K19" s="828"/>
      <c r="L19" s="828"/>
      <c r="M19" s="828"/>
      <c r="N19" s="828"/>
      <c r="O19" s="828"/>
      <c r="P19" s="828"/>
      <c r="Q19" s="828"/>
      <c r="R19" s="828"/>
      <c r="S19" s="828"/>
      <c r="T19" s="828"/>
      <c r="U19" s="828"/>
      <c r="V19" s="828"/>
      <c r="W19" s="828"/>
      <c r="X19" s="828"/>
      <c r="Y19" s="828"/>
      <c r="Z19" s="828"/>
    </row>
    <row r="20" spans="1:26" ht="6.75" customHeight="1">
      <c r="A20" s="523"/>
      <c r="B20" s="523"/>
      <c r="C20" s="524"/>
      <c r="D20" s="525"/>
      <c r="E20" s="525"/>
      <c r="F20" s="525"/>
      <c r="G20" s="525"/>
      <c r="H20" s="525"/>
      <c r="I20" s="525"/>
      <c r="J20" s="525"/>
      <c r="K20" s="525"/>
      <c r="L20" s="525"/>
      <c r="M20" s="525"/>
      <c r="N20" s="525"/>
      <c r="O20" s="525"/>
      <c r="P20" s="525"/>
      <c r="Q20" s="525"/>
      <c r="R20" s="525"/>
      <c r="S20" s="525"/>
      <c r="T20" s="525"/>
      <c r="U20" s="525"/>
      <c r="V20" s="525"/>
      <c r="W20" s="525"/>
      <c r="X20" s="525"/>
      <c r="Y20" s="525"/>
      <c r="Z20" s="525"/>
    </row>
    <row r="21" spans="1:26" s="526" customFormat="1" ht="40.5" customHeight="1">
      <c r="A21" s="750"/>
      <c r="B21" s="750" t="s">
        <v>622</v>
      </c>
      <c r="C21" s="529">
        <f>'Table 8 2.1.12 MFP Funded'!G42</f>
        <v>2582</v>
      </c>
      <c r="D21" s="457">
        <f>'Table 3 Levels 1&amp;2'!$AL$46</f>
        <v>3686.1886996918806</v>
      </c>
      <c r="E21" s="457">
        <f>ROUND(C21*D21,0)</f>
        <v>9517739</v>
      </c>
      <c r="F21" s="528">
        <v>779.65573042776441</v>
      </c>
      <c r="G21" s="528">
        <f>F21*C21</f>
        <v>2013071.0959644876</v>
      </c>
      <c r="H21" s="795">
        <f>E21+G21</f>
        <v>11530810.095964488</v>
      </c>
      <c r="I21" s="795"/>
      <c r="J21" s="795"/>
      <c r="K21" s="795"/>
      <c r="L21" s="795"/>
      <c r="M21" s="527" t="s">
        <v>303</v>
      </c>
      <c r="N21" s="587" t="s">
        <v>303</v>
      </c>
      <c r="O21" s="587"/>
      <c r="P21" s="890"/>
      <c r="Q21" s="527"/>
      <c r="R21" s="527"/>
      <c r="S21" s="527"/>
      <c r="T21" s="527"/>
      <c r="U21" s="527"/>
      <c r="V21" s="829" t="s">
        <v>712</v>
      </c>
      <c r="W21" s="801"/>
      <c r="X21" s="801"/>
      <c r="Y21" s="801"/>
      <c r="Z21" s="801"/>
    </row>
    <row r="22" spans="1:26" s="75" customFormat="1" ht="6" customHeight="1">
      <c r="A22" s="516"/>
      <c r="B22" s="516"/>
      <c r="C22" s="517"/>
      <c r="D22" s="518"/>
      <c r="E22" s="519"/>
      <c r="F22" s="519"/>
      <c r="G22" s="519"/>
      <c r="H22" s="742"/>
      <c r="I22" s="742"/>
      <c r="J22" s="742"/>
      <c r="K22" s="742"/>
      <c r="L22" s="742"/>
      <c r="M22" s="519"/>
      <c r="N22" s="590"/>
      <c r="O22" s="590"/>
      <c r="P22" s="519"/>
      <c r="Q22" s="519"/>
      <c r="R22" s="519"/>
      <c r="S22" s="519"/>
      <c r="T22" s="519"/>
      <c r="U22" s="519"/>
      <c r="V22" s="519"/>
      <c r="W22" s="519"/>
      <c r="X22" s="519"/>
      <c r="Y22" s="519"/>
      <c r="Z22" s="519"/>
    </row>
    <row r="23" spans="1:26" ht="38.25" customHeight="1">
      <c r="A23" s="1520">
        <v>369207</v>
      </c>
      <c r="B23" s="831" t="s">
        <v>1270</v>
      </c>
      <c r="C23" s="456">
        <f>'-'!G50</f>
        <v>277</v>
      </c>
      <c r="D23" s="457">
        <f>'Table 3 Levels 1&amp;2'!$AL$46</f>
        <v>3686.1886996918806</v>
      </c>
      <c r="E23" s="457">
        <f>ROUND(C23*D23,0)</f>
        <v>1021074</v>
      </c>
      <c r="F23" s="1519">
        <f>F21</f>
        <v>779.65573042776441</v>
      </c>
      <c r="G23" s="457">
        <f>F23*C23</f>
        <v>215964.63732849073</v>
      </c>
      <c r="H23" s="796">
        <f>E23+G23</f>
        <v>1237038.6373284906</v>
      </c>
      <c r="I23" s="796" t="s">
        <v>712</v>
      </c>
      <c r="J23" s="796" t="s">
        <v>712</v>
      </c>
      <c r="K23" s="796">
        <v>0</v>
      </c>
      <c r="L23" s="796">
        <f>H23+K23</f>
        <v>1237038.6373284906</v>
      </c>
      <c r="M23" s="796">
        <v>0</v>
      </c>
      <c r="N23" s="588">
        <f>SUM(L23:M23)</f>
        <v>1237038.6373284906</v>
      </c>
      <c r="O23" s="588">
        <f>N23/12</f>
        <v>103086.55311070755</v>
      </c>
      <c r="P23" s="796">
        <f>'[8]FY2012-13 Initial'!$D$46</f>
        <v>4060</v>
      </c>
      <c r="Q23" s="457">
        <f>P23*C23</f>
        <v>1124620</v>
      </c>
      <c r="R23" s="457" t="s">
        <v>712</v>
      </c>
      <c r="S23" s="457" t="s">
        <v>712</v>
      </c>
      <c r="T23" s="457">
        <v>0</v>
      </c>
      <c r="U23" s="457">
        <f>Q23+T23</f>
        <v>1124620</v>
      </c>
      <c r="V23" s="457">
        <v>0</v>
      </c>
      <c r="W23" s="802">
        <f>SUM(U23:V23)</f>
        <v>1124620</v>
      </c>
      <c r="X23" s="802">
        <f>W23/12</f>
        <v>93718.333333333328</v>
      </c>
      <c r="Y23" s="802">
        <f t="shared" ref="Y23" si="34">N23+W23</f>
        <v>2361658.6373284906</v>
      </c>
      <c r="Z23" s="802">
        <f t="shared" ref="Z23" si="35">O23+X23</f>
        <v>196804.88644404087</v>
      </c>
    </row>
    <row r="24" spans="1:26" s="8" customFormat="1" ht="39.75" customHeight="1">
      <c r="A24" s="822"/>
      <c r="B24" s="822" t="s">
        <v>626</v>
      </c>
      <c r="C24" s="823">
        <f>SUM(C21:C23)</f>
        <v>2859</v>
      </c>
      <c r="D24" s="824"/>
      <c r="E24" s="824">
        <f>SUM(E21:E23)</f>
        <v>10538813</v>
      </c>
      <c r="F24" s="824"/>
      <c r="G24" s="824">
        <f>SUM(G21:G23)</f>
        <v>2229035.7332929783</v>
      </c>
      <c r="H24" s="824">
        <f>SUM(H21:H23)</f>
        <v>12767848.733292978</v>
      </c>
      <c r="I24" s="824"/>
      <c r="J24" s="824"/>
      <c r="K24" s="824"/>
      <c r="L24" s="824"/>
      <c r="M24" s="824"/>
      <c r="N24" s="824"/>
      <c r="O24" s="824"/>
      <c r="P24" s="824"/>
      <c r="Q24" s="824"/>
      <c r="R24" s="824"/>
      <c r="S24" s="824"/>
      <c r="T24" s="824"/>
      <c r="U24" s="824"/>
      <c r="V24" s="824"/>
      <c r="W24" s="824"/>
      <c r="X24" s="824"/>
      <c r="Y24" s="824"/>
      <c r="Z24" s="824"/>
    </row>
    <row r="25" spans="1:26" ht="6.75" customHeight="1">
      <c r="A25" s="523"/>
      <c r="B25" s="523"/>
      <c r="C25" s="524"/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5"/>
      <c r="P25" s="525"/>
      <c r="Q25" s="525"/>
      <c r="R25" s="525"/>
      <c r="S25" s="525"/>
      <c r="T25" s="525"/>
      <c r="U25" s="525"/>
      <c r="V25" s="525"/>
      <c r="W25" s="525"/>
      <c r="X25" s="525"/>
      <c r="Y25" s="525"/>
      <c r="Z25" s="525"/>
    </row>
    <row r="26" spans="1:26" s="109" customFormat="1" ht="30">
      <c r="A26" s="624"/>
      <c r="B26" s="624" t="s">
        <v>623</v>
      </c>
      <c r="C26" s="529">
        <f>'Table 8 2.1.12 MFP Funded'!G12</f>
        <v>40653</v>
      </c>
      <c r="D26" s="483">
        <f>'Table 3 Levels 1&amp;2'!$AL$16</f>
        <v>4268.3217271902904</v>
      </c>
      <c r="E26" s="457">
        <f>ROUND(C26*D26,0)</f>
        <v>173520083</v>
      </c>
      <c r="F26" s="741">
        <v>744.76</v>
      </c>
      <c r="G26" s="457">
        <f>F26*C26</f>
        <v>30276728.280000001</v>
      </c>
      <c r="H26" s="796">
        <f>E26+G26</f>
        <v>203796811.28</v>
      </c>
      <c r="I26" s="796"/>
      <c r="J26" s="796"/>
      <c r="K26" s="796"/>
      <c r="L26" s="796"/>
      <c r="M26" s="527" t="s">
        <v>303</v>
      </c>
      <c r="N26" s="588" t="s">
        <v>303</v>
      </c>
      <c r="O26" s="588"/>
      <c r="P26" s="527"/>
      <c r="Q26" s="527"/>
      <c r="R26" s="527"/>
      <c r="S26" s="527"/>
      <c r="T26" s="527"/>
      <c r="U26" s="527"/>
      <c r="V26" s="527"/>
      <c r="W26" s="801"/>
      <c r="X26" s="801"/>
      <c r="Y26" s="801"/>
      <c r="Z26" s="801"/>
    </row>
    <row r="27" spans="1:26" s="75" customFormat="1" ht="6" customHeight="1">
      <c r="A27" s="516"/>
      <c r="B27" s="516"/>
      <c r="C27" s="517"/>
      <c r="D27" s="518"/>
      <c r="E27" s="519"/>
      <c r="F27" s="742"/>
      <c r="G27" s="519"/>
      <c r="H27" s="742"/>
      <c r="I27" s="742"/>
      <c r="J27" s="742"/>
      <c r="K27" s="742"/>
      <c r="L27" s="742"/>
      <c r="M27" s="519"/>
      <c r="N27" s="590"/>
      <c r="O27" s="590"/>
      <c r="P27" s="519"/>
      <c r="Q27" s="519"/>
      <c r="R27" s="519"/>
      <c r="S27" s="519"/>
      <c r="T27" s="519"/>
      <c r="U27" s="519"/>
      <c r="V27" s="519"/>
      <c r="W27" s="519"/>
      <c r="X27" s="519"/>
      <c r="Y27" s="519"/>
      <c r="Z27" s="519"/>
    </row>
    <row r="28" spans="1:26" ht="32.25" customHeight="1">
      <c r="A28" s="622">
        <v>396201</v>
      </c>
      <c r="B28" s="832" t="s">
        <v>654</v>
      </c>
      <c r="C28" s="482">
        <f>'-'!G105</f>
        <v>166</v>
      </c>
      <c r="D28" s="483">
        <f>'Table 3 Levels 1&amp;2'!$AL$16</f>
        <v>4268.3217271902904</v>
      </c>
      <c r="E28" s="457">
        <f>ROUND(C28*D28,0)</f>
        <v>708541</v>
      </c>
      <c r="F28" s="741">
        <f>F26</f>
        <v>744.76</v>
      </c>
      <c r="G28" s="457">
        <f>F28*C28</f>
        <v>123630.16</v>
      </c>
      <c r="H28" s="796">
        <f>E28+G28</f>
        <v>832171.16</v>
      </c>
      <c r="I28" s="796" t="s">
        <v>712</v>
      </c>
      <c r="J28" s="796" t="s">
        <v>712</v>
      </c>
      <c r="K28" s="796">
        <v>0</v>
      </c>
      <c r="L28" s="796">
        <f>H28+K28</f>
        <v>832171.16</v>
      </c>
      <c r="M28" s="796">
        <v>-16324.608789958555</v>
      </c>
      <c r="N28" s="588">
        <f>SUM(L28:M28)</f>
        <v>815846.55121004151</v>
      </c>
      <c r="O28" s="588">
        <f>N28/12</f>
        <v>67987.212600836792</v>
      </c>
      <c r="P28" s="796">
        <f>'[8]FY2012-13 Initial'!$D$16</f>
        <v>3866</v>
      </c>
      <c r="Q28" s="457">
        <f>P28*C28</f>
        <v>641756</v>
      </c>
      <c r="R28" s="457" t="s">
        <v>712</v>
      </c>
      <c r="S28" s="457" t="s">
        <v>712</v>
      </c>
      <c r="T28" s="457">
        <v>0</v>
      </c>
      <c r="U28" s="457">
        <f>Q28+T28</f>
        <v>641756</v>
      </c>
      <c r="V28" s="457">
        <v>-9469</v>
      </c>
      <c r="W28" s="802">
        <f>SUM(U28:V28)</f>
        <v>632287</v>
      </c>
      <c r="X28" s="802">
        <f>W28/12</f>
        <v>52690.583333333336</v>
      </c>
      <c r="Y28" s="802">
        <f t="shared" ref="Y28:Y29" si="36">N28+W28</f>
        <v>1448133.5512100416</v>
      </c>
      <c r="Z28" s="802">
        <f t="shared" ref="Z28:Z29" si="37">O28+X28</f>
        <v>120677.79593417014</v>
      </c>
    </row>
    <row r="29" spans="1:26" ht="33.75" customHeight="1">
      <c r="A29" s="622">
        <v>371001</v>
      </c>
      <c r="B29" s="1395" t="s">
        <v>563</v>
      </c>
      <c r="C29" s="482">
        <f>'-'!G41</f>
        <v>478</v>
      </c>
      <c r="D29" s="483">
        <f>'Table 3 Levels 1&amp;2'!$AL$16</f>
        <v>4268.3217271902904</v>
      </c>
      <c r="E29" s="457">
        <f>ROUND(C29*D29,0)</f>
        <v>2040258</v>
      </c>
      <c r="F29" s="741">
        <f>F26</f>
        <v>744.76</v>
      </c>
      <c r="G29" s="457">
        <f>F29*C29</f>
        <v>355995.27999999997</v>
      </c>
      <c r="H29" s="796">
        <f>E29+G29</f>
        <v>2396253.2799999998</v>
      </c>
      <c r="I29" s="796">
        <f>-H29*$I$5</f>
        <v>-41934.432399999998</v>
      </c>
      <c r="J29" s="796">
        <f>-H29*$J$5</f>
        <v>-5990.6331999999993</v>
      </c>
      <c r="K29" s="796">
        <f>I29+J29</f>
        <v>-47925.065599999994</v>
      </c>
      <c r="L29" s="796">
        <f>H29+K29</f>
        <v>2348328.2143999999</v>
      </c>
      <c r="M29" s="796">
        <v>-15389.013847659691</v>
      </c>
      <c r="N29" s="588">
        <f>SUM(L29:M29)</f>
        <v>2332939.2005523401</v>
      </c>
      <c r="O29" s="588">
        <f>N29/12</f>
        <v>194411.60004602835</v>
      </c>
      <c r="P29" s="796">
        <f>'[8]FY2012-13 Initial'!$D$16</f>
        <v>3866</v>
      </c>
      <c r="Q29" s="457">
        <f>P29*C29</f>
        <v>1847948</v>
      </c>
      <c r="R29" s="457">
        <f>-Q29*$R$5</f>
        <v>-32339.090000000004</v>
      </c>
      <c r="S29" s="457">
        <f>-Q29*$S$5</f>
        <v>-4619.87</v>
      </c>
      <c r="T29" s="457">
        <f>R29+S29</f>
        <v>-36958.960000000006</v>
      </c>
      <c r="U29" s="457">
        <f>Q29+T29</f>
        <v>1810989.04</v>
      </c>
      <c r="V29" s="457">
        <v>-11721</v>
      </c>
      <c r="W29" s="802">
        <f>SUM(U29:V29)</f>
        <v>1799268.04</v>
      </c>
      <c r="X29" s="802">
        <f>W29/12</f>
        <v>149939.00333333333</v>
      </c>
      <c r="Y29" s="802">
        <f t="shared" si="36"/>
        <v>4132207.2405523402</v>
      </c>
      <c r="Z29" s="802">
        <f t="shared" si="37"/>
        <v>344350.60337936168</v>
      </c>
    </row>
    <row r="30" spans="1:26" s="8" customFormat="1" ht="32.25" customHeight="1">
      <c r="A30" s="453"/>
      <c r="B30" s="453" t="s">
        <v>300</v>
      </c>
      <c r="C30" s="520">
        <f>SUM(C28:C29)</f>
        <v>644</v>
      </c>
      <c r="D30" s="521"/>
      <c r="E30" s="522">
        <f>SUM(E28:E29)</f>
        <v>2748799</v>
      </c>
      <c r="F30" s="743"/>
      <c r="G30" s="522">
        <f t="shared" ref="G30:O30" si="38">SUM(G28:G29)</f>
        <v>479625.43999999994</v>
      </c>
      <c r="H30" s="743">
        <f t="shared" si="38"/>
        <v>3228424.44</v>
      </c>
      <c r="I30" s="743">
        <f t="shared" si="38"/>
        <v>-41934.432399999998</v>
      </c>
      <c r="J30" s="743">
        <f t="shared" si="38"/>
        <v>-5990.6331999999993</v>
      </c>
      <c r="K30" s="743">
        <f t="shared" si="38"/>
        <v>-47925.065599999994</v>
      </c>
      <c r="L30" s="743">
        <f t="shared" si="38"/>
        <v>3180499.3744000001</v>
      </c>
      <c r="M30" s="522">
        <f t="shared" si="38"/>
        <v>-31713.622637618246</v>
      </c>
      <c r="N30" s="589">
        <f t="shared" si="38"/>
        <v>3148785.7517623818</v>
      </c>
      <c r="O30" s="589">
        <f t="shared" si="38"/>
        <v>262398.81264686515</v>
      </c>
      <c r="P30" s="522"/>
      <c r="Q30" s="522">
        <f>SUM(Q28:Q29)</f>
        <v>2489704</v>
      </c>
      <c r="R30" s="522">
        <f t="shared" ref="R30:Z30" si="39">SUM(R28:R29)</f>
        <v>-32339.090000000004</v>
      </c>
      <c r="S30" s="522">
        <f t="shared" si="39"/>
        <v>-4619.87</v>
      </c>
      <c r="T30" s="522">
        <f t="shared" si="39"/>
        <v>-36958.960000000006</v>
      </c>
      <c r="U30" s="522">
        <f t="shared" si="39"/>
        <v>2452745.04</v>
      </c>
      <c r="V30" s="522">
        <f t="shared" si="39"/>
        <v>-21190</v>
      </c>
      <c r="W30" s="803">
        <f t="shared" si="39"/>
        <v>2431555.04</v>
      </c>
      <c r="X30" s="803">
        <f t="shared" si="39"/>
        <v>202629.58666666667</v>
      </c>
      <c r="Y30" s="803">
        <f t="shared" si="39"/>
        <v>5580340.7917623818</v>
      </c>
      <c r="Z30" s="803">
        <f t="shared" si="39"/>
        <v>465028.39931353182</v>
      </c>
    </row>
    <row r="31" spans="1:26" s="8" customFormat="1" ht="33.75" customHeight="1">
      <c r="A31" s="822"/>
      <c r="B31" s="822" t="s">
        <v>627</v>
      </c>
      <c r="C31" s="823">
        <f>C30+C26</f>
        <v>41297</v>
      </c>
      <c r="D31" s="825"/>
      <c r="E31" s="824">
        <f>E30+E26</f>
        <v>176268882</v>
      </c>
      <c r="F31" s="824"/>
      <c r="G31" s="824">
        <f>G30+G26</f>
        <v>30756353.720000003</v>
      </c>
      <c r="H31" s="824">
        <f>H30+H26</f>
        <v>207025235.72</v>
      </c>
      <c r="I31" s="824"/>
      <c r="J31" s="824"/>
      <c r="K31" s="824"/>
      <c r="L31" s="824"/>
      <c r="M31" s="824"/>
      <c r="N31" s="824"/>
      <c r="O31" s="824"/>
      <c r="P31" s="824"/>
      <c r="Q31" s="824"/>
      <c r="R31" s="824"/>
      <c r="S31" s="824"/>
      <c r="T31" s="824"/>
      <c r="U31" s="824"/>
      <c r="V31" s="824"/>
      <c r="W31" s="824"/>
      <c r="X31" s="824"/>
      <c r="Y31" s="824"/>
      <c r="Z31" s="824"/>
    </row>
    <row r="32" spans="1:26" s="738" customFormat="1" ht="6.75" customHeight="1">
      <c r="A32" s="746"/>
      <c r="B32" s="746"/>
      <c r="C32" s="747"/>
      <c r="D32" s="748"/>
      <c r="E32" s="749"/>
      <c r="F32" s="749"/>
      <c r="G32" s="749"/>
      <c r="H32" s="800"/>
      <c r="I32" s="800"/>
      <c r="J32" s="800"/>
      <c r="K32" s="800"/>
      <c r="L32" s="800"/>
      <c r="M32" s="749"/>
      <c r="N32" s="749"/>
      <c r="O32" s="749"/>
      <c r="P32" s="749"/>
      <c r="Q32" s="749"/>
      <c r="R32" s="749"/>
      <c r="S32" s="749"/>
      <c r="T32" s="749"/>
      <c r="U32" s="749"/>
      <c r="V32" s="749"/>
      <c r="W32" s="749"/>
      <c r="X32" s="749"/>
      <c r="Y32" s="749"/>
      <c r="Z32" s="749"/>
    </row>
    <row r="33" spans="1:26" s="738" customFormat="1" ht="30.75" customHeight="1">
      <c r="A33" s="624"/>
      <c r="B33" s="624" t="s">
        <v>625</v>
      </c>
      <c r="C33" s="529">
        <f>'Table 8 2.1.12 MFP Funded'!G49</f>
        <v>760</v>
      </c>
      <c r="D33" s="457">
        <f>'Table 3 Levels 1&amp;2'!AL53</f>
        <v>5765.0314518803261</v>
      </c>
      <c r="E33" s="457">
        <f>ROUND(C33*D33,0)</f>
        <v>4381424</v>
      </c>
      <c r="F33" s="528">
        <v>728.06</v>
      </c>
      <c r="G33" s="528">
        <f>F33*C33</f>
        <v>553325.6</v>
      </c>
      <c r="H33" s="795">
        <f>E33+G33</f>
        <v>4934749.5999999996</v>
      </c>
      <c r="I33" s="795"/>
      <c r="J33" s="795"/>
      <c r="K33" s="796"/>
      <c r="L33" s="795"/>
      <c r="M33" s="527" t="s">
        <v>303</v>
      </c>
      <c r="N33" s="587" t="s">
        <v>303</v>
      </c>
      <c r="O33" s="587"/>
      <c r="P33" s="527"/>
      <c r="Q33" s="527"/>
      <c r="R33" s="527"/>
      <c r="S33" s="527"/>
      <c r="T33" s="527"/>
      <c r="U33" s="527"/>
      <c r="V33" s="527"/>
      <c r="W33" s="801"/>
      <c r="X33" s="801"/>
      <c r="Y33" s="801"/>
      <c r="Z33" s="801"/>
    </row>
    <row r="34" spans="1:26" s="738" customFormat="1" ht="6.75" customHeight="1">
      <c r="A34" s="516"/>
      <c r="B34" s="516"/>
      <c r="C34" s="517"/>
      <c r="D34" s="518"/>
      <c r="E34" s="519"/>
      <c r="F34" s="519"/>
      <c r="G34" s="519"/>
      <c r="H34" s="742"/>
      <c r="I34" s="742"/>
      <c r="J34" s="742"/>
      <c r="K34" s="742"/>
      <c r="L34" s="742"/>
      <c r="M34" s="519"/>
      <c r="N34" s="590"/>
      <c r="O34" s="590"/>
      <c r="P34" s="519"/>
      <c r="Q34" s="519"/>
      <c r="R34" s="519"/>
      <c r="S34" s="519"/>
      <c r="T34" s="519"/>
      <c r="U34" s="519"/>
      <c r="V34" s="519"/>
      <c r="W34" s="519"/>
      <c r="X34" s="519"/>
      <c r="Y34" s="519"/>
      <c r="Z34" s="519"/>
    </row>
    <row r="35" spans="1:26" s="738" customFormat="1" ht="34.5" customHeight="1">
      <c r="A35" s="623">
        <v>396200</v>
      </c>
      <c r="B35" s="831" t="s">
        <v>629</v>
      </c>
      <c r="C35" s="456">
        <f>'-'!G107</f>
        <v>336</v>
      </c>
      <c r="D35" s="457">
        <f>'Table 3 Levels 1&amp;2'!AL53</f>
        <v>5765.0314518803261</v>
      </c>
      <c r="E35" s="457">
        <f>ROUND(C35*D35,0)</f>
        <v>1937051</v>
      </c>
      <c r="F35" s="457">
        <v>728.06</v>
      </c>
      <c r="G35" s="457">
        <f>F35*C35</f>
        <v>244628.15999999997</v>
      </c>
      <c r="H35" s="796">
        <f>E35+G35</f>
        <v>2181679.16</v>
      </c>
      <c r="I35" s="796" t="s">
        <v>712</v>
      </c>
      <c r="J35" s="796" t="s">
        <v>712</v>
      </c>
      <c r="K35" s="796">
        <v>0</v>
      </c>
      <c r="L35" s="796">
        <f>H35+K35</f>
        <v>2181679.16</v>
      </c>
      <c r="M35" s="796">
        <v>-23487.036266460858</v>
      </c>
      <c r="N35" s="588">
        <f>SUM(L35:M35)</f>
        <v>2158192.1237335391</v>
      </c>
      <c r="O35" s="588">
        <f>N35/12</f>
        <v>179849.34364446159</v>
      </c>
      <c r="P35" s="796">
        <f>'[8]FY2012-13 Initial'!$D$53</f>
        <v>973</v>
      </c>
      <c r="Q35" s="457">
        <f>P35*C35</f>
        <v>326928</v>
      </c>
      <c r="R35" s="457" t="s">
        <v>712</v>
      </c>
      <c r="S35" s="457" t="s">
        <v>712</v>
      </c>
      <c r="T35" s="457">
        <v>0</v>
      </c>
      <c r="U35" s="457">
        <f>Q35+T35</f>
        <v>326928</v>
      </c>
      <c r="V35" s="457">
        <v>-2907</v>
      </c>
      <c r="W35" s="802">
        <f>SUM(U35:V35)</f>
        <v>324021</v>
      </c>
      <c r="X35" s="802">
        <f>W35/12</f>
        <v>27001.75</v>
      </c>
      <c r="Y35" s="802">
        <f t="shared" ref="Y35" si="40">N35+W35</f>
        <v>2482213.1237335391</v>
      </c>
      <c r="Z35" s="802">
        <f t="shared" ref="Z35" si="41">O35+X35</f>
        <v>206851.09364446159</v>
      </c>
    </row>
    <row r="36" spans="1:26" s="738" customFormat="1" ht="40.5" customHeight="1">
      <c r="A36" s="822"/>
      <c r="B36" s="822" t="s">
        <v>628</v>
      </c>
      <c r="C36" s="823">
        <f>SUM(C33:C35)</f>
        <v>1096</v>
      </c>
      <c r="D36" s="824"/>
      <c r="E36" s="824">
        <f>SUM(E33:E35)</f>
        <v>6318475</v>
      </c>
      <c r="F36" s="824"/>
      <c r="G36" s="824">
        <f>SUM(G33:G35)</f>
        <v>797953.76</v>
      </c>
      <c r="H36" s="824">
        <f>SUM(H33:H35)</f>
        <v>7116428.7599999998</v>
      </c>
      <c r="I36" s="824"/>
      <c r="J36" s="824"/>
      <c r="K36" s="824"/>
      <c r="L36" s="824"/>
      <c r="M36" s="824"/>
      <c r="N36" s="824"/>
      <c r="O36" s="824"/>
      <c r="P36" s="824"/>
      <c r="Q36" s="824"/>
      <c r="R36" s="824"/>
      <c r="S36" s="824"/>
      <c r="T36" s="824"/>
      <c r="U36" s="824"/>
      <c r="V36" s="824"/>
      <c r="W36" s="824"/>
      <c r="X36" s="824"/>
      <c r="Y36" s="824"/>
      <c r="Z36" s="824"/>
    </row>
    <row r="37" spans="1:26" s="738" customFormat="1" ht="5.25" customHeight="1">
      <c r="A37" s="746"/>
      <c r="B37" s="746"/>
      <c r="C37" s="747"/>
      <c r="D37" s="748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49"/>
      <c r="Y37" s="749"/>
      <c r="Z37" s="749"/>
    </row>
    <row r="38" spans="1:26" s="8" customFormat="1" ht="33.75" customHeight="1">
      <c r="A38" s="453"/>
      <c r="B38" s="453" t="s">
        <v>301</v>
      </c>
      <c r="C38" s="531">
        <f>C18+C23+C30+C35</f>
        <v>4267</v>
      </c>
      <c r="D38" s="592"/>
      <c r="E38" s="593">
        <f>E18+E23+E30+E35</f>
        <v>15900506</v>
      </c>
      <c r="F38" s="593"/>
      <c r="G38" s="593">
        <f t="shared" ref="G38:N38" si="42">G18+G23+G30+G35</f>
        <v>3352665.8860743758</v>
      </c>
      <c r="H38" s="797">
        <f t="shared" si="42"/>
        <v>19253171.886074375</v>
      </c>
      <c r="I38" s="797">
        <f>I18+I30</f>
        <v>-76747.600150897066</v>
      </c>
      <c r="J38" s="797">
        <f>J18+J30</f>
        <v>-10963.942878699581</v>
      </c>
      <c r="K38" s="797">
        <f t="shared" si="42"/>
        <v>-87711.543029596651</v>
      </c>
      <c r="L38" s="797">
        <f t="shared" si="42"/>
        <v>19165460.343044776</v>
      </c>
      <c r="M38" s="522">
        <f t="shared" si="42"/>
        <v>-58131.577053435016</v>
      </c>
      <c r="N38" s="594">
        <f t="shared" si="42"/>
        <v>19107328.765991341</v>
      </c>
      <c r="O38" s="594">
        <f t="shared" ref="O38:Z38" si="43">O18+O23+O30+O35</f>
        <v>1592277.3971659453</v>
      </c>
      <c r="P38" s="593"/>
      <c r="Q38" s="593">
        <f t="shared" si="43"/>
        <v>20959792</v>
      </c>
      <c r="R38" s="593">
        <f>R18+R30</f>
        <v>-79337.965000000011</v>
      </c>
      <c r="S38" s="593">
        <f>S18+S30</f>
        <v>-11333.994999999999</v>
      </c>
      <c r="T38" s="593">
        <f t="shared" si="43"/>
        <v>-90671.960000000021</v>
      </c>
      <c r="U38" s="593">
        <f t="shared" si="43"/>
        <v>20869120.039999999</v>
      </c>
      <c r="V38" s="593">
        <f t="shared" si="43"/>
        <v>-24097</v>
      </c>
      <c r="W38" s="805">
        <f t="shared" si="43"/>
        <v>20845023.039999999</v>
      </c>
      <c r="X38" s="805">
        <f>X18+X23+X30+X35</f>
        <v>1737085.2533333332</v>
      </c>
      <c r="Y38" s="805">
        <f t="shared" si="43"/>
        <v>39952351.805991337</v>
      </c>
      <c r="Z38" s="805">
        <f t="shared" si="43"/>
        <v>3329362.6504992791</v>
      </c>
    </row>
    <row r="39" spans="1:26" s="75" customFormat="1" ht="8.25" customHeight="1">
      <c r="A39" s="523"/>
      <c r="B39" s="523"/>
      <c r="C39" s="524"/>
      <c r="D39" s="591"/>
      <c r="E39" s="525"/>
      <c r="F39" s="525"/>
      <c r="G39" s="525"/>
      <c r="H39" s="525"/>
      <c r="I39" s="525"/>
      <c r="J39" s="525"/>
      <c r="K39" s="525"/>
      <c r="L39" s="525"/>
      <c r="M39" s="525"/>
      <c r="N39" s="525"/>
      <c r="O39" s="525"/>
      <c r="P39" s="525"/>
      <c r="Q39" s="525"/>
      <c r="R39" s="525"/>
      <c r="S39" s="525"/>
      <c r="T39" s="525"/>
      <c r="U39" s="525"/>
      <c r="V39" s="525"/>
      <c r="W39" s="525"/>
      <c r="X39" s="525"/>
      <c r="Y39" s="525"/>
      <c r="Z39" s="525"/>
    </row>
    <row r="40" spans="1:26" s="8" customFormat="1" ht="38.25" customHeight="1">
      <c r="A40" s="453"/>
      <c r="B40" s="453" t="s">
        <v>709</v>
      </c>
      <c r="C40" s="531"/>
      <c r="D40" s="592"/>
      <c r="E40" s="593"/>
      <c r="F40" s="593"/>
      <c r="G40" s="593"/>
      <c r="H40" s="797"/>
      <c r="I40" s="743"/>
      <c r="J40" s="743">
        <f>-J38</f>
        <v>10963.942878699581</v>
      </c>
      <c r="K40" s="743">
        <f>SUM(I40:J40)</f>
        <v>10963.942878699581</v>
      </c>
      <c r="L40" s="743"/>
      <c r="M40" s="522"/>
      <c r="N40" s="589"/>
      <c r="O40" s="589"/>
      <c r="P40" s="593"/>
      <c r="Q40" s="593"/>
      <c r="R40" s="593"/>
      <c r="S40" s="593">
        <f>-S38</f>
        <v>11333.994999999999</v>
      </c>
      <c r="T40" s="593">
        <f>SUM(R40:S40)</f>
        <v>11333.994999999999</v>
      </c>
      <c r="U40" s="593"/>
      <c r="V40" s="593"/>
      <c r="W40" s="593"/>
      <c r="X40" s="593"/>
      <c r="Y40" s="593"/>
      <c r="Z40" s="593"/>
    </row>
    <row r="41" spans="1:26" s="75" customFormat="1" ht="8.25" customHeight="1">
      <c r="A41" s="523"/>
      <c r="B41" s="523"/>
      <c r="C41" s="524"/>
      <c r="D41" s="591"/>
      <c r="E41" s="525"/>
      <c r="F41" s="525"/>
      <c r="G41" s="525"/>
      <c r="H41" s="525"/>
      <c r="I41" s="525"/>
      <c r="J41" s="525"/>
      <c r="K41" s="525"/>
      <c r="L41" s="525"/>
      <c r="M41" s="525"/>
      <c r="N41" s="525"/>
      <c r="O41" s="525"/>
      <c r="P41" s="525"/>
      <c r="Q41" s="525"/>
      <c r="R41" s="525"/>
      <c r="S41" s="525"/>
      <c r="T41" s="525"/>
      <c r="U41" s="525"/>
      <c r="V41" s="525"/>
      <c r="W41" s="525"/>
      <c r="X41" s="525"/>
      <c r="Y41" s="525"/>
      <c r="Z41" s="525"/>
    </row>
    <row r="42" spans="1:26" s="8" customFormat="1" ht="38.25" customHeight="1">
      <c r="A42" s="453"/>
      <c r="B42" s="453" t="s">
        <v>710</v>
      </c>
      <c r="C42" s="531"/>
      <c r="D42" s="592"/>
      <c r="E42" s="593"/>
      <c r="F42" s="593"/>
      <c r="G42" s="593"/>
      <c r="H42" s="797"/>
      <c r="I42" s="743">
        <f>-I38</f>
        <v>76747.600150897066</v>
      </c>
      <c r="J42" s="743"/>
      <c r="K42" s="743">
        <f>SUM(I42:J42)</f>
        <v>76747.600150897066</v>
      </c>
      <c r="L42" s="743"/>
      <c r="M42" s="522"/>
      <c r="N42" s="589"/>
      <c r="O42" s="589"/>
      <c r="P42" s="593"/>
      <c r="Q42" s="593"/>
      <c r="R42" s="593">
        <f>-R38</f>
        <v>79337.965000000011</v>
      </c>
      <c r="S42" s="593"/>
      <c r="T42" s="593">
        <f>SUM(R42:S42)</f>
        <v>79337.965000000011</v>
      </c>
      <c r="U42" s="593"/>
      <c r="V42" s="593"/>
      <c r="W42" s="593"/>
      <c r="X42" s="593"/>
      <c r="Y42" s="593"/>
      <c r="Z42" s="593"/>
    </row>
    <row r="43" spans="1:26" s="75" customFormat="1" ht="8.25" customHeight="1">
      <c r="A43" s="523"/>
      <c r="B43" s="523"/>
      <c r="C43" s="524"/>
      <c r="D43" s="591"/>
      <c r="E43" s="525"/>
      <c r="F43" s="525"/>
      <c r="G43" s="525"/>
      <c r="H43" s="525"/>
      <c r="I43" s="525"/>
      <c r="J43" s="525"/>
      <c r="K43" s="525"/>
      <c r="L43" s="525"/>
      <c r="M43" s="525"/>
      <c r="N43" s="525"/>
      <c r="O43" s="525"/>
      <c r="P43" s="525"/>
      <c r="Q43" s="525"/>
      <c r="R43" s="525">
        <f>-R38</f>
        <v>79337.965000000011</v>
      </c>
      <c r="S43" s="525"/>
      <c r="T43" s="525"/>
      <c r="U43" s="525"/>
      <c r="V43" s="525"/>
      <c r="W43" s="525"/>
      <c r="X43" s="525"/>
      <c r="Y43" s="525"/>
      <c r="Z43" s="525"/>
    </row>
    <row r="44" spans="1:26" s="8" customFormat="1" ht="25.5" customHeight="1">
      <c r="A44" s="453"/>
      <c r="B44" s="453" t="s">
        <v>193</v>
      </c>
      <c r="C44" s="531"/>
      <c r="D44" s="592"/>
      <c r="E44" s="593"/>
      <c r="F44" s="593"/>
      <c r="G44" s="593"/>
      <c r="H44" s="797"/>
      <c r="I44" s="743">
        <f>SUM(I38:I42)</f>
        <v>0</v>
      </c>
      <c r="J44" s="743">
        <f>SUM(J38:J42)</f>
        <v>0</v>
      </c>
      <c r="K44" s="743">
        <f>SUM(K38:K42)</f>
        <v>0</v>
      </c>
      <c r="L44" s="743"/>
      <c r="M44" s="522"/>
      <c r="N44" s="589"/>
      <c r="O44" s="589"/>
      <c r="P44" s="593"/>
      <c r="Q44" s="593"/>
      <c r="R44" s="593">
        <f>SUM(R38:R42)</f>
        <v>0</v>
      </c>
      <c r="S44" s="593">
        <f>SUM(S38:S42)</f>
        <v>0</v>
      </c>
      <c r="T44" s="593">
        <f>SUM(T38:T42)</f>
        <v>0</v>
      </c>
      <c r="U44" s="593"/>
      <c r="V44" s="593"/>
      <c r="W44" s="593"/>
      <c r="X44" s="593"/>
      <c r="Y44" s="593"/>
      <c r="Z44" s="593"/>
    </row>
    <row r="45" spans="1:26" ht="24" customHeight="1">
      <c r="E45" s="49"/>
      <c r="F45" s="458"/>
      <c r="G45" s="458"/>
      <c r="H45" s="458"/>
      <c r="I45" s="458"/>
      <c r="J45" s="458"/>
      <c r="K45" s="458"/>
      <c r="L45" s="458"/>
      <c r="M45" s="458"/>
      <c r="N45" s="458"/>
      <c r="O45" s="458"/>
      <c r="P45" s="458"/>
      <c r="Q45" s="458"/>
      <c r="R45" s="458"/>
      <c r="S45" s="458"/>
      <c r="T45" s="458"/>
      <c r="U45" s="458"/>
      <c r="V45" s="830"/>
      <c r="W45" s="458"/>
      <c r="X45" s="458"/>
    </row>
    <row r="46" spans="1:26" ht="20.25">
      <c r="B46" s="1835"/>
      <c r="C46" s="1835"/>
      <c r="D46" s="1835"/>
      <c r="E46" s="1835"/>
      <c r="F46" s="1835"/>
      <c r="G46" s="1835"/>
      <c r="H46" s="1835"/>
      <c r="I46" s="789"/>
      <c r="J46" s="789"/>
      <c r="K46" s="789"/>
      <c r="L46" s="789"/>
      <c r="M46" s="788"/>
      <c r="N46" s="789"/>
      <c r="O46" s="788"/>
      <c r="P46" s="788"/>
      <c r="Q46" s="788"/>
      <c r="R46" s="788"/>
      <c r="S46" s="788"/>
      <c r="T46" s="788"/>
      <c r="U46" s="788"/>
      <c r="V46" s="788"/>
      <c r="W46" s="788"/>
      <c r="X46" s="788"/>
    </row>
    <row r="47" spans="1:26" ht="23.25" customHeight="1">
      <c r="A47" s="790"/>
      <c r="B47" s="790"/>
      <c r="C47" s="1836"/>
      <c r="D47" s="1836"/>
      <c r="E47" s="1836"/>
      <c r="F47" s="1836"/>
      <c r="G47" s="1836"/>
      <c r="H47" s="1836"/>
      <c r="I47" s="1836"/>
      <c r="J47" s="1836"/>
      <c r="K47" s="1836"/>
      <c r="L47" s="1836"/>
      <c r="M47" s="1836"/>
      <c r="N47" s="1836"/>
      <c r="O47" s="351"/>
      <c r="P47" s="351"/>
      <c r="Q47" s="352"/>
    </row>
    <row r="48" spans="1:26" ht="19.5" customHeight="1"/>
    <row r="50" spans="6:6">
      <c r="F50" s="59"/>
    </row>
  </sheetData>
  <mergeCells count="28">
    <mergeCell ref="C47:N47"/>
    <mergeCell ref="H4:H5"/>
    <mergeCell ref="F4:F5"/>
    <mergeCell ref="E4:E5"/>
    <mergeCell ref="N4:N5"/>
    <mergeCell ref="K4:K5"/>
    <mergeCell ref="R3:T3"/>
    <mergeCell ref="T4:T5"/>
    <mergeCell ref="U4:U5"/>
    <mergeCell ref="V4:V5"/>
    <mergeCell ref="B46:H46"/>
    <mergeCell ref="B4:B5"/>
    <mergeCell ref="L4:L5"/>
    <mergeCell ref="M4:M5"/>
    <mergeCell ref="B2:N2"/>
    <mergeCell ref="F3:G3"/>
    <mergeCell ref="I3:K3"/>
    <mergeCell ref="C4:C5"/>
    <mergeCell ref="G4:G5"/>
    <mergeCell ref="D4:D5"/>
    <mergeCell ref="A4:A5"/>
    <mergeCell ref="O4:O5"/>
    <mergeCell ref="Y4:Y5"/>
    <mergeCell ref="Z4:Z5"/>
    <mergeCell ref="W4:W5"/>
    <mergeCell ref="X4:X5"/>
    <mergeCell ref="P4:P5"/>
    <mergeCell ref="Q4:Q5"/>
  </mergeCells>
  <phoneticPr fontId="0" type="noConversion"/>
  <printOptions horizontalCentered="1"/>
  <pageMargins left="0.25" right="0" top="0.83" bottom="0.42" header="0.24" footer="0.31"/>
  <pageSetup paperSize="5" scale="45" firstPageNumber="48" orientation="landscape" useFirstPageNumber="1" r:id="rId1"/>
  <headerFooter alignWithMargins="0">
    <oddHeader xml:space="preserve">&amp;L&amp;"Arial,Bold"&amp;22Table 5B-2:  FY2012-13 MFP Budget Letter
Recovery School District (Allocations for School Boards and Type 5 Charters other than Orleans Parish) (July 2012)&amp;R
</oddHeader>
    <oddFooter>&amp;R&amp;12&amp;P</oddFooter>
  </headerFooter>
  <colBreaks count="1" manualBreakCount="1">
    <brk id="15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V77"/>
  <sheetViews>
    <sheetView view="pageBreakPreview" zoomScale="80" zoomScaleNormal="100" zoomScaleSheetLayoutView="8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1.7109375" customWidth="1"/>
    <col min="4" max="4" width="17" customWidth="1"/>
    <col min="5" max="5" width="11.140625" customWidth="1"/>
    <col min="6" max="6" width="12" customWidth="1"/>
    <col min="7" max="7" width="13.28515625" customWidth="1"/>
    <col min="8" max="8" width="11.85546875" bestFit="1" customWidth="1"/>
    <col min="9" max="9" width="12.28515625" customWidth="1"/>
    <col min="10" max="10" width="12" bestFit="1" customWidth="1"/>
    <col min="11" max="11" width="13.42578125" bestFit="1" customWidth="1"/>
    <col min="12" max="12" width="14" customWidth="1"/>
    <col min="13" max="13" width="14.42578125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</row>
    <row r="2" spans="1:22" ht="45" customHeight="1">
      <c r="A2" s="1837" t="s">
        <v>1263</v>
      </c>
      <c r="B2" s="1838"/>
      <c r="C2" s="1843" t="s">
        <v>1250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2"/>
      <c r="N2" s="1770" t="s">
        <v>772</v>
      </c>
      <c r="O2" s="1771"/>
      <c r="P2" s="1771"/>
      <c r="Q2" s="1771"/>
      <c r="R2" s="1771"/>
      <c r="S2" s="1771"/>
      <c r="T2" s="1772"/>
      <c r="U2" s="1764" t="s">
        <v>1414</v>
      </c>
      <c r="V2" s="1764" t="s">
        <v>1389</v>
      </c>
    </row>
    <row r="3" spans="1:22" ht="81" customHeight="1">
      <c r="A3" s="1839"/>
      <c r="B3" s="1840"/>
      <c r="C3" s="1779" t="s">
        <v>1192</v>
      </c>
      <c r="D3" s="1781" t="s">
        <v>819</v>
      </c>
      <c r="E3" s="1781" t="s">
        <v>1406</v>
      </c>
      <c r="F3" s="1779" t="s">
        <v>1251</v>
      </c>
      <c r="G3" s="1779" t="s">
        <v>779</v>
      </c>
      <c r="H3" s="1779" t="s">
        <v>1407</v>
      </c>
      <c r="I3" s="1370" t="s">
        <v>813</v>
      </c>
      <c r="J3" s="1779" t="s">
        <v>1408</v>
      </c>
      <c r="K3" s="1779" t="s">
        <v>1197</v>
      </c>
      <c r="L3" s="1779" t="s">
        <v>1409</v>
      </c>
      <c r="M3" s="1781" t="s">
        <v>1410</v>
      </c>
      <c r="N3" s="1795" t="s">
        <v>1307</v>
      </c>
      <c r="O3" s="1598" t="s">
        <v>1411</v>
      </c>
      <c r="P3" s="1372" t="s">
        <v>815</v>
      </c>
      <c r="Q3" s="1795" t="s">
        <v>818</v>
      </c>
      <c r="R3" s="1795" t="s">
        <v>1197</v>
      </c>
      <c r="S3" s="1795" t="s">
        <v>1412</v>
      </c>
      <c r="T3" s="1598" t="s">
        <v>1413</v>
      </c>
      <c r="U3" s="1765"/>
      <c r="V3" s="1765"/>
    </row>
    <row r="4" spans="1:22" ht="40.5" customHeight="1">
      <c r="A4" s="1841"/>
      <c r="B4" s="1842"/>
      <c r="C4" s="1780"/>
      <c r="D4" s="1781"/>
      <c r="E4" s="1781"/>
      <c r="F4" s="1780"/>
      <c r="G4" s="1780"/>
      <c r="H4" s="1780"/>
      <c r="I4" s="1144">
        <v>2.5000000000000001E-3</v>
      </c>
      <c r="J4" s="1780"/>
      <c r="K4" s="1780"/>
      <c r="L4" s="1780"/>
      <c r="M4" s="1781"/>
      <c r="N4" s="1787"/>
      <c r="O4" s="1371"/>
      <c r="P4" s="1145">
        <v>2.5000000000000001E-3</v>
      </c>
      <c r="Q4" s="1787"/>
      <c r="R4" s="1787"/>
      <c r="S4" s="1787"/>
      <c r="T4" s="1371"/>
      <c r="U4" s="1766"/>
      <c r="V4" s="1766"/>
    </row>
    <row r="5" spans="1:22" ht="14.25" customHeight="1">
      <c r="A5" s="1012"/>
      <c r="B5" s="1013"/>
      <c r="C5" s="1014">
        <v>1</v>
      </c>
      <c r="D5" s="1014">
        <f t="shared" ref="D5" si="0">C5+1</f>
        <v>2</v>
      </c>
      <c r="E5" s="1014">
        <f>D5+1</f>
        <v>3</v>
      </c>
      <c r="F5" s="1014">
        <f t="shared" ref="F5" si="1">E5+1</f>
        <v>4</v>
      </c>
      <c r="G5" s="1014">
        <f t="shared" ref="G5" si="2">F5+1</f>
        <v>5</v>
      </c>
      <c r="H5" s="1014">
        <f t="shared" ref="H5" si="3">G5+1</f>
        <v>6</v>
      </c>
      <c r="I5" s="1014">
        <f t="shared" ref="I5" si="4">H5+1</f>
        <v>7</v>
      </c>
      <c r="J5" s="1014">
        <f t="shared" ref="J5" si="5">I5+1</f>
        <v>8</v>
      </c>
      <c r="K5" s="1014">
        <f t="shared" ref="K5" si="6">J5+1</f>
        <v>9</v>
      </c>
      <c r="L5" s="1014">
        <f t="shared" ref="L5" si="7">K5+1</f>
        <v>10</v>
      </c>
      <c r="M5" s="1014">
        <f t="shared" ref="M5" si="8">L5+1</f>
        <v>11</v>
      </c>
      <c r="N5" s="1014">
        <f t="shared" ref="N5" si="9">M5+1</f>
        <v>12</v>
      </c>
      <c r="O5" s="1014">
        <f t="shared" ref="O5" si="10">N5+1</f>
        <v>13</v>
      </c>
      <c r="P5" s="1014">
        <f t="shared" ref="P5" si="11">O5+1</f>
        <v>14</v>
      </c>
      <c r="Q5" s="1014">
        <f t="shared" ref="Q5" si="12">P5+1</f>
        <v>15</v>
      </c>
      <c r="R5" s="1014">
        <f t="shared" ref="R5" si="13">Q5+1</f>
        <v>16</v>
      </c>
      <c r="S5" s="1014">
        <f t="shared" ref="S5" si="14">R5+1</f>
        <v>17</v>
      </c>
      <c r="T5" s="1014">
        <f t="shared" ref="T5" si="15">S5+1</f>
        <v>18</v>
      </c>
      <c r="U5" s="1014">
        <f t="shared" ref="U5" si="16">T5+1</f>
        <v>19</v>
      </c>
      <c r="V5" s="1014">
        <f t="shared" ref="V5" si="17">U5+1</f>
        <v>20</v>
      </c>
    </row>
    <row r="6" spans="1:22" ht="27" customHeight="1">
      <c r="A6" s="1076"/>
      <c r="B6" s="1077"/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  <c r="Q6" s="1077"/>
      <c r="R6" s="1077"/>
      <c r="S6" s="1077"/>
      <c r="T6" s="1077"/>
      <c r="U6" s="1077"/>
      <c r="V6" s="1077"/>
    </row>
    <row r="7" spans="1:22">
      <c r="A7" s="1021">
        <v>1</v>
      </c>
      <c r="B7" s="1022" t="s">
        <v>102</v>
      </c>
      <c r="C7" s="1023">
        <f>'Table 8 2.1.12 MFP Funded'!T4</f>
        <v>0</v>
      </c>
      <c r="D7" s="1024">
        <f>'Table 3 Levels 1&amp;2'!AL8</f>
        <v>4621.8175818834352</v>
      </c>
      <c r="E7" s="1136">
        <f>C7*D7</f>
        <v>0</v>
      </c>
      <c r="F7" s="1136">
        <f>'Table 4 Level 3'!P6</f>
        <v>777.48</v>
      </c>
      <c r="G7" s="1136">
        <f>C7*F7</f>
        <v>0</v>
      </c>
      <c r="H7" s="1025">
        <f>E7+G7</f>
        <v>0</v>
      </c>
      <c r="I7" s="1146">
        <f>-(0.25%*H7)</f>
        <v>0</v>
      </c>
      <c r="J7" s="1025">
        <f>SUM(H7:I7)</f>
        <v>0</v>
      </c>
      <c r="K7" s="1025">
        <v>0</v>
      </c>
      <c r="L7" s="1025">
        <f>SUM(J7:K7)</f>
        <v>0</v>
      </c>
      <c r="M7" s="1025">
        <f>L7/12</f>
        <v>0</v>
      </c>
      <c r="N7" s="1086">
        <f>'[8]FY2012-13 Initial'!$K8</f>
        <v>2094</v>
      </c>
      <c r="O7" s="1026">
        <f>C7*N7</f>
        <v>0</v>
      </c>
      <c r="P7" s="1154">
        <f>-(0.25%*O7)</f>
        <v>0</v>
      </c>
      <c r="Q7" s="1026">
        <f>SUM(O7:P7)</f>
        <v>0</v>
      </c>
      <c r="R7" s="1026">
        <v>0</v>
      </c>
      <c r="S7" s="1026">
        <f>SUM(Q7:R7)</f>
        <v>0</v>
      </c>
      <c r="T7" s="1026">
        <f>S7/12</f>
        <v>0</v>
      </c>
      <c r="U7" s="1027">
        <f>L7+S7</f>
        <v>0</v>
      </c>
      <c r="V7" s="1027">
        <f>M7+T7</f>
        <v>0</v>
      </c>
    </row>
    <row r="8" spans="1:22">
      <c r="A8" s="1028">
        <v>2</v>
      </c>
      <c r="B8" s="1029" t="s">
        <v>103</v>
      </c>
      <c r="C8" s="1292">
        <f>'Table 8 2.1.12 MFP Funded'!T5</f>
        <v>0</v>
      </c>
      <c r="D8" s="1031">
        <f>'Table 3 Levels 1&amp;2'!AL9</f>
        <v>6131.8351665660375</v>
      </c>
      <c r="E8" s="1137">
        <f t="shared" ref="E8:E71" si="18">C8*D8</f>
        <v>0</v>
      </c>
      <c r="F8" s="1137">
        <f>'Table 4 Level 3'!P7</f>
        <v>842.32</v>
      </c>
      <c r="G8" s="1137">
        <f t="shared" ref="G8:G71" si="19">C8*F8</f>
        <v>0</v>
      </c>
      <c r="H8" s="1087">
        <f t="shared" ref="H8:H71" si="20">E8+G8</f>
        <v>0</v>
      </c>
      <c r="I8" s="1147">
        <f t="shared" ref="I8:I71" si="21">-(0.25%*H8)</f>
        <v>0</v>
      </c>
      <c r="J8" s="1087">
        <f t="shared" ref="J8:J71" si="22">SUM(H8:I8)</f>
        <v>0</v>
      </c>
      <c r="K8" s="1087">
        <v>0</v>
      </c>
      <c r="L8" s="1087">
        <f t="shared" ref="L8:L71" si="23">SUM(J8:K8)</f>
        <v>0</v>
      </c>
      <c r="M8" s="1087">
        <f t="shared" ref="M8:M71" si="24">L8/12</f>
        <v>0</v>
      </c>
      <c r="N8" s="1086">
        <f>'[8]FY2012-13 Initial'!$K9</f>
        <v>2554</v>
      </c>
      <c r="O8" s="1088">
        <f t="shared" ref="O8:O71" si="25">C8*N8</f>
        <v>0</v>
      </c>
      <c r="P8" s="1155">
        <f t="shared" ref="P8:P71" si="26">-(0.25%*O8)</f>
        <v>0</v>
      </c>
      <c r="Q8" s="1088">
        <f t="shared" ref="Q8:Q71" si="27">SUM(O8:P8)</f>
        <v>0</v>
      </c>
      <c r="R8" s="1088">
        <v>0</v>
      </c>
      <c r="S8" s="1088">
        <f t="shared" ref="S8:S71" si="28">SUM(Q8:R8)</f>
        <v>0</v>
      </c>
      <c r="T8" s="1088">
        <f t="shared" ref="T8:T71" si="29">S8/12</f>
        <v>0</v>
      </c>
      <c r="U8" s="1089">
        <f t="shared" ref="U8:U71" si="30">L8+S8</f>
        <v>0</v>
      </c>
      <c r="V8" s="1089">
        <f t="shared" ref="V8:V71" si="31">M8+T8</f>
        <v>0</v>
      </c>
    </row>
    <row r="9" spans="1:22">
      <c r="A9" s="1028">
        <v>3</v>
      </c>
      <c r="B9" s="1029" t="s">
        <v>104</v>
      </c>
      <c r="C9" s="1292">
        <f>'Table 8 2.1.12 MFP Funded'!T6</f>
        <v>0</v>
      </c>
      <c r="D9" s="1031">
        <f>'Table 3 Levels 1&amp;2'!AL10</f>
        <v>4326.5384352059973</v>
      </c>
      <c r="E9" s="1137">
        <f t="shared" si="18"/>
        <v>0</v>
      </c>
      <c r="F9" s="1137">
        <f>'Table 4 Level 3'!P8</f>
        <v>596.84</v>
      </c>
      <c r="G9" s="1137">
        <f t="shared" si="19"/>
        <v>0</v>
      </c>
      <c r="H9" s="1087">
        <f t="shared" si="20"/>
        <v>0</v>
      </c>
      <c r="I9" s="1147">
        <f t="shared" si="21"/>
        <v>0</v>
      </c>
      <c r="J9" s="1087">
        <f t="shared" si="22"/>
        <v>0</v>
      </c>
      <c r="K9" s="1087">
        <v>0</v>
      </c>
      <c r="L9" s="1087">
        <f t="shared" si="23"/>
        <v>0</v>
      </c>
      <c r="M9" s="1087">
        <f t="shared" si="24"/>
        <v>0</v>
      </c>
      <c r="N9" s="1086">
        <f>'[8]FY2012-13 Initial'!$K10</f>
        <v>4995</v>
      </c>
      <c r="O9" s="1088">
        <f t="shared" si="25"/>
        <v>0</v>
      </c>
      <c r="P9" s="1155">
        <f t="shared" si="26"/>
        <v>0</v>
      </c>
      <c r="Q9" s="1088">
        <f t="shared" si="27"/>
        <v>0</v>
      </c>
      <c r="R9" s="1088">
        <v>0</v>
      </c>
      <c r="S9" s="1088">
        <f t="shared" si="28"/>
        <v>0</v>
      </c>
      <c r="T9" s="1088">
        <f t="shared" si="29"/>
        <v>0</v>
      </c>
      <c r="U9" s="1089">
        <f t="shared" si="30"/>
        <v>0</v>
      </c>
      <c r="V9" s="1089">
        <f t="shared" si="31"/>
        <v>0</v>
      </c>
    </row>
    <row r="10" spans="1:22">
      <c r="A10" s="1028">
        <v>4</v>
      </c>
      <c r="B10" s="1029" t="s">
        <v>105</v>
      </c>
      <c r="C10" s="1292">
        <f>'Table 8 2.1.12 MFP Funded'!T7</f>
        <v>0</v>
      </c>
      <c r="D10" s="1031">
        <f>'Table 3 Levels 1&amp;2'!AL11</f>
        <v>6066.2659652331004</v>
      </c>
      <c r="E10" s="1137">
        <f t="shared" si="18"/>
        <v>0</v>
      </c>
      <c r="F10" s="1137">
        <f>'Table 4 Level 3'!P9</f>
        <v>585.76</v>
      </c>
      <c r="G10" s="1137">
        <f t="shared" si="19"/>
        <v>0</v>
      </c>
      <c r="H10" s="1087">
        <f t="shared" si="20"/>
        <v>0</v>
      </c>
      <c r="I10" s="1147">
        <f t="shared" si="21"/>
        <v>0</v>
      </c>
      <c r="J10" s="1087">
        <f t="shared" si="22"/>
        <v>0</v>
      </c>
      <c r="K10" s="1087">
        <v>0</v>
      </c>
      <c r="L10" s="1087">
        <f t="shared" si="23"/>
        <v>0</v>
      </c>
      <c r="M10" s="1087">
        <f t="shared" si="24"/>
        <v>0</v>
      </c>
      <c r="N10" s="1086">
        <f>'[8]FY2012-13 Initial'!$K11</f>
        <v>3361</v>
      </c>
      <c r="O10" s="1088">
        <f t="shared" si="25"/>
        <v>0</v>
      </c>
      <c r="P10" s="1155">
        <f t="shared" si="26"/>
        <v>0</v>
      </c>
      <c r="Q10" s="1088">
        <f t="shared" si="27"/>
        <v>0</v>
      </c>
      <c r="R10" s="1088">
        <v>0</v>
      </c>
      <c r="S10" s="1088">
        <f t="shared" si="28"/>
        <v>0</v>
      </c>
      <c r="T10" s="1088">
        <f t="shared" si="29"/>
        <v>0</v>
      </c>
      <c r="U10" s="1089">
        <f t="shared" si="30"/>
        <v>0</v>
      </c>
      <c r="V10" s="1089">
        <f t="shared" si="31"/>
        <v>0</v>
      </c>
    </row>
    <row r="11" spans="1:22">
      <c r="A11" s="1032">
        <v>5</v>
      </c>
      <c r="B11" s="1033" t="s">
        <v>106</v>
      </c>
      <c r="C11" s="1293">
        <f>'Table 8 2.1.12 MFP Funded'!T8</f>
        <v>0</v>
      </c>
      <c r="D11" s="1035">
        <f>'Table 3 Levels 1&amp;2'!AL12</f>
        <v>4806.2126132223084</v>
      </c>
      <c r="E11" s="1138">
        <f t="shared" si="18"/>
        <v>0</v>
      </c>
      <c r="F11" s="1138">
        <f>'Table 4 Level 3'!P10</f>
        <v>555.91</v>
      </c>
      <c r="G11" s="1138">
        <f t="shared" si="19"/>
        <v>0</v>
      </c>
      <c r="H11" s="1090">
        <f t="shared" si="20"/>
        <v>0</v>
      </c>
      <c r="I11" s="1148">
        <f t="shared" si="21"/>
        <v>0</v>
      </c>
      <c r="J11" s="1090">
        <f t="shared" si="22"/>
        <v>0</v>
      </c>
      <c r="K11" s="1090">
        <v>0</v>
      </c>
      <c r="L11" s="1090">
        <f t="shared" si="23"/>
        <v>0</v>
      </c>
      <c r="M11" s="1090">
        <f t="shared" si="24"/>
        <v>0</v>
      </c>
      <c r="N11" s="1091">
        <f>'[8]FY2012-13 Initial'!$K12</f>
        <v>1146</v>
      </c>
      <c r="O11" s="1092">
        <f t="shared" si="25"/>
        <v>0</v>
      </c>
      <c r="P11" s="1156">
        <f t="shared" si="26"/>
        <v>0</v>
      </c>
      <c r="Q11" s="1092">
        <f t="shared" si="27"/>
        <v>0</v>
      </c>
      <c r="R11" s="1092">
        <v>0</v>
      </c>
      <c r="S11" s="1092">
        <f t="shared" si="28"/>
        <v>0</v>
      </c>
      <c r="T11" s="1092">
        <f t="shared" si="29"/>
        <v>0</v>
      </c>
      <c r="U11" s="1093">
        <f t="shared" si="30"/>
        <v>0</v>
      </c>
      <c r="V11" s="1093">
        <f t="shared" si="31"/>
        <v>0</v>
      </c>
    </row>
    <row r="12" spans="1:22">
      <c r="A12" s="1021">
        <v>6</v>
      </c>
      <c r="B12" s="1022" t="s">
        <v>107</v>
      </c>
      <c r="C12" s="1294">
        <f>'Table 8 2.1.12 MFP Funded'!T9</f>
        <v>0</v>
      </c>
      <c r="D12" s="1024">
        <f>'Table 3 Levels 1&amp;2'!AL13</f>
        <v>5538.0879878550813</v>
      </c>
      <c r="E12" s="1136">
        <f t="shared" si="18"/>
        <v>0</v>
      </c>
      <c r="F12" s="1136">
        <f>'Table 4 Level 3'!P11</f>
        <v>545.4799999999999</v>
      </c>
      <c r="G12" s="1136">
        <f t="shared" si="19"/>
        <v>0</v>
      </c>
      <c r="H12" s="1025">
        <f t="shared" si="20"/>
        <v>0</v>
      </c>
      <c r="I12" s="1146">
        <f t="shared" si="21"/>
        <v>0</v>
      </c>
      <c r="J12" s="1025">
        <f t="shared" si="22"/>
        <v>0</v>
      </c>
      <c r="K12" s="1025">
        <v>0</v>
      </c>
      <c r="L12" s="1025">
        <f t="shared" si="23"/>
        <v>0</v>
      </c>
      <c r="M12" s="1025">
        <f t="shared" si="24"/>
        <v>0</v>
      </c>
      <c r="N12" s="1086">
        <f>'[8]FY2012-13 Initial'!$K13</f>
        <v>3431</v>
      </c>
      <c r="O12" s="1026">
        <f t="shared" si="25"/>
        <v>0</v>
      </c>
      <c r="P12" s="1154">
        <f t="shared" si="26"/>
        <v>0</v>
      </c>
      <c r="Q12" s="1026">
        <f t="shared" si="27"/>
        <v>0</v>
      </c>
      <c r="R12" s="1026">
        <v>0</v>
      </c>
      <c r="S12" s="1026">
        <f t="shared" si="28"/>
        <v>0</v>
      </c>
      <c r="T12" s="1026">
        <f t="shared" si="29"/>
        <v>0</v>
      </c>
      <c r="U12" s="1027">
        <f t="shared" si="30"/>
        <v>0</v>
      </c>
      <c r="V12" s="1027">
        <f t="shared" si="31"/>
        <v>0</v>
      </c>
    </row>
    <row r="13" spans="1:22">
      <c r="A13" s="1028">
        <v>7</v>
      </c>
      <c r="B13" s="1029" t="s">
        <v>108</v>
      </c>
      <c r="C13" s="1292">
        <f>'Table 8 2.1.12 MFP Funded'!T10</f>
        <v>0</v>
      </c>
      <c r="D13" s="1031">
        <f>'Table 3 Levels 1&amp;2'!AL14</f>
        <v>1543.5712353471597</v>
      </c>
      <c r="E13" s="1137">
        <f t="shared" si="18"/>
        <v>0</v>
      </c>
      <c r="F13" s="1137">
        <f>'Table 4 Level 3'!P12</f>
        <v>756.91999999999985</v>
      </c>
      <c r="G13" s="1137">
        <f t="shared" si="19"/>
        <v>0</v>
      </c>
      <c r="H13" s="1087">
        <f t="shared" si="20"/>
        <v>0</v>
      </c>
      <c r="I13" s="1147">
        <f t="shared" si="21"/>
        <v>0</v>
      </c>
      <c r="J13" s="1087">
        <f t="shared" si="22"/>
        <v>0</v>
      </c>
      <c r="K13" s="1087">
        <v>0</v>
      </c>
      <c r="L13" s="1087">
        <f t="shared" si="23"/>
        <v>0</v>
      </c>
      <c r="M13" s="1087">
        <f t="shared" si="24"/>
        <v>0</v>
      </c>
      <c r="N13" s="1086">
        <f>'[8]FY2012-13 Initial'!$K14</f>
        <v>12974</v>
      </c>
      <c r="O13" s="1088">
        <f t="shared" si="25"/>
        <v>0</v>
      </c>
      <c r="P13" s="1155">
        <f t="shared" si="26"/>
        <v>0</v>
      </c>
      <c r="Q13" s="1088">
        <f t="shared" si="27"/>
        <v>0</v>
      </c>
      <c r="R13" s="1088">
        <v>0</v>
      </c>
      <c r="S13" s="1088">
        <f t="shared" si="28"/>
        <v>0</v>
      </c>
      <c r="T13" s="1088">
        <f t="shared" si="29"/>
        <v>0</v>
      </c>
      <c r="U13" s="1089">
        <f t="shared" si="30"/>
        <v>0</v>
      </c>
      <c r="V13" s="1089">
        <f t="shared" si="31"/>
        <v>0</v>
      </c>
    </row>
    <row r="14" spans="1:22">
      <c r="A14" s="1028">
        <v>8</v>
      </c>
      <c r="B14" s="1029" t="s">
        <v>109</v>
      </c>
      <c r="C14" s="1292">
        <f>'Table 8 2.1.12 MFP Funded'!T11</f>
        <v>0</v>
      </c>
      <c r="D14" s="1031">
        <f>'Table 3 Levels 1&amp;2'!AL15</f>
        <v>4033.4866571910334</v>
      </c>
      <c r="E14" s="1137">
        <f t="shared" si="18"/>
        <v>0</v>
      </c>
      <c r="F14" s="1137">
        <f>'Table 4 Level 3'!P13</f>
        <v>725.76</v>
      </c>
      <c r="G14" s="1137">
        <f t="shared" si="19"/>
        <v>0</v>
      </c>
      <c r="H14" s="1087">
        <f t="shared" si="20"/>
        <v>0</v>
      </c>
      <c r="I14" s="1147">
        <f t="shared" si="21"/>
        <v>0</v>
      </c>
      <c r="J14" s="1087">
        <f t="shared" si="22"/>
        <v>0</v>
      </c>
      <c r="K14" s="1087">
        <v>0</v>
      </c>
      <c r="L14" s="1087">
        <f t="shared" si="23"/>
        <v>0</v>
      </c>
      <c r="M14" s="1087">
        <f t="shared" si="24"/>
        <v>0</v>
      </c>
      <c r="N14" s="1086">
        <f>'[8]FY2012-13 Initial'!$K15</f>
        <v>4234</v>
      </c>
      <c r="O14" s="1088">
        <f t="shared" si="25"/>
        <v>0</v>
      </c>
      <c r="P14" s="1155">
        <f t="shared" si="26"/>
        <v>0</v>
      </c>
      <c r="Q14" s="1088">
        <f t="shared" si="27"/>
        <v>0</v>
      </c>
      <c r="R14" s="1088">
        <v>0</v>
      </c>
      <c r="S14" s="1088">
        <f t="shared" si="28"/>
        <v>0</v>
      </c>
      <c r="T14" s="1088">
        <f t="shared" si="29"/>
        <v>0</v>
      </c>
      <c r="U14" s="1089">
        <f t="shared" si="30"/>
        <v>0</v>
      </c>
      <c r="V14" s="1089">
        <f t="shared" si="31"/>
        <v>0</v>
      </c>
    </row>
    <row r="15" spans="1:22">
      <c r="A15" s="1028">
        <v>9</v>
      </c>
      <c r="B15" s="1029" t="s">
        <v>110</v>
      </c>
      <c r="C15" s="1292">
        <f>'Table 8 2.1.12 MFP Funded'!T12</f>
        <v>0</v>
      </c>
      <c r="D15" s="1031">
        <f>'Table 3 Levels 1&amp;2'!AL16</f>
        <v>4268.3217271902904</v>
      </c>
      <c r="E15" s="1137">
        <f t="shared" si="18"/>
        <v>0</v>
      </c>
      <c r="F15" s="1137">
        <f>'Table 4 Level 3'!P14</f>
        <v>744.76</v>
      </c>
      <c r="G15" s="1137">
        <f t="shared" si="19"/>
        <v>0</v>
      </c>
      <c r="H15" s="1087">
        <f t="shared" si="20"/>
        <v>0</v>
      </c>
      <c r="I15" s="1147">
        <f t="shared" si="21"/>
        <v>0</v>
      </c>
      <c r="J15" s="1087">
        <f t="shared" si="22"/>
        <v>0</v>
      </c>
      <c r="K15" s="1087">
        <v>0</v>
      </c>
      <c r="L15" s="1087">
        <f t="shared" si="23"/>
        <v>0</v>
      </c>
      <c r="M15" s="1087">
        <f t="shared" si="24"/>
        <v>0</v>
      </c>
      <c r="N15" s="1086">
        <f>'[8]FY2012-13 Initial'!$K16</f>
        <v>4539</v>
      </c>
      <c r="O15" s="1088">
        <f t="shared" si="25"/>
        <v>0</v>
      </c>
      <c r="P15" s="1155">
        <f t="shared" si="26"/>
        <v>0</v>
      </c>
      <c r="Q15" s="1088">
        <f t="shared" si="27"/>
        <v>0</v>
      </c>
      <c r="R15" s="1088">
        <v>0</v>
      </c>
      <c r="S15" s="1088">
        <f t="shared" si="28"/>
        <v>0</v>
      </c>
      <c r="T15" s="1088">
        <f t="shared" si="29"/>
        <v>0</v>
      </c>
      <c r="U15" s="1089">
        <f t="shared" si="30"/>
        <v>0</v>
      </c>
      <c r="V15" s="1089">
        <f t="shared" si="31"/>
        <v>0</v>
      </c>
    </row>
    <row r="16" spans="1:22">
      <c r="A16" s="1032">
        <v>10</v>
      </c>
      <c r="B16" s="1033" t="s">
        <v>111</v>
      </c>
      <c r="C16" s="1293">
        <f>'Table 8 2.1.12 MFP Funded'!T13</f>
        <v>0</v>
      </c>
      <c r="D16" s="1035">
        <f>'Table 3 Levels 1&amp;2'!AL17</f>
        <v>4300.0681374076885</v>
      </c>
      <c r="E16" s="1138">
        <f t="shared" si="18"/>
        <v>0</v>
      </c>
      <c r="F16" s="1138">
        <f>'Table 4 Level 3'!P15</f>
        <v>608.04000000000008</v>
      </c>
      <c r="G16" s="1138">
        <f t="shared" si="19"/>
        <v>0</v>
      </c>
      <c r="H16" s="1090">
        <f t="shared" si="20"/>
        <v>0</v>
      </c>
      <c r="I16" s="1148">
        <f t="shared" si="21"/>
        <v>0</v>
      </c>
      <c r="J16" s="1090">
        <f t="shared" si="22"/>
        <v>0</v>
      </c>
      <c r="K16" s="1090">
        <v>0</v>
      </c>
      <c r="L16" s="1090">
        <f t="shared" si="23"/>
        <v>0</v>
      </c>
      <c r="M16" s="1090">
        <f t="shared" si="24"/>
        <v>0</v>
      </c>
      <c r="N16" s="1091">
        <f>'[8]FY2012-13 Initial'!$K17</f>
        <v>4312</v>
      </c>
      <c r="O16" s="1092">
        <f t="shared" si="25"/>
        <v>0</v>
      </c>
      <c r="P16" s="1156">
        <f t="shared" si="26"/>
        <v>0</v>
      </c>
      <c r="Q16" s="1092">
        <f t="shared" si="27"/>
        <v>0</v>
      </c>
      <c r="R16" s="1092">
        <v>0</v>
      </c>
      <c r="S16" s="1092">
        <f t="shared" si="28"/>
        <v>0</v>
      </c>
      <c r="T16" s="1092">
        <f t="shared" si="29"/>
        <v>0</v>
      </c>
      <c r="U16" s="1093">
        <f t="shared" si="30"/>
        <v>0</v>
      </c>
      <c r="V16" s="1093">
        <f t="shared" si="31"/>
        <v>0</v>
      </c>
    </row>
    <row r="17" spans="1:22">
      <c r="A17" s="1021">
        <v>11</v>
      </c>
      <c r="B17" s="1022" t="s">
        <v>112</v>
      </c>
      <c r="C17" s="1294">
        <f>'Table 8 2.1.12 MFP Funded'!T14</f>
        <v>0</v>
      </c>
      <c r="D17" s="1024">
        <f>'Table 3 Levels 1&amp;2'!AL18</f>
        <v>6740.2393955908683</v>
      </c>
      <c r="E17" s="1136">
        <f t="shared" si="18"/>
        <v>0</v>
      </c>
      <c r="F17" s="1136">
        <f>'Table 4 Level 3'!P16</f>
        <v>706.55</v>
      </c>
      <c r="G17" s="1136">
        <f t="shared" si="19"/>
        <v>0</v>
      </c>
      <c r="H17" s="1025">
        <f t="shared" si="20"/>
        <v>0</v>
      </c>
      <c r="I17" s="1146">
        <f t="shared" si="21"/>
        <v>0</v>
      </c>
      <c r="J17" s="1025">
        <f t="shared" si="22"/>
        <v>0</v>
      </c>
      <c r="K17" s="1025">
        <v>0</v>
      </c>
      <c r="L17" s="1025">
        <f t="shared" si="23"/>
        <v>0</v>
      </c>
      <c r="M17" s="1025">
        <f t="shared" si="24"/>
        <v>0</v>
      </c>
      <c r="N17" s="1086">
        <f>'[8]FY2012-13 Initial'!$K18</f>
        <v>3004</v>
      </c>
      <c r="O17" s="1026">
        <f t="shared" si="25"/>
        <v>0</v>
      </c>
      <c r="P17" s="1154">
        <f t="shared" si="26"/>
        <v>0</v>
      </c>
      <c r="Q17" s="1026">
        <f t="shared" si="27"/>
        <v>0</v>
      </c>
      <c r="R17" s="1026">
        <v>0</v>
      </c>
      <c r="S17" s="1026">
        <f t="shared" si="28"/>
        <v>0</v>
      </c>
      <c r="T17" s="1026">
        <f t="shared" si="29"/>
        <v>0</v>
      </c>
      <c r="U17" s="1027">
        <f t="shared" si="30"/>
        <v>0</v>
      </c>
      <c r="V17" s="1027">
        <f t="shared" si="31"/>
        <v>0</v>
      </c>
    </row>
    <row r="18" spans="1:22">
      <c r="A18" s="1028">
        <v>12</v>
      </c>
      <c r="B18" s="1029" t="s">
        <v>113</v>
      </c>
      <c r="C18" s="1292">
        <f>'Table 8 2.1.12 MFP Funded'!T15</f>
        <v>0</v>
      </c>
      <c r="D18" s="1031">
        <f>'Table 3 Levels 1&amp;2'!AL19</f>
        <v>1781.2877551020408</v>
      </c>
      <c r="E18" s="1137">
        <f t="shared" si="18"/>
        <v>0</v>
      </c>
      <c r="F18" s="1137">
        <f>'Table 4 Level 3'!P17</f>
        <v>1063.31</v>
      </c>
      <c r="G18" s="1137">
        <f t="shared" si="19"/>
        <v>0</v>
      </c>
      <c r="H18" s="1087">
        <f t="shared" si="20"/>
        <v>0</v>
      </c>
      <c r="I18" s="1147">
        <f t="shared" si="21"/>
        <v>0</v>
      </c>
      <c r="J18" s="1087">
        <f t="shared" si="22"/>
        <v>0</v>
      </c>
      <c r="K18" s="1087">
        <v>0</v>
      </c>
      <c r="L18" s="1087">
        <f t="shared" si="23"/>
        <v>0</v>
      </c>
      <c r="M18" s="1087">
        <f t="shared" si="24"/>
        <v>0</v>
      </c>
      <c r="N18" s="1086">
        <f>'[8]FY2012-13 Initial'!$K19</f>
        <v>12439</v>
      </c>
      <c r="O18" s="1088">
        <f t="shared" si="25"/>
        <v>0</v>
      </c>
      <c r="P18" s="1155">
        <f t="shared" si="26"/>
        <v>0</v>
      </c>
      <c r="Q18" s="1088">
        <f t="shared" si="27"/>
        <v>0</v>
      </c>
      <c r="R18" s="1088">
        <v>0</v>
      </c>
      <c r="S18" s="1088">
        <f t="shared" si="28"/>
        <v>0</v>
      </c>
      <c r="T18" s="1088">
        <f t="shared" si="29"/>
        <v>0</v>
      </c>
      <c r="U18" s="1089">
        <f t="shared" si="30"/>
        <v>0</v>
      </c>
      <c r="V18" s="1089">
        <f t="shared" si="31"/>
        <v>0</v>
      </c>
    </row>
    <row r="19" spans="1:22">
      <c r="A19" s="1028">
        <v>13</v>
      </c>
      <c r="B19" s="1029" t="s">
        <v>114</v>
      </c>
      <c r="C19" s="1292">
        <f>'Table 8 2.1.12 MFP Funded'!T16</f>
        <v>0</v>
      </c>
      <c r="D19" s="1031">
        <f>'Table 3 Levels 1&amp;2'!AL20</f>
        <v>6125.5331903699798</v>
      </c>
      <c r="E19" s="1137">
        <f t="shared" si="18"/>
        <v>0</v>
      </c>
      <c r="F19" s="1137">
        <f>'Table 4 Level 3'!P18</f>
        <v>749.43000000000006</v>
      </c>
      <c r="G19" s="1137">
        <f t="shared" si="19"/>
        <v>0</v>
      </c>
      <c r="H19" s="1087">
        <f t="shared" si="20"/>
        <v>0</v>
      </c>
      <c r="I19" s="1147">
        <f t="shared" si="21"/>
        <v>0</v>
      </c>
      <c r="J19" s="1087">
        <f t="shared" si="22"/>
        <v>0</v>
      </c>
      <c r="K19" s="1087">
        <v>0</v>
      </c>
      <c r="L19" s="1087">
        <f t="shared" si="23"/>
        <v>0</v>
      </c>
      <c r="M19" s="1087">
        <f t="shared" si="24"/>
        <v>0</v>
      </c>
      <c r="N19" s="1086">
        <f>'[8]FY2012-13 Initial'!$K20</f>
        <v>2518</v>
      </c>
      <c r="O19" s="1088">
        <f t="shared" si="25"/>
        <v>0</v>
      </c>
      <c r="P19" s="1155">
        <f t="shared" si="26"/>
        <v>0</v>
      </c>
      <c r="Q19" s="1088">
        <f t="shared" si="27"/>
        <v>0</v>
      </c>
      <c r="R19" s="1088">
        <v>0</v>
      </c>
      <c r="S19" s="1088">
        <f t="shared" si="28"/>
        <v>0</v>
      </c>
      <c r="T19" s="1088">
        <f t="shared" si="29"/>
        <v>0</v>
      </c>
      <c r="U19" s="1089">
        <f t="shared" si="30"/>
        <v>0</v>
      </c>
      <c r="V19" s="1089">
        <f t="shared" si="31"/>
        <v>0</v>
      </c>
    </row>
    <row r="20" spans="1:22">
      <c r="A20" s="1028">
        <v>14</v>
      </c>
      <c r="B20" s="1029" t="s">
        <v>115</v>
      </c>
      <c r="C20" s="1292">
        <f>'Table 8 2.1.12 MFP Funded'!T17</f>
        <v>0</v>
      </c>
      <c r="D20" s="1031">
        <f>'Table 3 Levels 1&amp;2'!AL21</f>
        <v>5278.0936993421856</v>
      </c>
      <c r="E20" s="1137">
        <f t="shared" si="18"/>
        <v>0</v>
      </c>
      <c r="F20" s="1137">
        <f>'Table 4 Level 3'!P19</f>
        <v>809.9799999999999</v>
      </c>
      <c r="G20" s="1137">
        <f t="shared" si="19"/>
        <v>0</v>
      </c>
      <c r="H20" s="1087">
        <f t="shared" si="20"/>
        <v>0</v>
      </c>
      <c r="I20" s="1147">
        <f t="shared" si="21"/>
        <v>0</v>
      </c>
      <c r="J20" s="1087">
        <f t="shared" si="22"/>
        <v>0</v>
      </c>
      <c r="K20" s="1087">
        <v>0</v>
      </c>
      <c r="L20" s="1087">
        <f t="shared" si="23"/>
        <v>0</v>
      </c>
      <c r="M20" s="1087">
        <f t="shared" si="24"/>
        <v>0</v>
      </c>
      <c r="N20" s="1086">
        <f>'[8]FY2012-13 Initial'!$K21</f>
        <v>3605</v>
      </c>
      <c r="O20" s="1088">
        <f t="shared" si="25"/>
        <v>0</v>
      </c>
      <c r="P20" s="1155">
        <f t="shared" si="26"/>
        <v>0</v>
      </c>
      <c r="Q20" s="1088">
        <f t="shared" si="27"/>
        <v>0</v>
      </c>
      <c r="R20" s="1088">
        <v>0</v>
      </c>
      <c r="S20" s="1088">
        <f t="shared" si="28"/>
        <v>0</v>
      </c>
      <c r="T20" s="1088">
        <f t="shared" si="29"/>
        <v>0</v>
      </c>
      <c r="U20" s="1089">
        <f t="shared" si="30"/>
        <v>0</v>
      </c>
      <c r="V20" s="1089">
        <f t="shared" si="31"/>
        <v>0</v>
      </c>
    </row>
    <row r="21" spans="1:22">
      <c r="A21" s="1032">
        <v>15</v>
      </c>
      <c r="B21" s="1033" t="s">
        <v>116</v>
      </c>
      <c r="C21" s="1293">
        <f>'Table 8 2.1.12 MFP Funded'!T18</f>
        <v>0</v>
      </c>
      <c r="D21" s="1035">
        <f>'Table 3 Levels 1&amp;2'!AL22</f>
        <v>5428.9842692179664</v>
      </c>
      <c r="E21" s="1138">
        <f t="shared" si="18"/>
        <v>0</v>
      </c>
      <c r="F21" s="1138">
        <f>'Table 4 Level 3'!P20</f>
        <v>553.79999999999995</v>
      </c>
      <c r="G21" s="1138">
        <f t="shared" si="19"/>
        <v>0</v>
      </c>
      <c r="H21" s="1090">
        <f t="shared" si="20"/>
        <v>0</v>
      </c>
      <c r="I21" s="1148">
        <f t="shared" si="21"/>
        <v>0</v>
      </c>
      <c r="J21" s="1090">
        <f t="shared" si="22"/>
        <v>0</v>
      </c>
      <c r="K21" s="1090">
        <v>0</v>
      </c>
      <c r="L21" s="1090">
        <f t="shared" si="23"/>
        <v>0</v>
      </c>
      <c r="M21" s="1090">
        <f t="shared" si="24"/>
        <v>0</v>
      </c>
      <c r="N21" s="1091">
        <f>'[8]FY2012-13 Initial'!$K22</f>
        <v>2614</v>
      </c>
      <c r="O21" s="1092">
        <f t="shared" si="25"/>
        <v>0</v>
      </c>
      <c r="P21" s="1156">
        <f t="shared" si="26"/>
        <v>0</v>
      </c>
      <c r="Q21" s="1092">
        <f t="shared" si="27"/>
        <v>0</v>
      </c>
      <c r="R21" s="1092">
        <v>0</v>
      </c>
      <c r="S21" s="1092">
        <f t="shared" si="28"/>
        <v>0</v>
      </c>
      <c r="T21" s="1092">
        <f t="shared" si="29"/>
        <v>0</v>
      </c>
      <c r="U21" s="1093">
        <f t="shared" si="30"/>
        <v>0</v>
      </c>
      <c r="V21" s="1093">
        <f t="shared" si="31"/>
        <v>0</v>
      </c>
    </row>
    <row r="22" spans="1:22">
      <c r="A22" s="1021">
        <v>16</v>
      </c>
      <c r="B22" s="1022" t="s">
        <v>117</v>
      </c>
      <c r="C22" s="1294">
        <f>'Table 8 2.1.12 MFP Funded'!T19</f>
        <v>0</v>
      </c>
      <c r="D22" s="1024">
        <f>'Table 3 Levels 1&amp;2'!AL23</f>
        <v>1501.2470754125757</v>
      </c>
      <c r="E22" s="1136">
        <f t="shared" si="18"/>
        <v>0</v>
      </c>
      <c r="F22" s="1136">
        <f>'Table 4 Level 3'!P21</f>
        <v>686.73</v>
      </c>
      <c r="G22" s="1136">
        <f t="shared" si="19"/>
        <v>0</v>
      </c>
      <c r="H22" s="1025">
        <f t="shared" si="20"/>
        <v>0</v>
      </c>
      <c r="I22" s="1146">
        <f t="shared" si="21"/>
        <v>0</v>
      </c>
      <c r="J22" s="1025">
        <f t="shared" si="22"/>
        <v>0</v>
      </c>
      <c r="K22" s="1025">
        <v>0</v>
      </c>
      <c r="L22" s="1025">
        <f t="shared" si="23"/>
        <v>0</v>
      </c>
      <c r="M22" s="1025">
        <f t="shared" si="24"/>
        <v>0</v>
      </c>
      <c r="N22" s="1086">
        <f>'[8]FY2012-13 Initial'!$K23</f>
        <v>16006</v>
      </c>
      <c r="O22" s="1026">
        <f t="shared" si="25"/>
        <v>0</v>
      </c>
      <c r="P22" s="1154">
        <f t="shared" si="26"/>
        <v>0</v>
      </c>
      <c r="Q22" s="1026">
        <f t="shared" si="27"/>
        <v>0</v>
      </c>
      <c r="R22" s="1026">
        <v>0</v>
      </c>
      <c r="S22" s="1026">
        <f t="shared" si="28"/>
        <v>0</v>
      </c>
      <c r="T22" s="1026">
        <f t="shared" si="29"/>
        <v>0</v>
      </c>
      <c r="U22" s="1027">
        <f t="shared" si="30"/>
        <v>0</v>
      </c>
      <c r="V22" s="1027">
        <f t="shared" si="31"/>
        <v>0</v>
      </c>
    </row>
    <row r="23" spans="1:22">
      <c r="A23" s="1028">
        <v>17</v>
      </c>
      <c r="B23" s="1029" t="s">
        <v>118</v>
      </c>
      <c r="C23" s="1292">
        <f>'Table 8 2.1.12 MFP Funded'!T20</f>
        <v>189</v>
      </c>
      <c r="D23" s="1031">
        <f>'Table 3 Levels 1&amp;2'!AL24</f>
        <v>3386.5716964570697</v>
      </c>
      <c r="E23" s="1137">
        <f t="shared" si="18"/>
        <v>640062.05063038622</v>
      </c>
      <c r="F23" s="1137">
        <f>'Table 5B2_RSD_LA'!F7</f>
        <v>801.47762416806802</v>
      </c>
      <c r="G23" s="1137">
        <f t="shared" si="19"/>
        <v>151479.27096776487</v>
      </c>
      <c r="H23" s="1087">
        <f t="shared" si="20"/>
        <v>791541.32159815112</v>
      </c>
      <c r="I23" s="1147">
        <f t="shared" si="21"/>
        <v>-1978.8533039953779</v>
      </c>
      <c r="J23" s="1087">
        <f t="shared" si="22"/>
        <v>789562.46829415578</v>
      </c>
      <c r="K23" s="1087">
        <v>3969.4057121774622</v>
      </c>
      <c r="L23" s="1087">
        <f t="shared" si="23"/>
        <v>793531.8740063333</v>
      </c>
      <c r="M23" s="1087">
        <f t="shared" si="24"/>
        <v>66127.656167194436</v>
      </c>
      <c r="N23" s="1086">
        <f>'[8]FY2012-13 Initial'!$K24</f>
        <v>6493</v>
      </c>
      <c r="O23" s="1088">
        <f t="shared" si="25"/>
        <v>1227177</v>
      </c>
      <c r="P23" s="1155">
        <f t="shared" si="26"/>
        <v>-3067.9425000000001</v>
      </c>
      <c r="Q23" s="1088">
        <f t="shared" si="27"/>
        <v>1224109.0575000001</v>
      </c>
      <c r="R23" s="1088">
        <v>6272</v>
      </c>
      <c r="S23" s="1088">
        <f t="shared" si="28"/>
        <v>1230381.0575000001</v>
      </c>
      <c r="T23" s="1088">
        <f t="shared" si="29"/>
        <v>102531.75479166668</v>
      </c>
      <c r="U23" s="1089">
        <f t="shared" si="30"/>
        <v>2023912.9315063334</v>
      </c>
      <c r="V23" s="1089">
        <f t="shared" si="31"/>
        <v>168659.41095886112</v>
      </c>
    </row>
    <row r="24" spans="1:22">
      <c r="A24" s="1028">
        <v>18</v>
      </c>
      <c r="B24" s="1029" t="s">
        <v>119</v>
      </c>
      <c r="C24" s="1292">
        <f>'Table 8 2.1.12 MFP Funded'!T21</f>
        <v>0</v>
      </c>
      <c r="D24" s="1031">
        <f>'Table 3 Levels 1&amp;2'!AL25</f>
        <v>5798.0598063231446</v>
      </c>
      <c r="E24" s="1137">
        <f t="shared" si="18"/>
        <v>0</v>
      </c>
      <c r="F24" s="1137">
        <f>'Table 4 Level 3'!P23</f>
        <v>845.94999999999993</v>
      </c>
      <c r="G24" s="1137">
        <f t="shared" si="19"/>
        <v>0</v>
      </c>
      <c r="H24" s="1087">
        <f t="shared" si="20"/>
        <v>0</v>
      </c>
      <c r="I24" s="1147">
        <f t="shared" si="21"/>
        <v>0</v>
      </c>
      <c r="J24" s="1087">
        <f t="shared" si="22"/>
        <v>0</v>
      </c>
      <c r="K24" s="1087">
        <v>0</v>
      </c>
      <c r="L24" s="1087">
        <f t="shared" si="23"/>
        <v>0</v>
      </c>
      <c r="M24" s="1087">
        <f t="shared" si="24"/>
        <v>0</v>
      </c>
      <c r="N24" s="1086">
        <f>'[8]FY2012-13 Initial'!$K25</f>
        <v>2088</v>
      </c>
      <c r="O24" s="1088">
        <f t="shared" si="25"/>
        <v>0</v>
      </c>
      <c r="P24" s="1155">
        <f t="shared" si="26"/>
        <v>0</v>
      </c>
      <c r="Q24" s="1088">
        <f t="shared" si="27"/>
        <v>0</v>
      </c>
      <c r="R24" s="1088">
        <v>0</v>
      </c>
      <c r="S24" s="1088">
        <f t="shared" si="28"/>
        <v>0</v>
      </c>
      <c r="T24" s="1088">
        <f t="shared" si="29"/>
        <v>0</v>
      </c>
      <c r="U24" s="1089">
        <f t="shared" si="30"/>
        <v>0</v>
      </c>
      <c r="V24" s="1089">
        <f t="shared" si="31"/>
        <v>0</v>
      </c>
    </row>
    <row r="25" spans="1:22">
      <c r="A25" s="1028">
        <v>19</v>
      </c>
      <c r="B25" s="1029" t="s">
        <v>120</v>
      </c>
      <c r="C25" s="1292">
        <f>'Table 8 2.1.12 MFP Funded'!T22</f>
        <v>0</v>
      </c>
      <c r="D25" s="1031">
        <f>'Table 3 Levels 1&amp;2'!AL26</f>
        <v>5219.1012787873206</v>
      </c>
      <c r="E25" s="1137">
        <f t="shared" si="18"/>
        <v>0</v>
      </c>
      <c r="F25" s="1137">
        <f>'Table 4 Level 3'!P24</f>
        <v>905.43</v>
      </c>
      <c r="G25" s="1137">
        <f t="shared" si="19"/>
        <v>0</v>
      </c>
      <c r="H25" s="1087">
        <f t="shared" si="20"/>
        <v>0</v>
      </c>
      <c r="I25" s="1147">
        <f t="shared" si="21"/>
        <v>0</v>
      </c>
      <c r="J25" s="1087">
        <f t="shared" si="22"/>
        <v>0</v>
      </c>
      <c r="K25" s="1087">
        <v>0</v>
      </c>
      <c r="L25" s="1087">
        <f t="shared" si="23"/>
        <v>0</v>
      </c>
      <c r="M25" s="1087">
        <f t="shared" si="24"/>
        <v>0</v>
      </c>
      <c r="N25" s="1086">
        <f>'[8]FY2012-13 Initial'!$K26</f>
        <v>2275</v>
      </c>
      <c r="O25" s="1088">
        <f t="shared" si="25"/>
        <v>0</v>
      </c>
      <c r="P25" s="1155">
        <f t="shared" si="26"/>
        <v>0</v>
      </c>
      <c r="Q25" s="1088">
        <f t="shared" si="27"/>
        <v>0</v>
      </c>
      <c r="R25" s="1088">
        <v>0</v>
      </c>
      <c r="S25" s="1088">
        <f t="shared" si="28"/>
        <v>0</v>
      </c>
      <c r="T25" s="1088">
        <f t="shared" si="29"/>
        <v>0</v>
      </c>
      <c r="U25" s="1089">
        <f t="shared" si="30"/>
        <v>0</v>
      </c>
      <c r="V25" s="1089">
        <f t="shared" si="31"/>
        <v>0</v>
      </c>
    </row>
    <row r="26" spans="1:22">
      <c r="A26" s="1032">
        <v>20</v>
      </c>
      <c r="B26" s="1033" t="s">
        <v>121</v>
      </c>
      <c r="C26" s="1293">
        <f>'Table 8 2.1.12 MFP Funded'!T23</f>
        <v>0</v>
      </c>
      <c r="D26" s="1035">
        <f>'Table 3 Levels 1&amp;2'!AL27</f>
        <v>5441.7799844976798</v>
      </c>
      <c r="E26" s="1138">
        <f t="shared" si="18"/>
        <v>0</v>
      </c>
      <c r="F26" s="1138">
        <f>'Table 4 Level 3'!P25</f>
        <v>586.16999999999996</v>
      </c>
      <c r="G26" s="1138">
        <f t="shared" si="19"/>
        <v>0</v>
      </c>
      <c r="H26" s="1090">
        <f t="shared" si="20"/>
        <v>0</v>
      </c>
      <c r="I26" s="1148">
        <f t="shared" si="21"/>
        <v>0</v>
      </c>
      <c r="J26" s="1090">
        <f t="shared" si="22"/>
        <v>0</v>
      </c>
      <c r="K26" s="1090">
        <v>0</v>
      </c>
      <c r="L26" s="1090">
        <f t="shared" si="23"/>
        <v>0</v>
      </c>
      <c r="M26" s="1090">
        <f t="shared" si="24"/>
        <v>0</v>
      </c>
      <c r="N26" s="1091">
        <f>'[8]FY2012-13 Initial'!$K27</f>
        <v>2308</v>
      </c>
      <c r="O26" s="1092">
        <f t="shared" si="25"/>
        <v>0</v>
      </c>
      <c r="P26" s="1156">
        <f t="shared" si="26"/>
        <v>0</v>
      </c>
      <c r="Q26" s="1092">
        <f t="shared" si="27"/>
        <v>0</v>
      </c>
      <c r="R26" s="1092">
        <v>0</v>
      </c>
      <c r="S26" s="1092">
        <f t="shared" si="28"/>
        <v>0</v>
      </c>
      <c r="T26" s="1092">
        <f t="shared" si="29"/>
        <v>0</v>
      </c>
      <c r="U26" s="1093">
        <f t="shared" si="30"/>
        <v>0</v>
      </c>
      <c r="V26" s="1093">
        <f t="shared" si="31"/>
        <v>0</v>
      </c>
    </row>
    <row r="27" spans="1:22">
      <c r="A27" s="1021">
        <v>21</v>
      </c>
      <c r="B27" s="1022" t="s">
        <v>122</v>
      </c>
      <c r="C27" s="1294">
        <f>'Table 8 2.1.12 MFP Funded'!T24</f>
        <v>0</v>
      </c>
      <c r="D27" s="1024">
        <f>'Table 3 Levels 1&amp;2'!AL28</f>
        <v>5718.7800910915075</v>
      </c>
      <c r="E27" s="1136">
        <f t="shared" si="18"/>
        <v>0</v>
      </c>
      <c r="F27" s="1136">
        <f>'Table 4 Level 3'!P26</f>
        <v>610.35</v>
      </c>
      <c r="G27" s="1136">
        <f t="shared" si="19"/>
        <v>0</v>
      </c>
      <c r="H27" s="1025">
        <f t="shared" si="20"/>
        <v>0</v>
      </c>
      <c r="I27" s="1146">
        <f t="shared" si="21"/>
        <v>0</v>
      </c>
      <c r="J27" s="1025">
        <f t="shared" si="22"/>
        <v>0</v>
      </c>
      <c r="K27" s="1025">
        <v>0</v>
      </c>
      <c r="L27" s="1025">
        <f t="shared" si="23"/>
        <v>0</v>
      </c>
      <c r="M27" s="1025">
        <f t="shared" si="24"/>
        <v>0</v>
      </c>
      <c r="N27" s="1086">
        <f>'[8]FY2012-13 Initial'!$K28</f>
        <v>2245</v>
      </c>
      <c r="O27" s="1026">
        <f t="shared" si="25"/>
        <v>0</v>
      </c>
      <c r="P27" s="1154">
        <f t="shared" si="26"/>
        <v>0</v>
      </c>
      <c r="Q27" s="1026">
        <f t="shared" si="27"/>
        <v>0</v>
      </c>
      <c r="R27" s="1026">
        <v>0</v>
      </c>
      <c r="S27" s="1026">
        <f t="shared" si="28"/>
        <v>0</v>
      </c>
      <c r="T27" s="1026">
        <f t="shared" si="29"/>
        <v>0</v>
      </c>
      <c r="U27" s="1027">
        <f t="shared" si="30"/>
        <v>0</v>
      </c>
      <c r="V27" s="1027">
        <f t="shared" si="31"/>
        <v>0</v>
      </c>
    </row>
    <row r="28" spans="1:22">
      <c r="A28" s="1028">
        <v>22</v>
      </c>
      <c r="B28" s="1029" t="s">
        <v>123</v>
      </c>
      <c r="C28" s="1292">
        <f>'Table 8 2.1.12 MFP Funded'!T25</f>
        <v>0</v>
      </c>
      <c r="D28" s="1031">
        <f>'Table 3 Levels 1&amp;2'!AL29</f>
        <v>6198.830003500153</v>
      </c>
      <c r="E28" s="1137">
        <f t="shared" si="18"/>
        <v>0</v>
      </c>
      <c r="F28" s="1137">
        <f>'Table 4 Level 3'!P27</f>
        <v>496.36</v>
      </c>
      <c r="G28" s="1137">
        <f t="shared" si="19"/>
        <v>0</v>
      </c>
      <c r="H28" s="1087">
        <f t="shared" si="20"/>
        <v>0</v>
      </c>
      <c r="I28" s="1147">
        <f t="shared" si="21"/>
        <v>0</v>
      </c>
      <c r="J28" s="1087">
        <f t="shared" si="22"/>
        <v>0</v>
      </c>
      <c r="K28" s="1087">
        <v>0</v>
      </c>
      <c r="L28" s="1087">
        <f t="shared" si="23"/>
        <v>0</v>
      </c>
      <c r="M28" s="1087">
        <f t="shared" si="24"/>
        <v>0</v>
      </c>
      <c r="N28" s="1086">
        <f>'[8]FY2012-13 Initial'!$K29</f>
        <v>1445</v>
      </c>
      <c r="O28" s="1088">
        <f t="shared" si="25"/>
        <v>0</v>
      </c>
      <c r="P28" s="1155">
        <f t="shared" si="26"/>
        <v>0</v>
      </c>
      <c r="Q28" s="1088">
        <f t="shared" si="27"/>
        <v>0</v>
      </c>
      <c r="R28" s="1088">
        <v>0</v>
      </c>
      <c r="S28" s="1088">
        <f t="shared" si="28"/>
        <v>0</v>
      </c>
      <c r="T28" s="1088">
        <f t="shared" si="29"/>
        <v>0</v>
      </c>
      <c r="U28" s="1089">
        <f t="shared" si="30"/>
        <v>0</v>
      </c>
      <c r="V28" s="1089">
        <f t="shared" si="31"/>
        <v>0</v>
      </c>
    </row>
    <row r="29" spans="1:22">
      <c r="A29" s="1028">
        <v>23</v>
      </c>
      <c r="B29" s="1029" t="s">
        <v>124</v>
      </c>
      <c r="C29" s="1292">
        <f>'Table 8 2.1.12 MFP Funded'!T26</f>
        <v>0</v>
      </c>
      <c r="D29" s="1031">
        <f>'Table 3 Levels 1&amp;2'!AL30</f>
        <v>4809.0299298140199</v>
      </c>
      <c r="E29" s="1137">
        <f t="shared" si="18"/>
        <v>0</v>
      </c>
      <c r="F29" s="1137">
        <f>'Table 4 Level 3'!P28</f>
        <v>688.58</v>
      </c>
      <c r="G29" s="1137">
        <f t="shared" si="19"/>
        <v>0</v>
      </c>
      <c r="H29" s="1087">
        <f t="shared" si="20"/>
        <v>0</v>
      </c>
      <c r="I29" s="1147">
        <f t="shared" si="21"/>
        <v>0</v>
      </c>
      <c r="J29" s="1087">
        <f t="shared" si="22"/>
        <v>0</v>
      </c>
      <c r="K29" s="1087">
        <v>0</v>
      </c>
      <c r="L29" s="1087">
        <f t="shared" si="23"/>
        <v>0</v>
      </c>
      <c r="M29" s="1087">
        <f t="shared" si="24"/>
        <v>0</v>
      </c>
      <c r="N29" s="1086">
        <f>'[8]FY2012-13 Initial'!$K30</f>
        <v>3295</v>
      </c>
      <c r="O29" s="1088">
        <f t="shared" si="25"/>
        <v>0</v>
      </c>
      <c r="P29" s="1155">
        <f t="shared" si="26"/>
        <v>0</v>
      </c>
      <c r="Q29" s="1088">
        <f t="shared" si="27"/>
        <v>0</v>
      </c>
      <c r="R29" s="1088">
        <v>0</v>
      </c>
      <c r="S29" s="1088">
        <f t="shared" si="28"/>
        <v>0</v>
      </c>
      <c r="T29" s="1088">
        <f t="shared" si="29"/>
        <v>0</v>
      </c>
      <c r="U29" s="1089">
        <f t="shared" si="30"/>
        <v>0</v>
      </c>
      <c r="V29" s="1089">
        <f t="shared" si="31"/>
        <v>0</v>
      </c>
    </row>
    <row r="30" spans="1:22">
      <c r="A30" s="1028">
        <v>24</v>
      </c>
      <c r="B30" s="1029" t="s">
        <v>125</v>
      </c>
      <c r="C30" s="1292">
        <f>'Table 8 2.1.12 MFP Funded'!T27</f>
        <v>0</v>
      </c>
      <c r="D30" s="1031">
        <f>'Table 3 Levels 1&amp;2'!AL31</f>
        <v>2649.7787452556372</v>
      </c>
      <c r="E30" s="1137">
        <f t="shared" si="18"/>
        <v>0</v>
      </c>
      <c r="F30" s="1137">
        <f>'Table 4 Level 3'!P29</f>
        <v>854.24999999999989</v>
      </c>
      <c r="G30" s="1137">
        <f t="shared" si="19"/>
        <v>0</v>
      </c>
      <c r="H30" s="1087">
        <f t="shared" si="20"/>
        <v>0</v>
      </c>
      <c r="I30" s="1147">
        <f t="shared" si="21"/>
        <v>0</v>
      </c>
      <c r="J30" s="1087">
        <f t="shared" si="22"/>
        <v>0</v>
      </c>
      <c r="K30" s="1087">
        <v>0</v>
      </c>
      <c r="L30" s="1087">
        <f t="shared" si="23"/>
        <v>0</v>
      </c>
      <c r="M30" s="1087">
        <f t="shared" si="24"/>
        <v>0</v>
      </c>
      <c r="N30" s="1086">
        <f>'[8]FY2012-13 Initial'!$K31</f>
        <v>8769</v>
      </c>
      <c r="O30" s="1088">
        <f t="shared" si="25"/>
        <v>0</v>
      </c>
      <c r="P30" s="1155">
        <f t="shared" si="26"/>
        <v>0</v>
      </c>
      <c r="Q30" s="1088">
        <f t="shared" si="27"/>
        <v>0</v>
      </c>
      <c r="R30" s="1088">
        <v>0</v>
      </c>
      <c r="S30" s="1088">
        <f t="shared" si="28"/>
        <v>0</v>
      </c>
      <c r="T30" s="1088">
        <f t="shared" si="29"/>
        <v>0</v>
      </c>
      <c r="U30" s="1089">
        <f t="shared" si="30"/>
        <v>0</v>
      </c>
      <c r="V30" s="1089">
        <f t="shared" si="31"/>
        <v>0</v>
      </c>
    </row>
    <row r="31" spans="1:22">
      <c r="A31" s="1032">
        <v>25</v>
      </c>
      <c r="B31" s="1033" t="s">
        <v>126</v>
      </c>
      <c r="C31" s="1293">
        <f>'Table 8 2.1.12 MFP Funded'!T28</f>
        <v>0</v>
      </c>
      <c r="D31" s="1035">
        <f>'Table 3 Levels 1&amp;2'!AL32</f>
        <v>3848.3923674564248</v>
      </c>
      <c r="E31" s="1138">
        <f t="shared" si="18"/>
        <v>0</v>
      </c>
      <c r="F31" s="1138">
        <f>'Table 4 Level 3'!P30</f>
        <v>653.73</v>
      </c>
      <c r="G31" s="1138">
        <f t="shared" si="19"/>
        <v>0</v>
      </c>
      <c r="H31" s="1090">
        <f t="shared" si="20"/>
        <v>0</v>
      </c>
      <c r="I31" s="1148">
        <f t="shared" si="21"/>
        <v>0</v>
      </c>
      <c r="J31" s="1090">
        <f t="shared" si="22"/>
        <v>0</v>
      </c>
      <c r="K31" s="1090">
        <v>0</v>
      </c>
      <c r="L31" s="1090">
        <f t="shared" si="23"/>
        <v>0</v>
      </c>
      <c r="M31" s="1090">
        <f t="shared" si="24"/>
        <v>0</v>
      </c>
      <c r="N31" s="1091">
        <f>'[8]FY2012-13 Initial'!$K32</f>
        <v>5187</v>
      </c>
      <c r="O31" s="1092">
        <f t="shared" si="25"/>
        <v>0</v>
      </c>
      <c r="P31" s="1156">
        <f t="shared" si="26"/>
        <v>0</v>
      </c>
      <c r="Q31" s="1092">
        <f t="shared" si="27"/>
        <v>0</v>
      </c>
      <c r="R31" s="1092">
        <v>0</v>
      </c>
      <c r="S31" s="1092">
        <f t="shared" si="28"/>
        <v>0</v>
      </c>
      <c r="T31" s="1092">
        <f t="shared" si="29"/>
        <v>0</v>
      </c>
      <c r="U31" s="1093">
        <f t="shared" si="30"/>
        <v>0</v>
      </c>
      <c r="V31" s="1093">
        <f t="shared" si="31"/>
        <v>0</v>
      </c>
    </row>
    <row r="32" spans="1:22">
      <c r="A32" s="1021">
        <v>26</v>
      </c>
      <c r="B32" s="1022" t="s">
        <v>127</v>
      </c>
      <c r="C32" s="1294">
        <f>'Table 8 2.1.12 MFP Funded'!T29</f>
        <v>0</v>
      </c>
      <c r="D32" s="1024">
        <f>'Table 3 Levels 1&amp;2'!AL33</f>
        <v>3145.9192082835102</v>
      </c>
      <c r="E32" s="1136">
        <f t="shared" si="18"/>
        <v>0</v>
      </c>
      <c r="F32" s="1136">
        <f>'Table 4 Level 3'!P31</f>
        <v>836.83</v>
      </c>
      <c r="G32" s="1136">
        <f t="shared" si="19"/>
        <v>0</v>
      </c>
      <c r="H32" s="1025">
        <f t="shared" si="20"/>
        <v>0</v>
      </c>
      <c r="I32" s="1146">
        <f t="shared" si="21"/>
        <v>0</v>
      </c>
      <c r="J32" s="1025">
        <f t="shared" si="22"/>
        <v>0</v>
      </c>
      <c r="K32" s="1025">
        <v>0</v>
      </c>
      <c r="L32" s="1025">
        <f t="shared" si="23"/>
        <v>0</v>
      </c>
      <c r="M32" s="1025">
        <f t="shared" si="24"/>
        <v>0</v>
      </c>
      <c r="N32" s="1086">
        <f>'[8]FY2012-13 Initial'!$K33</f>
        <v>5197</v>
      </c>
      <c r="O32" s="1026">
        <f t="shared" si="25"/>
        <v>0</v>
      </c>
      <c r="P32" s="1154">
        <f t="shared" si="26"/>
        <v>0</v>
      </c>
      <c r="Q32" s="1026">
        <f t="shared" si="27"/>
        <v>0</v>
      </c>
      <c r="R32" s="1026">
        <v>0</v>
      </c>
      <c r="S32" s="1026">
        <f t="shared" si="28"/>
        <v>0</v>
      </c>
      <c r="T32" s="1026">
        <f t="shared" si="29"/>
        <v>0</v>
      </c>
      <c r="U32" s="1027">
        <f t="shared" si="30"/>
        <v>0</v>
      </c>
      <c r="V32" s="1027">
        <f t="shared" si="31"/>
        <v>0</v>
      </c>
    </row>
    <row r="33" spans="1:22">
      <c r="A33" s="1028">
        <v>27</v>
      </c>
      <c r="B33" s="1029" t="s">
        <v>128</v>
      </c>
      <c r="C33" s="1295">
        <f>'Table 8 2.1.12 MFP Funded'!T30</f>
        <v>0</v>
      </c>
      <c r="D33" s="1037">
        <f>'Table 3 Levels 1&amp;2'!AL34</f>
        <v>5653.5502977926608</v>
      </c>
      <c r="E33" s="1139">
        <f t="shared" si="18"/>
        <v>0</v>
      </c>
      <c r="F33" s="1139">
        <f>'Table 4 Level 3'!P32</f>
        <v>693.06</v>
      </c>
      <c r="G33" s="1139">
        <f t="shared" si="19"/>
        <v>0</v>
      </c>
      <c r="H33" s="1094">
        <f t="shared" si="20"/>
        <v>0</v>
      </c>
      <c r="I33" s="1149">
        <f t="shared" si="21"/>
        <v>0</v>
      </c>
      <c r="J33" s="1094">
        <f t="shared" si="22"/>
        <v>0</v>
      </c>
      <c r="K33" s="1094">
        <v>0</v>
      </c>
      <c r="L33" s="1094">
        <f t="shared" si="23"/>
        <v>0</v>
      </c>
      <c r="M33" s="1094">
        <f t="shared" si="24"/>
        <v>0</v>
      </c>
      <c r="N33" s="1086">
        <f>'[8]FY2012-13 Initial'!$K34</f>
        <v>3073</v>
      </c>
      <c r="O33" s="1088">
        <f t="shared" si="25"/>
        <v>0</v>
      </c>
      <c r="P33" s="1155">
        <f t="shared" si="26"/>
        <v>0</v>
      </c>
      <c r="Q33" s="1088">
        <f t="shared" si="27"/>
        <v>0</v>
      </c>
      <c r="R33" s="1088">
        <v>0</v>
      </c>
      <c r="S33" s="1088">
        <f t="shared" si="28"/>
        <v>0</v>
      </c>
      <c r="T33" s="1088">
        <f t="shared" si="29"/>
        <v>0</v>
      </c>
      <c r="U33" s="1089">
        <f t="shared" si="30"/>
        <v>0</v>
      </c>
      <c r="V33" s="1089">
        <f t="shared" si="31"/>
        <v>0</v>
      </c>
    </row>
    <row r="34" spans="1:22">
      <c r="A34" s="1028">
        <v>28</v>
      </c>
      <c r="B34" s="1029" t="s">
        <v>129</v>
      </c>
      <c r="C34" s="1295">
        <f>'Table 8 2.1.12 MFP Funded'!T31</f>
        <v>0</v>
      </c>
      <c r="D34" s="1037">
        <f>'Table 3 Levels 1&amp;2'!AL35</f>
        <v>3200.5356505169011</v>
      </c>
      <c r="E34" s="1139">
        <f t="shared" si="18"/>
        <v>0</v>
      </c>
      <c r="F34" s="1139">
        <f>'Table 4 Level 3'!P33</f>
        <v>694.4</v>
      </c>
      <c r="G34" s="1139">
        <f t="shared" si="19"/>
        <v>0</v>
      </c>
      <c r="H34" s="1094">
        <f t="shared" si="20"/>
        <v>0</v>
      </c>
      <c r="I34" s="1149">
        <f t="shared" si="21"/>
        <v>0</v>
      </c>
      <c r="J34" s="1094">
        <f t="shared" si="22"/>
        <v>0</v>
      </c>
      <c r="K34" s="1094">
        <v>0</v>
      </c>
      <c r="L34" s="1094">
        <f t="shared" si="23"/>
        <v>0</v>
      </c>
      <c r="M34" s="1094">
        <f t="shared" si="24"/>
        <v>0</v>
      </c>
      <c r="N34" s="1086">
        <f>'[8]FY2012-13 Initial'!$K35</f>
        <v>5082</v>
      </c>
      <c r="O34" s="1088">
        <f t="shared" si="25"/>
        <v>0</v>
      </c>
      <c r="P34" s="1155">
        <f t="shared" si="26"/>
        <v>0</v>
      </c>
      <c r="Q34" s="1088">
        <f t="shared" si="27"/>
        <v>0</v>
      </c>
      <c r="R34" s="1088">
        <v>0</v>
      </c>
      <c r="S34" s="1088">
        <f t="shared" si="28"/>
        <v>0</v>
      </c>
      <c r="T34" s="1088">
        <f t="shared" si="29"/>
        <v>0</v>
      </c>
      <c r="U34" s="1089">
        <f t="shared" si="30"/>
        <v>0</v>
      </c>
      <c r="V34" s="1089">
        <f t="shared" si="31"/>
        <v>0</v>
      </c>
    </row>
    <row r="35" spans="1:22">
      <c r="A35" s="1028">
        <v>29</v>
      </c>
      <c r="B35" s="1029" t="s">
        <v>130</v>
      </c>
      <c r="C35" s="1295">
        <f>'Table 8 2.1.12 MFP Funded'!T32</f>
        <v>0</v>
      </c>
      <c r="D35" s="1037">
        <f>'Table 3 Levels 1&amp;2'!AL36</f>
        <v>3945.0399545376122</v>
      </c>
      <c r="E35" s="1139">
        <f t="shared" si="18"/>
        <v>0</v>
      </c>
      <c r="F35" s="1139">
        <f>'Table 4 Level 3'!P34</f>
        <v>754.94999999999993</v>
      </c>
      <c r="G35" s="1139">
        <f t="shared" si="19"/>
        <v>0</v>
      </c>
      <c r="H35" s="1094">
        <f t="shared" si="20"/>
        <v>0</v>
      </c>
      <c r="I35" s="1149">
        <f t="shared" si="21"/>
        <v>0</v>
      </c>
      <c r="J35" s="1094">
        <f t="shared" si="22"/>
        <v>0</v>
      </c>
      <c r="K35" s="1094">
        <v>0</v>
      </c>
      <c r="L35" s="1094">
        <f t="shared" si="23"/>
        <v>0</v>
      </c>
      <c r="M35" s="1094">
        <f t="shared" si="24"/>
        <v>0</v>
      </c>
      <c r="N35" s="1086">
        <f>'[8]FY2012-13 Initial'!$K36</f>
        <v>4295</v>
      </c>
      <c r="O35" s="1088">
        <f t="shared" si="25"/>
        <v>0</v>
      </c>
      <c r="P35" s="1155">
        <f t="shared" si="26"/>
        <v>0</v>
      </c>
      <c r="Q35" s="1088">
        <f t="shared" si="27"/>
        <v>0</v>
      </c>
      <c r="R35" s="1088">
        <v>0</v>
      </c>
      <c r="S35" s="1088">
        <f t="shared" si="28"/>
        <v>0</v>
      </c>
      <c r="T35" s="1088">
        <f t="shared" si="29"/>
        <v>0</v>
      </c>
      <c r="U35" s="1089">
        <f t="shared" si="30"/>
        <v>0</v>
      </c>
      <c r="V35" s="1089">
        <f t="shared" si="31"/>
        <v>0</v>
      </c>
    </row>
    <row r="36" spans="1:22">
      <c r="A36" s="1032">
        <v>30</v>
      </c>
      <c r="B36" s="1033" t="s">
        <v>131</v>
      </c>
      <c r="C36" s="1296">
        <f>'Table 8 2.1.12 MFP Funded'!T33</f>
        <v>0</v>
      </c>
      <c r="D36" s="1039">
        <f>'Table 3 Levels 1&amp;2'!AL37</f>
        <v>5594.8916667625617</v>
      </c>
      <c r="E36" s="1140">
        <f t="shared" si="18"/>
        <v>0</v>
      </c>
      <c r="F36" s="1140">
        <f>'Table 4 Level 3'!P35</f>
        <v>727.17</v>
      </c>
      <c r="G36" s="1140">
        <f t="shared" si="19"/>
        <v>0</v>
      </c>
      <c r="H36" s="1095">
        <f t="shared" si="20"/>
        <v>0</v>
      </c>
      <c r="I36" s="1150">
        <f t="shared" si="21"/>
        <v>0</v>
      </c>
      <c r="J36" s="1095">
        <f t="shared" si="22"/>
        <v>0</v>
      </c>
      <c r="K36" s="1095">
        <v>0</v>
      </c>
      <c r="L36" s="1095">
        <f t="shared" si="23"/>
        <v>0</v>
      </c>
      <c r="M36" s="1095">
        <f t="shared" si="24"/>
        <v>0</v>
      </c>
      <c r="N36" s="1091">
        <f>'[8]FY2012-13 Initial'!$K37</f>
        <v>3553</v>
      </c>
      <c r="O36" s="1092">
        <f t="shared" si="25"/>
        <v>0</v>
      </c>
      <c r="P36" s="1156">
        <f t="shared" si="26"/>
        <v>0</v>
      </c>
      <c r="Q36" s="1092">
        <f t="shared" si="27"/>
        <v>0</v>
      </c>
      <c r="R36" s="1092">
        <v>0</v>
      </c>
      <c r="S36" s="1092">
        <f t="shared" si="28"/>
        <v>0</v>
      </c>
      <c r="T36" s="1092">
        <f t="shared" si="29"/>
        <v>0</v>
      </c>
      <c r="U36" s="1093">
        <f t="shared" si="30"/>
        <v>0</v>
      </c>
      <c r="V36" s="1093">
        <f t="shared" si="31"/>
        <v>0</v>
      </c>
    </row>
    <row r="37" spans="1:22">
      <c r="A37" s="1021">
        <v>31</v>
      </c>
      <c r="B37" s="1022" t="s">
        <v>132</v>
      </c>
      <c r="C37" s="1297">
        <f>'Table 8 2.1.12 MFP Funded'!T34</f>
        <v>0</v>
      </c>
      <c r="D37" s="1041">
        <f>'Table 3 Levels 1&amp;2'!AL38</f>
        <v>4159.5846806435638</v>
      </c>
      <c r="E37" s="1141">
        <f t="shared" si="18"/>
        <v>0</v>
      </c>
      <c r="F37" s="1141">
        <f>'Table 4 Level 3'!P36</f>
        <v>620.83000000000004</v>
      </c>
      <c r="G37" s="1141">
        <f t="shared" si="19"/>
        <v>0</v>
      </c>
      <c r="H37" s="1096">
        <f t="shared" si="20"/>
        <v>0</v>
      </c>
      <c r="I37" s="1151">
        <f t="shared" si="21"/>
        <v>0</v>
      </c>
      <c r="J37" s="1096">
        <f t="shared" si="22"/>
        <v>0</v>
      </c>
      <c r="K37" s="1096">
        <v>0</v>
      </c>
      <c r="L37" s="1096">
        <f t="shared" si="23"/>
        <v>0</v>
      </c>
      <c r="M37" s="1096">
        <f t="shared" si="24"/>
        <v>0</v>
      </c>
      <c r="N37" s="1086">
        <f>'[8]FY2012-13 Initial'!$K38</f>
        <v>4719</v>
      </c>
      <c r="O37" s="1026">
        <f t="shared" si="25"/>
        <v>0</v>
      </c>
      <c r="P37" s="1154">
        <f t="shared" si="26"/>
        <v>0</v>
      </c>
      <c r="Q37" s="1026">
        <f t="shared" si="27"/>
        <v>0</v>
      </c>
      <c r="R37" s="1026">
        <v>0</v>
      </c>
      <c r="S37" s="1026">
        <f t="shared" si="28"/>
        <v>0</v>
      </c>
      <c r="T37" s="1026">
        <f t="shared" si="29"/>
        <v>0</v>
      </c>
      <c r="U37" s="1027">
        <f t="shared" si="30"/>
        <v>0</v>
      </c>
      <c r="V37" s="1027">
        <f t="shared" si="31"/>
        <v>0</v>
      </c>
    </row>
    <row r="38" spans="1:22">
      <c r="A38" s="1028">
        <v>32</v>
      </c>
      <c r="B38" s="1029" t="s">
        <v>133</v>
      </c>
      <c r="C38" s="1295">
        <f>'Table 8 2.1.12 MFP Funded'!T35</f>
        <v>1</v>
      </c>
      <c r="D38" s="1037">
        <f>'Table 3 Levels 1&amp;2'!AL39</f>
        <v>5475.1436637248598</v>
      </c>
      <c r="E38" s="1139">
        <f t="shared" si="18"/>
        <v>5475.1436637248598</v>
      </c>
      <c r="F38" s="1139">
        <f>'Table 4 Level 3'!P37</f>
        <v>559.77</v>
      </c>
      <c r="G38" s="1139">
        <f t="shared" si="19"/>
        <v>559.77</v>
      </c>
      <c r="H38" s="1094">
        <f t="shared" si="20"/>
        <v>6034.9136637248594</v>
      </c>
      <c r="I38" s="1149">
        <f t="shared" si="21"/>
        <v>-15.087284159312148</v>
      </c>
      <c r="J38" s="1094">
        <f t="shared" si="22"/>
        <v>6019.8263795655475</v>
      </c>
      <c r="K38" s="1094">
        <v>0</v>
      </c>
      <c r="L38" s="1094">
        <f t="shared" si="23"/>
        <v>6019.8263795655475</v>
      </c>
      <c r="M38" s="1094">
        <f t="shared" si="24"/>
        <v>501.65219829712896</v>
      </c>
      <c r="N38" s="1086">
        <f>'[8]FY2012-13 Initial'!$K39</f>
        <v>1979</v>
      </c>
      <c r="O38" s="1088">
        <f t="shared" si="25"/>
        <v>1979</v>
      </c>
      <c r="P38" s="1155">
        <f t="shared" si="26"/>
        <v>-4.9474999999999998</v>
      </c>
      <c r="Q38" s="1088">
        <f t="shared" si="27"/>
        <v>1974.0525</v>
      </c>
      <c r="R38" s="1088">
        <v>0</v>
      </c>
      <c r="S38" s="1088">
        <f t="shared" si="28"/>
        <v>1974.0525</v>
      </c>
      <c r="T38" s="1088">
        <f t="shared" si="29"/>
        <v>164.50437500000001</v>
      </c>
      <c r="U38" s="1089">
        <f t="shared" si="30"/>
        <v>7993.8788795655473</v>
      </c>
      <c r="V38" s="1089">
        <f t="shared" si="31"/>
        <v>666.15657329712894</v>
      </c>
    </row>
    <row r="39" spans="1:22">
      <c r="A39" s="1028">
        <v>33</v>
      </c>
      <c r="B39" s="1029" t="s">
        <v>134</v>
      </c>
      <c r="C39" s="1295">
        <f>'Table 8 2.1.12 MFP Funded'!T36</f>
        <v>0</v>
      </c>
      <c r="D39" s="1037">
        <f>'Table 3 Levels 1&amp;2'!AL40</f>
        <v>5397.5678422891451</v>
      </c>
      <c r="E39" s="1139">
        <f t="shared" si="18"/>
        <v>0</v>
      </c>
      <c r="F39" s="1139">
        <f>'Table 4 Level 3'!P38</f>
        <v>655.31000000000006</v>
      </c>
      <c r="G39" s="1139">
        <f t="shared" si="19"/>
        <v>0</v>
      </c>
      <c r="H39" s="1094">
        <f t="shared" si="20"/>
        <v>0</v>
      </c>
      <c r="I39" s="1149">
        <f t="shared" si="21"/>
        <v>0</v>
      </c>
      <c r="J39" s="1094">
        <f t="shared" si="22"/>
        <v>0</v>
      </c>
      <c r="K39" s="1094">
        <v>0</v>
      </c>
      <c r="L39" s="1094">
        <f t="shared" si="23"/>
        <v>0</v>
      </c>
      <c r="M39" s="1094">
        <f t="shared" si="24"/>
        <v>0</v>
      </c>
      <c r="N39" s="1086">
        <f>'[8]FY2012-13 Initial'!$K40</f>
        <v>3055</v>
      </c>
      <c r="O39" s="1088">
        <f t="shared" si="25"/>
        <v>0</v>
      </c>
      <c r="P39" s="1155">
        <f t="shared" si="26"/>
        <v>0</v>
      </c>
      <c r="Q39" s="1088">
        <f t="shared" si="27"/>
        <v>0</v>
      </c>
      <c r="R39" s="1088">
        <v>0</v>
      </c>
      <c r="S39" s="1088">
        <f t="shared" si="28"/>
        <v>0</v>
      </c>
      <c r="T39" s="1088">
        <f t="shared" si="29"/>
        <v>0</v>
      </c>
      <c r="U39" s="1089">
        <f t="shared" si="30"/>
        <v>0</v>
      </c>
      <c r="V39" s="1089">
        <f t="shared" si="31"/>
        <v>0</v>
      </c>
    </row>
    <row r="40" spans="1:22">
      <c r="A40" s="1028">
        <v>34</v>
      </c>
      <c r="B40" s="1029" t="s">
        <v>135</v>
      </c>
      <c r="C40" s="1295">
        <f>'Table 8 2.1.12 MFP Funded'!T37</f>
        <v>0</v>
      </c>
      <c r="D40" s="1037">
        <f>'Table 3 Levels 1&amp;2'!AL41</f>
        <v>5843.9642210290731</v>
      </c>
      <c r="E40" s="1139">
        <f t="shared" si="18"/>
        <v>0</v>
      </c>
      <c r="F40" s="1139">
        <f>'Table 4 Level 3'!P39</f>
        <v>644.11000000000013</v>
      </c>
      <c r="G40" s="1139">
        <f t="shared" si="19"/>
        <v>0</v>
      </c>
      <c r="H40" s="1094">
        <f t="shared" si="20"/>
        <v>0</v>
      </c>
      <c r="I40" s="1149">
        <f t="shared" si="21"/>
        <v>0</v>
      </c>
      <c r="J40" s="1094">
        <f t="shared" si="22"/>
        <v>0</v>
      </c>
      <c r="K40" s="1094">
        <v>0</v>
      </c>
      <c r="L40" s="1094">
        <f t="shared" si="23"/>
        <v>0</v>
      </c>
      <c r="M40" s="1094">
        <f t="shared" si="24"/>
        <v>0</v>
      </c>
      <c r="N40" s="1086">
        <f>'[8]FY2012-13 Initial'!$K41</f>
        <v>2782</v>
      </c>
      <c r="O40" s="1088">
        <f t="shared" si="25"/>
        <v>0</v>
      </c>
      <c r="P40" s="1155">
        <f t="shared" si="26"/>
        <v>0</v>
      </c>
      <c r="Q40" s="1088">
        <f t="shared" si="27"/>
        <v>0</v>
      </c>
      <c r="R40" s="1088">
        <v>0</v>
      </c>
      <c r="S40" s="1088">
        <f t="shared" si="28"/>
        <v>0</v>
      </c>
      <c r="T40" s="1088">
        <f t="shared" si="29"/>
        <v>0</v>
      </c>
      <c r="U40" s="1089">
        <f t="shared" si="30"/>
        <v>0</v>
      </c>
      <c r="V40" s="1089">
        <f t="shared" si="31"/>
        <v>0</v>
      </c>
    </row>
    <row r="41" spans="1:22">
      <c r="A41" s="1032">
        <v>35</v>
      </c>
      <c r="B41" s="1033" t="s">
        <v>136</v>
      </c>
      <c r="C41" s="1296">
        <f>'Table 8 2.1.12 MFP Funded'!T38</f>
        <v>0</v>
      </c>
      <c r="D41" s="1039">
        <f>'Table 3 Levels 1&amp;2'!AL42</f>
        <v>4830.9633412658623</v>
      </c>
      <c r="E41" s="1140">
        <f t="shared" si="18"/>
        <v>0</v>
      </c>
      <c r="F41" s="1140">
        <f>'Table 4 Level 3'!P40</f>
        <v>537.96</v>
      </c>
      <c r="G41" s="1140">
        <f t="shared" si="19"/>
        <v>0</v>
      </c>
      <c r="H41" s="1095">
        <f t="shared" si="20"/>
        <v>0</v>
      </c>
      <c r="I41" s="1150">
        <f t="shared" si="21"/>
        <v>0</v>
      </c>
      <c r="J41" s="1095">
        <f t="shared" si="22"/>
        <v>0</v>
      </c>
      <c r="K41" s="1095">
        <v>0</v>
      </c>
      <c r="L41" s="1095">
        <f t="shared" si="23"/>
        <v>0</v>
      </c>
      <c r="M41" s="1095">
        <f t="shared" si="24"/>
        <v>0</v>
      </c>
      <c r="N41" s="1091">
        <f>'[8]FY2012-13 Initial'!$K42</f>
        <v>3175</v>
      </c>
      <c r="O41" s="1092">
        <f t="shared" si="25"/>
        <v>0</v>
      </c>
      <c r="P41" s="1156">
        <f t="shared" si="26"/>
        <v>0</v>
      </c>
      <c r="Q41" s="1092">
        <f t="shared" si="27"/>
        <v>0</v>
      </c>
      <c r="R41" s="1092">
        <v>0</v>
      </c>
      <c r="S41" s="1092">
        <f t="shared" si="28"/>
        <v>0</v>
      </c>
      <c r="T41" s="1092">
        <f t="shared" si="29"/>
        <v>0</v>
      </c>
      <c r="U41" s="1093">
        <f t="shared" si="30"/>
        <v>0</v>
      </c>
      <c r="V41" s="1093">
        <f t="shared" si="31"/>
        <v>0</v>
      </c>
    </row>
    <row r="42" spans="1:22">
      <c r="A42" s="1021">
        <v>36</v>
      </c>
      <c r="B42" s="1022" t="s">
        <v>137</v>
      </c>
      <c r="C42" s="1297">
        <f>'Table 8 2.1.12 MFP Funded'!T39</f>
        <v>0</v>
      </c>
      <c r="D42" s="1041">
        <f>'Table 3 Levels 1&amp;2'!AL43</f>
        <v>3493.4615493208294</v>
      </c>
      <c r="E42" s="1141">
        <f t="shared" si="18"/>
        <v>0</v>
      </c>
      <c r="F42" s="1141">
        <f>'Table 5B1_RSD_Orleans'!F78</f>
        <v>746.0335616438357</v>
      </c>
      <c r="G42" s="1141">
        <f t="shared" si="19"/>
        <v>0</v>
      </c>
      <c r="H42" s="1096">
        <f t="shared" si="20"/>
        <v>0</v>
      </c>
      <c r="I42" s="1151">
        <f t="shared" si="21"/>
        <v>0</v>
      </c>
      <c r="J42" s="1096">
        <f t="shared" si="22"/>
        <v>0</v>
      </c>
      <c r="K42" s="1096">
        <v>0</v>
      </c>
      <c r="L42" s="1096">
        <f t="shared" si="23"/>
        <v>0</v>
      </c>
      <c r="M42" s="1096">
        <f t="shared" si="24"/>
        <v>0</v>
      </c>
      <c r="N42" s="1086">
        <f>'[8]FY2012-13 Initial'!$K43</f>
        <v>4785</v>
      </c>
      <c r="O42" s="1026">
        <f t="shared" si="25"/>
        <v>0</v>
      </c>
      <c r="P42" s="1154">
        <f t="shared" si="26"/>
        <v>0</v>
      </c>
      <c r="Q42" s="1026">
        <f t="shared" si="27"/>
        <v>0</v>
      </c>
      <c r="R42" s="1026">
        <v>0</v>
      </c>
      <c r="S42" s="1026">
        <f t="shared" si="28"/>
        <v>0</v>
      </c>
      <c r="T42" s="1026">
        <f t="shared" si="29"/>
        <v>0</v>
      </c>
      <c r="U42" s="1027">
        <f t="shared" si="30"/>
        <v>0</v>
      </c>
      <c r="V42" s="1027">
        <f t="shared" si="31"/>
        <v>0</v>
      </c>
    </row>
    <row r="43" spans="1:22">
      <c r="A43" s="1028">
        <v>37</v>
      </c>
      <c r="B43" s="1029" t="s">
        <v>138</v>
      </c>
      <c r="C43" s="1295">
        <f>'Table 8 2.1.12 MFP Funded'!T40</f>
        <v>0</v>
      </c>
      <c r="D43" s="1037">
        <f>'Table 3 Levels 1&amp;2'!AL44</f>
        <v>5484.3026094077886</v>
      </c>
      <c r="E43" s="1139">
        <f t="shared" si="18"/>
        <v>0</v>
      </c>
      <c r="F43" s="1139">
        <f>'Table 4 Level 3'!P42</f>
        <v>653.61</v>
      </c>
      <c r="G43" s="1139">
        <f t="shared" si="19"/>
        <v>0</v>
      </c>
      <c r="H43" s="1094">
        <f t="shared" si="20"/>
        <v>0</v>
      </c>
      <c r="I43" s="1149">
        <f t="shared" si="21"/>
        <v>0</v>
      </c>
      <c r="J43" s="1094">
        <f t="shared" si="22"/>
        <v>0</v>
      </c>
      <c r="K43" s="1094">
        <v>0</v>
      </c>
      <c r="L43" s="1094">
        <f t="shared" si="23"/>
        <v>0</v>
      </c>
      <c r="M43" s="1094">
        <f t="shared" si="24"/>
        <v>0</v>
      </c>
      <c r="N43" s="1086">
        <f>'[8]FY2012-13 Initial'!$K44</f>
        <v>3112</v>
      </c>
      <c r="O43" s="1088">
        <f t="shared" si="25"/>
        <v>0</v>
      </c>
      <c r="P43" s="1155">
        <f t="shared" si="26"/>
        <v>0</v>
      </c>
      <c r="Q43" s="1088">
        <f t="shared" si="27"/>
        <v>0</v>
      </c>
      <c r="R43" s="1088">
        <v>0</v>
      </c>
      <c r="S43" s="1088">
        <f t="shared" si="28"/>
        <v>0</v>
      </c>
      <c r="T43" s="1088">
        <f t="shared" si="29"/>
        <v>0</v>
      </c>
      <c r="U43" s="1089">
        <f t="shared" si="30"/>
        <v>0</v>
      </c>
      <c r="V43" s="1089">
        <f t="shared" si="31"/>
        <v>0</v>
      </c>
    </row>
    <row r="44" spans="1:22">
      <c r="A44" s="1028">
        <v>38</v>
      </c>
      <c r="B44" s="1029" t="s">
        <v>139</v>
      </c>
      <c r="C44" s="1295">
        <f>'Table 8 2.1.12 MFP Funded'!T41</f>
        <v>0</v>
      </c>
      <c r="D44" s="1037">
        <f>'Table 3 Levels 1&amp;2'!AL45</f>
        <v>2191.7415364583335</v>
      </c>
      <c r="E44" s="1139">
        <f t="shared" si="18"/>
        <v>0</v>
      </c>
      <c r="F44" s="1139">
        <f>'Table 4 Level 3'!P43</f>
        <v>829.92000000000007</v>
      </c>
      <c r="G44" s="1139">
        <f t="shared" si="19"/>
        <v>0</v>
      </c>
      <c r="H44" s="1094">
        <f t="shared" si="20"/>
        <v>0</v>
      </c>
      <c r="I44" s="1149">
        <f t="shared" si="21"/>
        <v>0</v>
      </c>
      <c r="J44" s="1094">
        <f t="shared" si="22"/>
        <v>0</v>
      </c>
      <c r="K44" s="1094">
        <v>0</v>
      </c>
      <c r="L44" s="1094">
        <f t="shared" si="23"/>
        <v>0</v>
      </c>
      <c r="M44" s="1094">
        <f t="shared" si="24"/>
        <v>0</v>
      </c>
      <c r="N44" s="1086">
        <f>'[8]FY2012-13 Initial'!$K45</f>
        <v>9771</v>
      </c>
      <c r="O44" s="1088">
        <f t="shared" si="25"/>
        <v>0</v>
      </c>
      <c r="P44" s="1155">
        <f t="shared" si="26"/>
        <v>0</v>
      </c>
      <c r="Q44" s="1088">
        <f t="shared" si="27"/>
        <v>0</v>
      </c>
      <c r="R44" s="1088">
        <v>0</v>
      </c>
      <c r="S44" s="1088">
        <f t="shared" si="28"/>
        <v>0</v>
      </c>
      <c r="T44" s="1088">
        <f t="shared" si="29"/>
        <v>0</v>
      </c>
      <c r="U44" s="1089">
        <f t="shared" si="30"/>
        <v>0</v>
      </c>
      <c r="V44" s="1089">
        <f t="shared" si="31"/>
        <v>0</v>
      </c>
    </row>
    <row r="45" spans="1:22">
      <c r="A45" s="1028">
        <v>39</v>
      </c>
      <c r="B45" s="1029" t="s">
        <v>140</v>
      </c>
      <c r="C45" s="1295">
        <f>'Table 8 2.1.12 MFP Funded'!T42</f>
        <v>0</v>
      </c>
      <c r="D45" s="1037">
        <f>'Table 3 Levels 1&amp;2'!AL46</f>
        <v>3686.1886996918806</v>
      </c>
      <c r="E45" s="1139">
        <f t="shared" si="18"/>
        <v>0</v>
      </c>
      <c r="F45" s="1139">
        <f>'Table 5B2_RSD_LA'!F21</f>
        <v>779.65573042776441</v>
      </c>
      <c r="G45" s="1139">
        <f t="shared" si="19"/>
        <v>0</v>
      </c>
      <c r="H45" s="1094">
        <f t="shared" si="20"/>
        <v>0</v>
      </c>
      <c r="I45" s="1149">
        <f t="shared" si="21"/>
        <v>0</v>
      </c>
      <c r="J45" s="1094">
        <f t="shared" si="22"/>
        <v>0</v>
      </c>
      <c r="K45" s="1094">
        <v>0</v>
      </c>
      <c r="L45" s="1094">
        <f t="shared" si="23"/>
        <v>0</v>
      </c>
      <c r="M45" s="1094">
        <f t="shared" si="24"/>
        <v>0</v>
      </c>
      <c r="N45" s="1086">
        <f>'[8]FY2012-13 Initial'!$K46</f>
        <v>4190</v>
      </c>
      <c r="O45" s="1088">
        <f t="shared" si="25"/>
        <v>0</v>
      </c>
      <c r="P45" s="1155">
        <f t="shared" si="26"/>
        <v>0</v>
      </c>
      <c r="Q45" s="1088">
        <f t="shared" si="27"/>
        <v>0</v>
      </c>
      <c r="R45" s="1088">
        <v>0</v>
      </c>
      <c r="S45" s="1088">
        <f t="shared" si="28"/>
        <v>0</v>
      </c>
      <c r="T45" s="1088">
        <f t="shared" si="29"/>
        <v>0</v>
      </c>
      <c r="U45" s="1089">
        <f t="shared" si="30"/>
        <v>0</v>
      </c>
      <c r="V45" s="1089">
        <f t="shared" si="31"/>
        <v>0</v>
      </c>
    </row>
    <row r="46" spans="1:22">
      <c r="A46" s="1032">
        <v>40</v>
      </c>
      <c r="B46" s="1033" t="s">
        <v>141</v>
      </c>
      <c r="C46" s="1296">
        <f>'Table 8 2.1.12 MFP Funded'!T43</f>
        <v>0</v>
      </c>
      <c r="D46" s="1039">
        <f>'Table 3 Levels 1&amp;2'!AL47</f>
        <v>4879.0185326187402</v>
      </c>
      <c r="E46" s="1140">
        <f t="shared" si="18"/>
        <v>0</v>
      </c>
      <c r="F46" s="1140">
        <f>'Table 4 Level 3'!P45</f>
        <v>700.2700000000001</v>
      </c>
      <c r="G46" s="1140">
        <f t="shared" si="19"/>
        <v>0</v>
      </c>
      <c r="H46" s="1095">
        <f t="shared" si="20"/>
        <v>0</v>
      </c>
      <c r="I46" s="1150">
        <f t="shared" si="21"/>
        <v>0</v>
      </c>
      <c r="J46" s="1095">
        <f t="shared" si="22"/>
        <v>0</v>
      </c>
      <c r="K46" s="1095">
        <v>0</v>
      </c>
      <c r="L46" s="1095">
        <f t="shared" si="23"/>
        <v>0</v>
      </c>
      <c r="M46" s="1095">
        <f t="shared" si="24"/>
        <v>0</v>
      </c>
      <c r="N46" s="1091">
        <f>'[8]FY2012-13 Initial'!$K47</f>
        <v>2887</v>
      </c>
      <c r="O46" s="1092">
        <f t="shared" si="25"/>
        <v>0</v>
      </c>
      <c r="P46" s="1156">
        <f t="shared" si="26"/>
        <v>0</v>
      </c>
      <c r="Q46" s="1092">
        <f t="shared" si="27"/>
        <v>0</v>
      </c>
      <c r="R46" s="1092">
        <v>0</v>
      </c>
      <c r="S46" s="1092">
        <f t="shared" si="28"/>
        <v>0</v>
      </c>
      <c r="T46" s="1092">
        <f t="shared" si="29"/>
        <v>0</v>
      </c>
      <c r="U46" s="1093">
        <f t="shared" si="30"/>
        <v>0</v>
      </c>
      <c r="V46" s="1093">
        <f t="shared" si="31"/>
        <v>0</v>
      </c>
    </row>
    <row r="47" spans="1:22">
      <c r="A47" s="1021">
        <v>41</v>
      </c>
      <c r="B47" s="1022" t="s">
        <v>142</v>
      </c>
      <c r="C47" s="1297">
        <f>'Table 8 2.1.12 MFP Funded'!T44</f>
        <v>0</v>
      </c>
      <c r="D47" s="1041">
        <f>'Table 3 Levels 1&amp;2'!AL48</f>
        <v>1608.4303482587065</v>
      </c>
      <c r="E47" s="1141">
        <f t="shared" si="18"/>
        <v>0</v>
      </c>
      <c r="F47" s="1141">
        <f>'Table 4 Level 3'!P46</f>
        <v>886.22</v>
      </c>
      <c r="G47" s="1141">
        <f t="shared" si="19"/>
        <v>0</v>
      </c>
      <c r="H47" s="1096">
        <f t="shared" si="20"/>
        <v>0</v>
      </c>
      <c r="I47" s="1151">
        <f t="shared" si="21"/>
        <v>0</v>
      </c>
      <c r="J47" s="1096">
        <f t="shared" si="22"/>
        <v>0</v>
      </c>
      <c r="K47" s="1096">
        <v>0</v>
      </c>
      <c r="L47" s="1096">
        <f t="shared" si="23"/>
        <v>0</v>
      </c>
      <c r="M47" s="1096">
        <f t="shared" si="24"/>
        <v>0</v>
      </c>
      <c r="N47" s="1086">
        <f>'[8]FY2012-13 Initial'!$K48</f>
        <v>12470</v>
      </c>
      <c r="O47" s="1026">
        <f t="shared" si="25"/>
        <v>0</v>
      </c>
      <c r="P47" s="1154">
        <f t="shared" si="26"/>
        <v>0</v>
      </c>
      <c r="Q47" s="1026">
        <f t="shared" si="27"/>
        <v>0</v>
      </c>
      <c r="R47" s="1026">
        <v>0</v>
      </c>
      <c r="S47" s="1026">
        <f t="shared" si="28"/>
        <v>0</v>
      </c>
      <c r="T47" s="1026">
        <f t="shared" si="29"/>
        <v>0</v>
      </c>
      <c r="U47" s="1027">
        <f t="shared" si="30"/>
        <v>0</v>
      </c>
      <c r="V47" s="1027">
        <f t="shared" si="31"/>
        <v>0</v>
      </c>
    </row>
    <row r="48" spans="1:22">
      <c r="A48" s="1028">
        <v>42</v>
      </c>
      <c r="B48" s="1029" t="s">
        <v>143</v>
      </c>
      <c r="C48" s="1295">
        <f>'Table 8 2.1.12 MFP Funded'!T45</f>
        <v>0</v>
      </c>
      <c r="D48" s="1037">
        <f>'Table 3 Levels 1&amp;2'!AL49</f>
        <v>5260.3047779801664</v>
      </c>
      <c r="E48" s="1139">
        <f t="shared" si="18"/>
        <v>0</v>
      </c>
      <c r="F48" s="1139">
        <f>'Table 4 Level 3'!P47</f>
        <v>534.28</v>
      </c>
      <c r="G48" s="1139">
        <f t="shared" si="19"/>
        <v>0</v>
      </c>
      <c r="H48" s="1094">
        <f t="shared" si="20"/>
        <v>0</v>
      </c>
      <c r="I48" s="1149">
        <f t="shared" si="21"/>
        <v>0</v>
      </c>
      <c r="J48" s="1094">
        <f t="shared" si="22"/>
        <v>0</v>
      </c>
      <c r="K48" s="1094">
        <v>0</v>
      </c>
      <c r="L48" s="1094">
        <f t="shared" si="23"/>
        <v>0</v>
      </c>
      <c r="M48" s="1094">
        <f t="shared" si="24"/>
        <v>0</v>
      </c>
      <c r="N48" s="1086">
        <f>'[8]FY2012-13 Initial'!$K49</f>
        <v>2353</v>
      </c>
      <c r="O48" s="1088">
        <f t="shared" si="25"/>
        <v>0</v>
      </c>
      <c r="P48" s="1155">
        <f t="shared" si="26"/>
        <v>0</v>
      </c>
      <c r="Q48" s="1088">
        <f t="shared" si="27"/>
        <v>0</v>
      </c>
      <c r="R48" s="1088">
        <v>0</v>
      </c>
      <c r="S48" s="1088">
        <f t="shared" si="28"/>
        <v>0</v>
      </c>
      <c r="T48" s="1088">
        <f t="shared" si="29"/>
        <v>0</v>
      </c>
      <c r="U48" s="1089">
        <f t="shared" si="30"/>
        <v>0</v>
      </c>
      <c r="V48" s="1089">
        <f t="shared" si="31"/>
        <v>0</v>
      </c>
    </row>
    <row r="49" spans="1:22">
      <c r="A49" s="1028">
        <v>43</v>
      </c>
      <c r="B49" s="1029" t="s">
        <v>144</v>
      </c>
      <c r="C49" s="1295">
        <f>'Table 8 2.1.12 MFP Funded'!T46</f>
        <v>0</v>
      </c>
      <c r="D49" s="1037">
        <f>'Table 3 Levels 1&amp;2'!AL50</f>
        <v>5587.3492327608728</v>
      </c>
      <c r="E49" s="1139">
        <f t="shared" si="18"/>
        <v>0</v>
      </c>
      <c r="F49" s="1139">
        <f>'Table 4 Level 3'!P48</f>
        <v>574.6099999999999</v>
      </c>
      <c r="G49" s="1139">
        <f t="shared" si="19"/>
        <v>0</v>
      </c>
      <c r="H49" s="1094">
        <f t="shared" si="20"/>
        <v>0</v>
      </c>
      <c r="I49" s="1149">
        <f t="shared" si="21"/>
        <v>0</v>
      </c>
      <c r="J49" s="1094">
        <f t="shared" si="22"/>
        <v>0</v>
      </c>
      <c r="K49" s="1094">
        <v>0</v>
      </c>
      <c r="L49" s="1094">
        <f t="shared" si="23"/>
        <v>0</v>
      </c>
      <c r="M49" s="1094">
        <f t="shared" si="24"/>
        <v>0</v>
      </c>
      <c r="N49" s="1086">
        <f>'[8]FY2012-13 Initial'!$K50</f>
        <v>5599</v>
      </c>
      <c r="O49" s="1088">
        <f t="shared" si="25"/>
        <v>0</v>
      </c>
      <c r="P49" s="1155">
        <f t="shared" si="26"/>
        <v>0</v>
      </c>
      <c r="Q49" s="1088">
        <f t="shared" si="27"/>
        <v>0</v>
      </c>
      <c r="R49" s="1088">
        <v>0</v>
      </c>
      <c r="S49" s="1088">
        <f t="shared" si="28"/>
        <v>0</v>
      </c>
      <c r="T49" s="1088">
        <f t="shared" si="29"/>
        <v>0</v>
      </c>
      <c r="U49" s="1089">
        <f t="shared" si="30"/>
        <v>0</v>
      </c>
      <c r="V49" s="1089">
        <f t="shared" si="31"/>
        <v>0</v>
      </c>
    </row>
    <row r="50" spans="1:22">
      <c r="A50" s="1028">
        <v>44</v>
      </c>
      <c r="B50" s="1029" t="s">
        <v>145</v>
      </c>
      <c r="C50" s="1295">
        <f>'Table 8 2.1.12 MFP Funded'!T47</f>
        <v>0</v>
      </c>
      <c r="D50" s="1037">
        <f>'Table 3 Levels 1&amp;2'!AL51</f>
        <v>4113.1787591918992</v>
      </c>
      <c r="E50" s="1139">
        <f t="shared" si="18"/>
        <v>0</v>
      </c>
      <c r="F50" s="1139">
        <f>'Table 4 Level 3'!P49</f>
        <v>663.16000000000008</v>
      </c>
      <c r="G50" s="1139">
        <f t="shared" si="19"/>
        <v>0</v>
      </c>
      <c r="H50" s="1094">
        <f t="shared" si="20"/>
        <v>0</v>
      </c>
      <c r="I50" s="1149">
        <f t="shared" si="21"/>
        <v>0</v>
      </c>
      <c r="J50" s="1094">
        <f t="shared" si="22"/>
        <v>0</v>
      </c>
      <c r="K50" s="1094">
        <v>0</v>
      </c>
      <c r="L50" s="1094">
        <f t="shared" si="23"/>
        <v>0</v>
      </c>
      <c r="M50" s="1094">
        <f t="shared" si="24"/>
        <v>0</v>
      </c>
      <c r="N50" s="1086">
        <f>'[8]FY2012-13 Initial'!$K51</f>
        <v>4661</v>
      </c>
      <c r="O50" s="1088">
        <f t="shared" si="25"/>
        <v>0</v>
      </c>
      <c r="P50" s="1155">
        <f t="shared" si="26"/>
        <v>0</v>
      </c>
      <c r="Q50" s="1088">
        <f t="shared" si="27"/>
        <v>0</v>
      </c>
      <c r="R50" s="1088">
        <v>0</v>
      </c>
      <c r="S50" s="1088">
        <f t="shared" si="28"/>
        <v>0</v>
      </c>
      <c r="T50" s="1088">
        <f t="shared" si="29"/>
        <v>0</v>
      </c>
      <c r="U50" s="1089">
        <f t="shared" si="30"/>
        <v>0</v>
      </c>
      <c r="V50" s="1089">
        <f t="shared" si="31"/>
        <v>0</v>
      </c>
    </row>
    <row r="51" spans="1:22">
      <c r="A51" s="1032">
        <v>45</v>
      </c>
      <c r="B51" s="1033" t="s">
        <v>146</v>
      </c>
      <c r="C51" s="1296">
        <f>'Table 8 2.1.12 MFP Funded'!T48</f>
        <v>0</v>
      </c>
      <c r="D51" s="1039">
        <f>'Table 3 Levels 1&amp;2'!AL52</f>
        <v>2414.8479898164846</v>
      </c>
      <c r="E51" s="1140">
        <f t="shared" si="18"/>
        <v>0</v>
      </c>
      <c r="F51" s="1140">
        <f>'Table 4 Level 3'!P50</f>
        <v>753.96000000000015</v>
      </c>
      <c r="G51" s="1140">
        <f t="shared" si="19"/>
        <v>0</v>
      </c>
      <c r="H51" s="1095">
        <f t="shared" si="20"/>
        <v>0</v>
      </c>
      <c r="I51" s="1150">
        <f t="shared" si="21"/>
        <v>0</v>
      </c>
      <c r="J51" s="1095">
        <f t="shared" si="22"/>
        <v>0</v>
      </c>
      <c r="K51" s="1095">
        <v>0</v>
      </c>
      <c r="L51" s="1095">
        <f t="shared" si="23"/>
        <v>0</v>
      </c>
      <c r="M51" s="1095">
        <f t="shared" si="24"/>
        <v>0</v>
      </c>
      <c r="N51" s="1091">
        <f>'[8]FY2012-13 Initial'!$K52</f>
        <v>11650</v>
      </c>
      <c r="O51" s="1092">
        <f t="shared" si="25"/>
        <v>0</v>
      </c>
      <c r="P51" s="1156">
        <f t="shared" si="26"/>
        <v>0</v>
      </c>
      <c r="Q51" s="1092">
        <f t="shared" si="27"/>
        <v>0</v>
      </c>
      <c r="R51" s="1092">
        <v>0</v>
      </c>
      <c r="S51" s="1092">
        <f t="shared" si="28"/>
        <v>0</v>
      </c>
      <c r="T51" s="1092">
        <f t="shared" si="29"/>
        <v>0</v>
      </c>
      <c r="U51" s="1093">
        <f t="shared" si="30"/>
        <v>0</v>
      </c>
      <c r="V51" s="1093">
        <f t="shared" si="31"/>
        <v>0</v>
      </c>
    </row>
    <row r="52" spans="1:22">
      <c r="A52" s="1021">
        <v>46</v>
      </c>
      <c r="B52" s="1022" t="s">
        <v>147</v>
      </c>
      <c r="C52" s="1297">
        <f>'Table 8 2.1.12 MFP Funded'!T49</f>
        <v>0</v>
      </c>
      <c r="D52" s="1041">
        <f>'Table 3 Levels 1&amp;2'!AL53</f>
        <v>5765.0314518803261</v>
      </c>
      <c r="E52" s="1141">
        <f t="shared" si="18"/>
        <v>0</v>
      </c>
      <c r="F52" s="1141">
        <f>'Table 4 Level 3'!P51</f>
        <v>728.06</v>
      </c>
      <c r="G52" s="1141">
        <f t="shared" si="19"/>
        <v>0</v>
      </c>
      <c r="H52" s="1096">
        <f t="shared" si="20"/>
        <v>0</v>
      </c>
      <c r="I52" s="1151">
        <f t="shared" si="21"/>
        <v>0</v>
      </c>
      <c r="J52" s="1096">
        <f t="shared" si="22"/>
        <v>0</v>
      </c>
      <c r="K52" s="1096">
        <v>0</v>
      </c>
      <c r="L52" s="1096">
        <f t="shared" si="23"/>
        <v>0</v>
      </c>
      <c r="M52" s="1096">
        <f t="shared" si="24"/>
        <v>0</v>
      </c>
      <c r="N52" s="1086">
        <f>'[8]FY2012-13 Initial'!$K53</f>
        <v>1789</v>
      </c>
      <c r="O52" s="1026">
        <f t="shared" si="25"/>
        <v>0</v>
      </c>
      <c r="P52" s="1154">
        <f t="shared" si="26"/>
        <v>0</v>
      </c>
      <c r="Q52" s="1026">
        <f t="shared" si="27"/>
        <v>0</v>
      </c>
      <c r="R52" s="1026">
        <v>0</v>
      </c>
      <c r="S52" s="1026">
        <f t="shared" si="28"/>
        <v>0</v>
      </c>
      <c r="T52" s="1026">
        <f t="shared" si="29"/>
        <v>0</v>
      </c>
      <c r="U52" s="1027">
        <f t="shared" si="30"/>
        <v>0</v>
      </c>
      <c r="V52" s="1027">
        <f t="shared" si="31"/>
        <v>0</v>
      </c>
    </row>
    <row r="53" spans="1:22">
      <c r="A53" s="1028">
        <v>47</v>
      </c>
      <c r="B53" s="1029" t="s">
        <v>148</v>
      </c>
      <c r="C53" s="1295">
        <f>'Table 8 2.1.12 MFP Funded'!T50</f>
        <v>0</v>
      </c>
      <c r="D53" s="1037">
        <f>'Table 3 Levels 1&amp;2'!AL54</f>
        <v>3186.1712081166847</v>
      </c>
      <c r="E53" s="1139">
        <f t="shared" si="18"/>
        <v>0</v>
      </c>
      <c r="F53" s="1139">
        <f>'Table 4 Level 3'!P52</f>
        <v>910.76</v>
      </c>
      <c r="G53" s="1139">
        <f t="shared" si="19"/>
        <v>0</v>
      </c>
      <c r="H53" s="1094">
        <f t="shared" si="20"/>
        <v>0</v>
      </c>
      <c r="I53" s="1149">
        <f t="shared" si="21"/>
        <v>0</v>
      </c>
      <c r="J53" s="1094">
        <f t="shared" si="22"/>
        <v>0</v>
      </c>
      <c r="K53" s="1094">
        <v>0</v>
      </c>
      <c r="L53" s="1094">
        <f t="shared" si="23"/>
        <v>0</v>
      </c>
      <c r="M53" s="1094">
        <f t="shared" si="24"/>
        <v>0</v>
      </c>
      <c r="N53" s="1086">
        <f>'[8]FY2012-13 Initial'!$K54</f>
        <v>9947</v>
      </c>
      <c r="O53" s="1088">
        <f t="shared" si="25"/>
        <v>0</v>
      </c>
      <c r="P53" s="1155">
        <f t="shared" si="26"/>
        <v>0</v>
      </c>
      <c r="Q53" s="1088">
        <f t="shared" si="27"/>
        <v>0</v>
      </c>
      <c r="R53" s="1088">
        <v>0</v>
      </c>
      <c r="S53" s="1088">
        <f t="shared" si="28"/>
        <v>0</v>
      </c>
      <c r="T53" s="1088">
        <f t="shared" si="29"/>
        <v>0</v>
      </c>
      <c r="U53" s="1089">
        <f t="shared" si="30"/>
        <v>0</v>
      </c>
      <c r="V53" s="1089">
        <f t="shared" si="31"/>
        <v>0</v>
      </c>
    </row>
    <row r="54" spans="1:22">
      <c r="A54" s="1028">
        <v>48</v>
      </c>
      <c r="B54" s="1029" t="s">
        <v>222</v>
      </c>
      <c r="C54" s="1295">
        <f>'Table 8 2.1.12 MFP Funded'!T51</f>
        <v>0</v>
      </c>
      <c r="D54" s="1037">
        <f>'Table 3 Levels 1&amp;2'!AL55</f>
        <v>4260.4872196136057</v>
      </c>
      <c r="E54" s="1139">
        <f t="shared" si="18"/>
        <v>0</v>
      </c>
      <c r="F54" s="1139">
        <f>'Table 4 Level 3'!P53</f>
        <v>871.07</v>
      </c>
      <c r="G54" s="1139">
        <f t="shared" si="19"/>
        <v>0</v>
      </c>
      <c r="H54" s="1094">
        <f t="shared" si="20"/>
        <v>0</v>
      </c>
      <c r="I54" s="1149">
        <f t="shared" si="21"/>
        <v>0</v>
      </c>
      <c r="J54" s="1094">
        <f t="shared" si="22"/>
        <v>0</v>
      </c>
      <c r="K54" s="1094">
        <v>0</v>
      </c>
      <c r="L54" s="1094">
        <f t="shared" si="23"/>
        <v>0</v>
      </c>
      <c r="M54" s="1094">
        <f t="shared" si="24"/>
        <v>0</v>
      </c>
      <c r="N54" s="1086">
        <f>'[8]FY2012-13 Initial'!$K55</f>
        <v>5325</v>
      </c>
      <c r="O54" s="1088">
        <f t="shared" si="25"/>
        <v>0</v>
      </c>
      <c r="P54" s="1155">
        <f t="shared" si="26"/>
        <v>0</v>
      </c>
      <c r="Q54" s="1088">
        <f t="shared" si="27"/>
        <v>0</v>
      </c>
      <c r="R54" s="1088">
        <v>0</v>
      </c>
      <c r="S54" s="1088">
        <f t="shared" si="28"/>
        <v>0</v>
      </c>
      <c r="T54" s="1088">
        <f t="shared" si="29"/>
        <v>0</v>
      </c>
      <c r="U54" s="1089">
        <f t="shared" si="30"/>
        <v>0</v>
      </c>
      <c r="V54" s="1089">
        <f t="shared" si="31"/>
        <v>0</v>
      </c>
    </row>
    <row r="55" spans="1:22">
      <c r="A55" s="1028">
        <v>49</v>
      </c>
      <c r="B55" s="1029" t="s">
        <v>149</v>
      </c>
      <c r="C55" s="1295">
        <f>'Table 8 2.1.12 MFP Funded'!T52</f>
        <v>0</v>
      </c>
      <c r="D55" s="1037">
        <f>'Table 3 Levels 1&amp;2'!AL56</f>
        <v>4800.2172145077111</v>
      </c>
      <c r="E55" s="1139">
        <f t="shared" si="18"/>
        <v>0</v>
      </c>
      <c r="F55" s="1139">
        <f>'Table 4 Level 3'!P54</f>
        <v>574.43999999999994</v>
      </c>
      <c r="G55" s="1139">
        <f t="shared" si="19"/>
        <v>0</v>
      </c>
      <c r="H55" s="1094">
        <f t="shared" si="20"/>
        <v>0</v>
      </c>
      <c r="I55" s="1149">
        <f t="shared" si="21"/>
        <v>0</v>
      </c>
      <c r="J55" s="1094">
        <f t="shared" si="22"/>
        <v>0</v>
      </c>
      <c r="K55" s="1094">
        <v>0</v>
      </c>
      <c r="L55" s="1094">
        <f t="shared" si="23"/>
        <v>0</v>
      </c>
      <c r="M55" s="1094">
        <f t="shared" si="24"/>
        <v>0</v>
      </c>
      <c r="N55" s="1086">
        <f>'[8]FY2012-13 Initial'!$K56</f>
        <v>2326</v>
      </c>
      <c r="O55" s="1088">
        <f t="shared" si="25"/>
        <v>0</v>
      </c>
      <c r="P55" s="1155">
        <f t="shared" si="26"/>
        <v>0</v>
      </c>
      <c r="Q55" s="1088">
        <f t="shared" si="27"/>
        <v>0</v>
      </c>
      <c r="R55" s="1088">
        <v>0</v>
      </c>
      <c r="S55" s="1088">
        <f t="shared" si="28"/>
        <v>0</v>
      </c>
      <c r="T55" s="1088">
        <f t="shared" si="29"/>
        <v>0</v>
      </c>
      <c r="U55" s="1089">
        <f t="shared" si="30"/>
        <v>0</v>
      </c>
      <c r="V55" s="1089">
        <f t="shared" si="31"/>
        <v>0</v>
      </c>
    </row>
    <row r="56" spans="1:22">
      <c r="A56" s="1032">
        <v>50</v>
      </c>
      <c r="B56" s="1033" t="s">
        <v>150</v>
      </c>
      <c r="C56" s="1296">
        <f>'Table 8 2.1.12 MFP Funded'!T53</f>
        <v>0</v>
      </c>
      <c r="D56" s="1039">
        <f>'Table 3 Levels 1&amp;2'!AL57</f>
        <v>5059.523754419537</v>
      </c>
      <c r="E56" s="1140">
        <f t="shared" si="18"/>
        <v>0</v>
      </c>
      <c r="F56" s="1140">
        <f>'Table 4 Level 3'!P55</f>
        <v>634.46</v>
      </c>
      <c r="G56" s="1140">
        <f t="shared" si="19"/>
        <v>0</v>
      </c>
      <c r="H56" s="1095">
        <f t="shared" si="20"/>
        <v>0</v>
      </c>
      <c r="I56" s="1150">
        <f t="shared" si="21"/>
        <v>0</v>
      </c>
      <c r="J56" s="1095">
        <f t="shared" si="22"/>
        <v>0</v>
      </c>
      <c r="K56" s="1095">
        <v>0</v>
      </c>
      <c r="L56" s="1095">
        <f t="shared" si="23"/>
        <v>0</v>
      </c>
      <c r="M56" s="1095">
        <f t="shared" si="24"/>
        <v>0</v>
      </c>
      <c r="N56" s="1091">
        <f>'[8]FY2012-13 Initial'!$K57</f>
        <v>2574</v>
      </c>
      <c r="O56" s="1092">
        <f t="shared" si="25"/>
        <v>0</v>
      </c>
      <c r="P56" s="1156">
        <f t="shared" si="26"/>
        <v>0</v>
      </c>
      <c r="Q56" s="1092">
        <f t="shared" si="27"/>
        <v>0</v>
      </c>
      <c r="R56" s="1092">
        <v>0</v>
      </c>
      <c r="S56" s="1092">
        <f t="shared" si="28"/>
        <v>0</v>
      </c>
      <c r="T56" s="1092">
        <f t="shared" si="29"/>
        <v>0</v>
      </c>
      <c r="U56" s="1093">
        <f t="shared" si="30"/>
        <v>0</v>
      </c>
      <c r="V56" s="1093">
        <f t="shared" si="31"/>
        <v>0</v>
      </c>
    </row>
    <row r="57" spans="1:22">
      <c r="A57" s="1021">
        <v>51</v>
      </c>
      <c r="B57" s="1022" t="s">
        <v>151</v>
      </c>
      <c r="C57" s="1297">
        <f>'Table 8 2.1.12 MFP Funded'!T54</f>
        <v>0</v>
      </c>
      <c r="D57" s="1041">
        <f>'Table 3 Levels 1&amp;2'!AL58</f>
        <v>4384.0477116019692</v>
      </c>
      <c r="E57" s="1141">
        <f t="shared" si="18"/>
        <v>0</v>
      </c>
      <c r="F57" s="1141">
        <f>'Table 4 Level 3'!P56</f>
        <v>706.66</v>
      </c>
      <c r="G57" s="1141">
        <f t="shared" si="19"/>
        <v>0</v>
      </c>
      <c r="H57" s="1096">
        <f t="shared" si="20"/>
        <v>0</v>
      </c>
      <c r="I57" s="1151">
        <f t="shared" si="21"/>
        <v>0</v>
      </c>
      <c r="J57" s="1096">
        <f t="shared" si="22"/>
        <v>0</v>
      </c>
      <c r="K57" s="1096">
        <v>0</v>
      </c>
      <c r="L57" s="1096">
        <f t="shared" si="23"/>
        <v>0</v>
      </c>
      <c r="M57" s="1096">
        <f t="shared" si="24"/>
        <v>0</v>
      </c>
      <c r="N57" s="1086">
        <f>'[8]FY2012-13 Initial'!$K58</f>
        <v>3943</v>
      </c>
      <c r="O57" s="1026">
        <f t="shared" si="25"/>
        <v>0</v>
      </c>
      <c r="P57" s="1154">
        <f t="shared" si="26"/>
        <v>0</v>
      </c>
      <c r="Q57" s="1026">
        <f t="shared" si="27"/>
        <v>0</v>
      </c>
      <c r="R57" s="1026">
        <v>0</v>
      </c>
      <c r="S57" s="1026">
        <f t="shared" si="28"/>
        <v>0</v>
      </c>
      <c r="T57" s="1026">
        <f t="shared" si="29"/>
        <v>0</v>
      </c>
      <c r="U57" s="1027">
        <f t="shared" si="30"/>
        <v>0</v>
      </c>
      <c r="V57" s="1027">
        <f t="shared" si="31"/>
        <v>0</v>
      </c>
    </row>
    <row r="58" spans="1:22">
      <c r="A58" s="1028">
        <v>52</v>
      </c>
      <c r="B58" s="1029" t="s">
        <v>152</v>
      </c>
      <c r="C58" s="1295">
        <f>'Table 8 2.1.12 MFP Funded'!T55</f>
        <v>0</v>
      </c>
      <c r="D58" s="1037">
        <f>'Table 3 Levels 1&amp;2'!AL59</f>
        <v>4920.0697942988754</v>
      </c>
      <c r="E58" s="1139">
        <f t="shared" si="18"/>
        <v>0</v>
      </c>
      <c r="F58" s="1139">
        <f>'Table 4 Level 3'!P57</f>
        <v>658.37</v>
      </c>
      <c r="G58" s="1139">
        <f t="shared" si="19"/>
        <v>0</v>
      </c>
      <c r="H58" s="1094">
        <f t="shared" si="20"/>
        <v>0</v>
      </c>
      <c r="I58" s="1149">
        <f t="shared" si="21"/>
        <v>0</v>
      </c>
      <c r="J58" s="1094">
        <f t="shared" si="22"/>
        <v>0</v>
      </c>
      <c r="K58" s="1094">
        <v>0</v>
      </c>
      <c r="L58" s="1094">
        <f t="shared" si="23"/>
        <v>0</v>
      </c>
      <c r="M58" s="1094">
        <f t="shared" si="24"/>
        <v>0</v>
      </c>
      <c r="N58" s="1086">
        <f>'[8]FY2012-13 Initial'!$K59</f>
        <v>4750</v>
      </c>
      <c r="O58" s="1088">
        <f t="shared" si="25"/>
        <v>0</v>
      </c>
      <c r="P58" s="1155">
        <f t="shared" si="26"/>
        <v>0</v>
      </c>
      <c r="Q58" s="1088">
        <f t="shared" si="27"/>
        <v>0</v>
      </c>
      <c r="R58" s="1088">
        <v>0</v>
      </c>
      <c r="S58" s="1088">
        <f t="shared" si="28"/>
        <v>0</v>
      </c>
      <c r="T58" s="1088">
        <f t="shared" si="29"/>
        <v>0</v>
      </c>
      <c r="U58" s="1089">
        <f t="shared" si="30"/>
        <v>0</v>
      </c>
      <c r="V58" s="1089">
        <f t="shared" si="31"/>
        <v>0</v>
      </c>
    </row>
    <row r="59" spans="1:22">
      <c r="A59" s="1028">
        <v>53</v>
      </c>
      <c r="B59" s="1029" t="s">
        <v>153</v>
      </c>
      <c r="C59" s="1295">
        <f>'Table 8 2.1.12 MFP Funded'!T56</f>
        <v>0</v>
      </c>
      <c r="D59" s="1037">
        <f>'Table 3 Levels 1&amp;2'!AL60</f>
        <v>4784.2719870767614</v>
      </c>
      <c r="E59" s="1139">
        <f t="shared" si="18"/>
        <v>0</v>
      </c>
      <c r="F59" s="1139">
        <f>'Table 4 Level 3'!P58</f>
        <v>689.74</v>
      </c>
      <c r="G59" s="1139">
        <f t="shared" si="19"/>
        <v>0</v>
      </c>
      <c r="H59" s="1094">
        <f t="shared" si="20"/>
        <v>0</v>
      </c>
      <c r="I59" s="1149">
        <f t="shared" si="21"/>
        <v>0</v>
      </c>
      <c r="J59" s="1094">
        <f t="shared" si="22"/>
        <v>0</v>
      </c>
      <c r="K59" s="1094">
        <v>0</v>
      </c>
      <c r="L59" s="1094">
        <f t="shared" si="23"/>
        <v>0</v>
      </c>
      <c r="M59" s="1094">
        <f t="shared" si="24"/>
        <v>0</v>
      </c>
      <c r="N59" s="1086">
        <f>'[8]FY2012-13 Initial'!$K60</f>
        <v>1913</v>
      </c>
      <c r="O59" s="1088">
        <f t="shared" si="25"/>
        <v>0</v>
      </c>
      <c r="P59" s="1155">
        <f t="shared" si="26"/>
        <v>0</v>
      </c>
      <c r="Q59" s="1088">
        <f t="shared" si="27"/>
        <v>0</v>
      </c>
      <c r="R59" s="1088">
        <v>0</v>
      </c>
      <c r="S59" s="1088">
        <f t="shared" si="28"/>
        <v>0</v>
      </c>
      <c r="T59" s="1088">
        <f t="shared" si="29"/>
        <v>0</v>
      </c>
      <c r="U59" s="1089">
        <f t="shared" si="30"/>
        <v>0</v>
      </c>
      <c r="V59" s="1089">
        <f t="shared" si="31"/>
        <v>0</v>
      </c>
    </row>
    <row r="60" spans="1:22">
      <c r="A60" s="1028">
        <v>54</v>
      </c>
      <c r="B60" s="1029" t="s">
        <v>154</v>
      </c>
      <c r="C60" s="1295">
        <f>'Table 8 2.1.12 MFP Funded'!T57</f>
        <v>0</v>
      </c>
      <c r="D60" s="1037">
        <f>'Table 3 Levels 1&amp;2'!AL61</f>
        <v>5982.5555386476462</v>
      </c>
      <c r="E60" s="1139">
        <f t="shared" si="18"/>
        <v>0</v>
      </c>
      <c r="F60" s="1139">
        <f>'Table 4 Level 3'!P59</f>
        <v>951.45</v>
      </c>
      <c r="G60" s="1139">
        <f t="shared" si="19"/>
        <v>0</v>
      </c>
      <c r="H60" s="1094">
        <f t="shared" si="20"/>
        <v>0</v>
      </c>
      <c r="I60" s="1149">
        <f t="shared" si="21"/>
        <v>0</v>
      </c>
      <c r="J60" s="1094">
        <f t="shared" si="22"/>
        <v>0</v>
      </c>
      <c r="K60" s="1094">
        <v>0</v>
      </c>
      <c r="L60" s="1094">
        <f t="shared" si="23"/>
        <v>0</v>
      </c>
      <c r="M60" s="1094">
        <f t="shared" si="24"/>
        <v>0</v>
      </c>
      <c r="N60" s="1086">
        <f>'[8]FY2012-13 Initial'!$K61</f>
        <v>3264</v>
      </c>
      <c r="O60" s="1088">
        <f t="shared" si="25"/>
        <v>0</v>
      </c>
      <c r="P60" s="1155">
        <f t="shared" si="26"/>
        <v>0</v>
      </c>
      <c r="Q60" s="1088">
        <f t="shared" si="27"/>
        <v>0</v>
      </c>
      <c r="R60" s="1088">
        <v>0</v>
      </c>
      <c r="S60" s="1088">
        <f t="shared" si="28"/>
        <v>0</v>
      </c>
      <c r="T60" s="1088">
        <f t="shared" si="29"/>
        <v>0</v>
      </c>
      <c r="U60" s="1089">
        <f t="shared" si="30"/>
        <v>0</v>
      </c>
      <c r="V60" s="1089">
        <f t="shared" si="31"/>
        <v>0</v>
      </c>
    </row>
    <row r="61" spans="1:22">
      <c r="A61" s="1032">
        <v>55</v>
      </c>
      <c r="B61" s="1033" t="s">
        <v>155</v>
      </c>
      <c r="C61" s="1296">
        <f>'Table 8 2.1.12 MFP Funded'!T58</f>
        <v>0</v>
      </c>
      <c r="D61" s="1039">
        <f>'Table 3 Levels 1&amp;2'!AL62</f>
        <v>4087.4017448818722</v>
      </c>
      <c r="E61" s="1140">
        <f t="shared" si="18"/>
        <v>0</v>
      </c>
      <c r="F61" s="1140">
        <f>'Table 4 Level 3'!P60</f>
        <v>795.14</v>
      </c>
      <c r="G61" s="1140">
        <f t="shared" si="19"/>
        <v>0</v>
      </c>
      <c r="H61" s="1095">
        <f t="shared" si="20"/>
        <v>0</v>
      </c>
      <c r="I61" s="1150">
        <f t="shared" si="21"/>
        <v>0</v>
      </c>
      <c r="J61" s="1095">
        <f t="shared" si="22"/>
        <v>0</v>
      </c>
      <c r="K61" s="1095">
        <v>0</v>
      </c>
      <c r="L61" s="1095">
        <f t="shared" si="23"/>
        <v>0</v>
      </c>
      <c r="M61" s="1095">
        <f t="shared" si="24"/>
        <v>0</v>
      </c>
      <c r="N61" s="1091">
        <f>'[8]FY2012-13 Initial'!$K62</f>
        <v>3071</v>
      </c>
      <c r="O61" s="1092">
        <f t="shared" si="25"/>
        <v>0</v>
      </c>
      <c r="P61" s="1156">
        <f t="shared" si="26"/>
        <v>0</v>
      </c>
      <c r="Q61" s="1092">
        <f t="shared" si="27"/>
        <v>0</v>
      </c>
      <c r="R61" s="1092">
        <v>0</v>
      </c>
      <c r="S61" s="1092">
        <f t="shared" si="28"/>
        <v>0</v>
      </c>
      <c r="T61" s="1092">
        <f t="shared" si="29"/>
        <v>0</v>
      </c>
      <c r="U61" s="1093">
        <f t="shared" si="30"/>
        <v>0</v>
      </c>
      <c r="V61" s="1093">
        <f t="shared" si="31"/>
        <v>0</v>
      </c>
    </row>
    <row r="62" spans="1:22">
      <c r="A62" s="1021">
        <v>56</v>
      </c>
      <c r="B62" s="1022" t="s">
        <v>156</v>
      </c>
      <c r="C62" s="1297">
        <f>'Table 8 2.1.12 MFP Funded'!T59</f>
        <v>0</v>
      </c>
      <c r="D62" s="1041">
        <f>'Table 3 Levels 1&amp;2'!AL63</f>
        <v>5052.2250942802684</v>
      </c>
      <c r="E62" s="1141">
        <f t="shared" si="18"/>
        <v>0</v>
      </c>
      <c r="F62" s="1141">
        <f>'Table 4 Level 3'!P61</f>
        <v>614.66000000000008</v>
      </c>
      <c r="G62" s="1141">
        <f t="shared" si="19"/>
        <v>0</v>
      </c>
      <c r="H62" s="1096">
        <f t="shared" si="20"/>
        <v>0</v>
      </c>
      <c r="I62" s="1151">
        <f t="shared" si="21"/>
        <v>0</v>
      </c>
      <c r="J62" s="1096">
        <f t="shared" si="22"/>
        <v>0</v>
      </c>
      <c r="K62" s="1096">
        <v>0</v>
      </c>
      <c r="L62" s="1096">
        <f t="shared" si="23"/>
        <v>0</v>
      </c>
      <c r="M62" s="1096">
        <f t="shared" si="24"/>
        <v>0</v>
      </c>
      <c r="N62" s="1086">
        <f>'[8]FY2012-13 Initial'!$K63</f>
        <v>2630</v>
      </c>
      <c r="O62" s="1026">
        <f t="shared" si="25"/>
        <v>0</v>
      </c>
      <c r="P62" s="1154">
        <f t="shared" si="26"/>
        <v>0</v>
      </c>
      <c r="Q62" s="1026">
        <f t="shared" si="27"/>
        <v>0</v>
      </c>
      <c r="R62" s="1026">
        <v>0</v>
      </c>
      <c r="S62" s="1026">
        <f t="shared" si="28"/>
        <v>0</v>
      </c>
      <c r="T62" s="1026">
        <f t="shared" si="29"/>
        <v>0</v>
      </c>
      <c r="U62" s="1027">
        <f t="shared" si="30"/>
        <v>0</v>
      </c>
      <c r="V62" s="1027">
        <f t="shared" si="31"/>
        <v>0</v>
      </c>
    </row>
    <row r="63" spans="1:22">
      <c r="A63" s="1028">
        <v>57</v>
      </c>
      <c r="B63" s="1029" t="s">
        <v>157</v>
      </c>
      <c r="C63" s="1295">
        <f>'Table 8 2.1.12 MFP Funded'!T60</f>
        <v>0</v>
      </c>
      <c r="D63" s="1037">
        <f>'Table 3 Levels 1&amp;2'!AL64</f>
        <v>4389.3863180380931</v>
      </c>
      <c r="E63" s="1139">
        <f t="shared" si="18"/>
        <v>0</v>
      </c>
      <c r="F63" s="1139">
        <f>'Table 4 Level 3'!P62</f>
        <v>764.51</v>
      </c>
      <c r="G63" s="1139">
        <f t="shared" si="19"/>
        <v>0</v>
      </c>
      <c r="H63" s="1094">
        <f t="shared" si="20"/>
        <v>0</v>
      </c>
      <c r="I63" s="1149">
        <f t="shared" si="21"/>
        <v>0</v>
      </c>
      <c r="J63" s="1094">
        <f t="shared" si="22"/>
        <v>0</v>
      </c>
      <c r="K63" s="1094">
        <v>0</v>
      </c>
      <c r="L63" s="1094">
        <f t="shared" si="23"/>
        <v>0</v>
      </c>
      <c r="M63" s="1094">
        <f t="shared" si="24"/>
        <v>0</v>
      </c>
      <c r="N63" s="1086">
        <f>'[8]FY2012-13 Initial'!$K64</f>
        <v>3053</v>
      </c>
      <c r="O63" s="1088">
        <f t="shared" si="25"/>
        <v>0</v>
      </c>
      <c r="P63" s="1155">
        <f t="shared" si="26"/>
        <v>0</v>
      </c>
      <c r="Q63" s="1088">
        <f t="shared" si="27"/>
        <v>0</v>
      </c>
      <c r="R63" s="1088">
        <v>0</v>
      </c>
      <c r="S63" s="1088">
        <f t="shared" si="28"/>
        <v>0</v>
      </c>
      <c r="T63" s="1088">
        <f t="shared" si="29"/>
        <v>0</v>
      </c>
      <c r="U63" s="1089">
        <f t="shared" si="30"/>
        <v>0</v>
      </c>
      <c r="V63" s="1089">
        <f t="shared" si="31"/>
        <v>0</v>
      </c>
    </row>
    <row r="64" spans="1:22">
      <c r="A64" s="1028">
        <v>58</v>
      </c>
      <c r="B64" s="1029" t="s">
        <v>158</v>
      </c>
      <c r="C64" s="1295">
        <f>'Table 8 2.1.12 MFP Funded'!T61</f>
        <v>0</v>
      </c>
      <c r="D64" s="1037">
        <f>'Table 3 Levels 1&amp;2'!AL65</f>
        <v>5325.8881107130073</v>
      </c>
      <c r="E64" s="1139">
        <f t="shared" si="18"/>
        <v>0</v>
      </c>
      <c r="F64" s="1139">
        <f>'Table 4 Level 3'!P63</f>
        <v>697.04</v>
      </c>
      <c r="G64" s="1139">
        <f t="shared" si="19"/>
        <v>0</v>
      </c>
      <c r="H64" s="1094">
        <f t="shared" si="20"/>
        <v>0</v>
      </c>
      <c r="I64" s="1149">
        <f t="shared" si="21"/>
        <v>0</v>
      </c>
      <c r="J64" s="1094">
        <f t="shared" si="22"/>
        <v>0</v>
      </c>
      <c r="K64" s="1094">
        <v>0</v>
      </c>
      <c r="L64" s="1094">
        <f t="shared" si="23"/>
        <v>0</v>
      </c>
      <c r="M64" s="1094">
        <f t="shared" si="24"/>
        <v>0</v>
      </c>
      <c r="N64" s="1086">
        <f>'[8]FY2012-13 Initial'!$K65</f>
        <v>1917</v>
      </c>
      <c r="O64" s="1088">
        <f t="shared" si="25"/>
        <v>0</v>
      </c>
      <c r="P64" s="1155">
        <f t="shared" si="26"/>
        <v>0</v>
      </c>
      <c r="Q64" s="1088">
        <f t="shared" si="27"/>
        <v>0</v>
      </c>
      <c r="R64" s="1088">
        <v>0</v>
      </c>
      <c r="S64" s="1088">
        <f t="shared" si="28"/>
        <v>0</v>
      </c>
      <c r="T64" s="1088">
        <f t="shared" si="29"/>
        <v>0</v>
      </c>
      <c r="U64" s="1089">
        <f t="shared" si="30"/>
        <v>0</v>
      </c>
      <c r="V64" s="1089">
        <f t="shared" si="31"/>
        <v>0</v>
      </c>
    </row>
    <row r="65" spans="1:22">
      <c r="A65" s="1028">
        <v>59</v>
      </c>
      <c r="B65" s="1029" t="s">
        <v>159</v>
      </c>
      <c r="C65" s="1295">
        <f>'Table 8 2.1.12 MFP Funded'!T62</f>
        <v>0</v>
      </c>
      <c r="D65" s="1037">
        <f>'Table 3 Levels 1&amp;2'!AL66</f>
        <v>6328.4963620482158</v>
      </c>
      <c r="E65" s="1139">
        <f t="shared" si="18"/>
        <v>0</v>
      </c>
      <c r="F65" s="1139">
        <f>'Table 4 Level 3'!P64</f>
        <v>689.52</v>
      </c>
      <c r="G65" s="1139">
        <f t="shared" si="19"/>
        <v>0</v>
      </c>
      <c r="H65" s="1094">
        <f t="shared" si="20"/>
        <v>0</v>
      </c>
      <c r="I65" s="1149">
        <f t="shared" si="21"/>
        <v>0</v>
      </c>
      <c r="J65" s="1094">
        <f t="shared" si="22"/>
        <v>0</v>
      </c>
      <c r="K65" s="1094">
        <v>0</v>
      </c>
      <c r="L65" s="1094">
        <f t="shared" si="23"/>
        <v>0</v>
      </c>
      <c r="M65" s="1094">
        <f t="shared" si="24"/>
        <v>0</v>
      </c>
      <c r="N65" s="1086">
        <f>'[8]FY2012-13 Initial'!$K66</f>
        <v>1553</v>
      </c>
      <c r="O65" s="1088">
        <f t="shared" si="25"/>
        <v>0</v>
      </c>
      <c r="P65" s="1155">
        <f t="shared" si="26"/>
        <v>0</v>
      </c>
      <c r="Q65" s="1088">
        <f t="shared" si="27"/>
        <v>0</v>
      </c>
      <c r="R65" s="1088">
        <v>0</v>
      </c>
      <c r="S65" s="1088">
        <f t="shared" si="28"/>
        <v>0</v>
      </c>
      <c r="T65" s="1088">
        <f t="shared" si="29"/>
        <v>0</v>
      </c>
      <c r="U65" s="1089">
        <f t="shared" si="30"/>
        <v>0</v>
      </c>
      <c r="V65" s="1089">
        <f t="shared" si="31"/>
        <v>0</v>
      </c>
    </row>
    <row r="66" spans="1:22">
      <c r="A66" s="1032">
        <v>60</v>
      </c>
      <c r="B66" s="1033" t="s">
        <v>160</v>
      </c>
      <c r="C66" s="1296">
        <f>'Table 8 2.1.12 MFP Funded'!T63</f>
        <v>0</v>
      </c>
      <c r="D66" s="1039">
        <f>'Table 3 Levels 1&amp;2'!AL67</f>
        <v>4825.1723230627122</v>
      </c>
      <c r="E66" s="1140">
        <f t="shared" si="18"/>
        <v>0</v>
      </c>
      <c r="F66" s="1140">
        <f>'Table 4 Level 3'!P65</f>
        <v>594.04</v>
      </c>
      <c r="G66" s="1140">
        <f t="shared" si="19"/>
        <v>0</v>
      </c>
      <c r="H66" s="1095">
        <f t="shared" si="20"/>
        <v>0</v>
      </c>
      <c r="I66" s="1150">
        <f t="shared" si="21"/>
        <v>0</v>
      </c>
      <c r="J66" s="1095">
        <f t="shared" si="22"/>
        <v>0</v>
      </c>
      <c r="K66" s="1095">
        <v>0</v>
      </c>
      <c r="L66" s="1095">
        <f t="shared" si="23"/>
        <v>0</v>
      </c>
      <c r="M66" s="1095">
        <f t="shared" si="24"/>
        <v>0</v>
      </c>
      <c r="N66" s="1091">
        <f>'[8]FY2012-13 Initial'!$K67</f>
        <v>3798</v>
      </c>
      <c r="O66" s="1092">
        <f t="shared" si="25"/>
        <v>0</v>
      </c>
      <c r="P66" s="1156">
        <f t="shared" si="26"/>
        <v>0</v>
      </c>
      <c r="Q66" s="1092">
        <f t="shared" si="27"/>
        <v>0</v>
      </c>
      <c r="R66" s="1092">
        <v>0</v>
      </c>
      <c r="S66" s="1092">
        <f t="shared" si="28"/>
        <v>0</v>
      </c>
      <c r="T66" s="1092">
        <f t="shared" si="29"/>
        <v>0</v>
      </c>
      <c r="U66" s="1093">
        <f t="shared" si="30"/>
        <v>0</v>
      </c>
      <c r="V66" s="1093">
        <f t="shared" si="31"/>
        <v>0</v>
      </c>
    </row>
    <row r="67" spans="1:22">
      <c r="A67" s="1021">
        <v>61</v>
      </c>
      <c r="B67" s="1022" t="s">
        <v>161</v>
      </c>
      <c r="C67" s="1297">
        <f>'Table 8 2.1.12 MFP Funded'!T64</f>
        <v>0</v>
      </c>
      <c r="D67" s="1041">
        <f>'Table 3 Levels 1&amp;2'!AL68</f>
        <v>3063.3110364585282</v>
      </c>
      <c r="E67" s="1141">
        <f t="shared" si="18"/>
        <v>0</v>
      </c>
      <c r="F67" s="1141">
        <f>'Table 4 Level 3'!P66</f>
        <v>833.70999999999992</v>
      </c>
      <c r="G67" s="1141">
        <f t="shared" si="19"/>
        <v>0</v>
      </c>
      <c r="H67" s="1096">
        <f t="shared" si="20"/>
        <v>0</v>
      </c>
      <c r="I67" s="1151">
        <f t="shared" si="21"/>
        <v>0</v>
      </c>
      <c r="J67" s="1096">
        <f t="shared" si="22"/>
        <v>0</v>
      </c>
      <c r="K67" s="1096">
        <v>0</v>
      </c>
      <c r="L67" s="1096">
        <f t="shared" si="23"/>
        <v>0</v>
      </c>
      <c r="M67" s="1096">
        <f t="shared" si="24"/>
        <v>0</v>
      </c>
      <c r="N67" s="1086">
        <f>'[8]FY2012-13 Initial'!$K68</f>
        <v>6727</v>
      </c>
      <c r="O67" s="1026">
        <f t="shared" si="25"/>
        <v>0</v>
      </c>
      <c r="P67" s="1154">
        <f t="shared" si="26"/>
        <v>0</v>
      </c>
      <c r="Q67" s="1026">
        <f t="shared" si="27"/>
        <v>0</v>
      </c>
      <c r="R67" s="1026">
        <v>0</v>
      </c>
      <c r="S67" s="1026">
        <f t="shared" si="28"/>
        <v>0</v>
      </c>
      <c r="T67" s="1026">
        <f t="shared" si="29"/>
        <v>0</v>
      </c>
      <c r="U67" s="1027">
        <f t="shared" si="30"/>
        <v>0</v>
      </c>
      <c r="V67" s="1027">
        <f t="shared" si="31"/>
        <v>0</v>
      </c>
    </row>
    <row r="68" spans="1:22">
      <c r="A68" s="1028">
        <v>62</v>
      </c>
      <c r="B68" s="1029" t="s">
        <v>162</v>
      </c>
      <c r="C68" s="1295">
        <f>'Table 8 2.1.12 MFP Funded'!T65</f>
        <v>0</v>
      </c>
      <c r="D68" s="1037">
        <f>'Table 3 Levels 1&amp;2'!AL69</f>
        <v>5564.645485869667</v>
      </c>
      <c r="E68" s="1139">
        <f t="shared" si="18"/>
        <v>0</v>
      </c>
      <c r="F68" s="1139">
        <f>'Table 4 Level 3'!P67</f>
        <v>516.08000000000004</v>
      </c>
      <c r="G68" s="1139">
        <f t="shared" si="19"/>
        <v>0</v>
      </c>
      <c r="H68" s="1094">
        <f t="shared" si="20"/>
        <v>0</v>
      </c>
      <c r="I68" s="1149">
        <f t="shared" si="21"/>
        <v>0</v>
      </c>
      <c r="J68" s="1094">
        <f t="shared" si="22"/>
        <v>0</v>
      </c>
      <c r="K68" s="1094">
        <v>0</v>
      </c>
      <c r="L68" s="1094">
        <f t="shared" si="23"/>
        <v>0</v>
      </c>
      <c r="M68" s="1094">
        <f t="shared" si="24"/>
        <v>0</v>
      </c>
      <c r="N68" s="1086">
        <f>'[8]FY2012-13 Initial'!$K69</f>
        <v>1678</v>
      </c>
      <c r="O68" s="1088">
        <f t="shared" si="25"/>
        <v>0</v>
      </c>
      <c r="P68" s="1155">
        <f t="shared" si="26"/>
        <v>0</v>
      </c>
      <c r="Q68" s="1088">
        <f t="shared" si="27"/>
        <v>0</v>
      </c>
      <c r="R68" s="1088">
        <v>0</v>
      </c>
      <c r="S68" s="1088">
        <f t="shared" si="28"/>
        <v>0</v>
      </c>
      <c r="T68" s="1088">
        <f t="shared" si="29"/>
        <v>0</v>
      </c>
      <c r="U68" s="1089">
        <f t="shared" si="30"/>
        <v>0</v>
      </c>
      <c r="V68" s="1089">
        <f t="shared" si="31"/>
        <v>0</v>
      </c>
    </row>
    <row r="69" spans="1:22">
      <c r="A69" s="1028">
        <v>63</v>
      </c>
      <c r="B69" s="1029" t="s">
        <v>163</v>
      </c>
      <c r="C69" s="1295">
        <f>'Table 8 2.1.12 MFP Funded'!T66</f>
        <v>0</v>
      </c>
      <c r="D69" s="1037">
        <f>'Table 3 Levels 1&amp;2'!AL70</f>
        <v>4414.1775336636538</v>
      </c>
      <c r="E69" s="1139">
        <f t="shared" si="18"/>
        <v>0</v>
      </c>
      <c r="F69" s="1139">
        <f>'Table 4 Level 3'!P68</f>
        <v>756.79</v>
      </c>
      <c r="G69" s="1139">
        <f t="shared" si="19"/>
        <v>0</v>
      </c>
      <c r="H69" s="1094">
        <f t="shared" si="20"/>
        <v>0</v>
      </c>
      <c r="I69" s="1149">
        <f t="shared" si="21"/>
        <v>0</v>
      </c>
      <c r="J69" s="1094">
        <f t="shared" si="22"/>
        <v>0</v>
      </c>
      <c r="K69" s="1094">
        <v>0</v>
      </c>
      <c r="L69" s="1094">
        <f t="shared" si="23"/>
        <v>0</v>
      </c>
      <c r="M69" s="1094">
        <f t="shared" si="24"/>
        <v>0</v>
      </c>
      <c r="N69" s="1086">
        <f>'[8]FY2012-13 Initial'!$K70</f>
        <v>6524</v>
      </c>
      <c r="O69" s="1088">
        <f t="shared" si="25"/>
        <v>0</v>
      </c>
      <c r="P69" s="1155">
        <f t="shared" si="26"/>
        <v>0</v>
      </c>
      <c r="Q69" s="1088">
        <f t="shared" si="27"/>
        <v>0</v>
      </c>
      <c r="R69" s="1088">
        <v>0</v>
      </c>
      <c r="S69" s="1088">
        <f t="shared" si="28"/>
        <v>0</v>
      </c>
      <c r="T69" s="1088">
        <f t="shared" si="29"/>
        <v>0</v>
      </c>
      <c r="U69" s="1089">
        <f t="shared" si="30"/>
        <v>0</v>
      </c>
      <c r="V69" s="1089">
        <f t="shared" si="31"/>
        <v>0</v>
      </c>
    </row>
    <row r="70" spans="1:22">
      <c r="A70" s="1028">
        <v>64</v>
      </c>
      <c r="B70" s="1029" t="s">
        <v>164</v>
      </c>
      <c r="C70" s="1295">
        <f>'Table 8 2.1.12 MFP Funded'!T67</f>
        <v>0</v>
      </c>
      <c r="D70" s="1037">
        <f>'Table 3 Levels 1&amp;2'!AL71</f>
        <v>5871.0485811924027</v>
      </c>
      <c r="E70" s="1139">
        <f t="shared" si="18"/>
        <v>0</v>
      </c>
      <c r="F70" s="1139">
        <f>'Table 4 Level 3'!P69</f>
        <v>592.66</v>
      </c>
      <c r="G70" s="1139">
        <f t="shared" si="19"/>
        <v>0</v>
      </c>
      <c r="H70" s="1094">
        <f t="shared" si="20"/>
        <v>0</v>
      </c>
      <c r="I70" s="1149">
        <f t="shared" si="21"/>
        <v>0</v>
      </c>
      <c r="J70" s="1094">
        <f t="shared" si="22"/>
        <v>0</v>
      </c>
      <c r="K70" s="1094">
        <v>0</v>
      </c>
      <c r="L70" s="1094">
        <f t="shared" si="23"/>
        <v>0</v>
      </c>
      <c r="M70" s="1094">
        <f t="shared" si="24"/>
        <v>0</v>
      </c>
      <c r="N70" s="1086">
        <f>'[8]FY2012-13 Initial'!$K71</f>
        <v>2658</v>
      </c>
      <c r="O70" s="1088">
        <f t="shared" si="25"/>
        <v>0</v>
      </c>
      <c r="P70" s="1155">
        <f t="shared" si="26"/>
        <v>0</v>
      </c>
      <c r="Q70" s="1088">
        <f t="shared" si="27"/>
        <v>0</v>
      </c>
      <c r="R70" s="1088">
        <v>0</v>
      </c>
      <c r="S70" s="1088">
        <f t="shared" si="28"/>
        <v>0</v>
      </c>
      <c r="T70" s="1088">
        <f t="shared" si="29"/>
        <v>0</v>
      </c>
      <c r="U70" s="1089">
        <f t="shared" si="30"/>
        <v>0</v>
      </c>
      <c r="V70" s="1089">
        <f t="shared" si="31"/>
        <v>0</v>
      </c>
    </row>
    <row r="71" spans="1:22">
      <c r="A71" s="1032">
        <v>65</v>
      </c>
      <c r="B71" s="1033" t="s">
        <v>165</v>
      </c>
      <c r="C71" s="1296">
        <f>'Table 8 2.1.12 MFP Funded'!T68</f>
        <v>0</v>
      </c>
      <c r="D71" s="1039">
        <f>'Table 3 Levels 1&amp;2'!AL72</f>
        <v>4602.2046951319899</v>
      </c>
      <c r="E71" s="1140">
        <f t="shared" si="18"/>
        <v>0</v>
      </c>
      <c r="F71" s="1140">
        <f>'Table 4 Level 3'!P70</f>
        <v>829.12</v>
      </c>
      <c r="G71" s="1140">
        <f t="shared" si="19"/>
        <v>0</v>
      </c>
      <c r="H71" s="1095">
        <f t="shared" si="20"/>
        <v>0</v>
      </c>
      <c r="I71" s="1150">
        <f t="shared" si="21"/>
        <v>0</v>
      </c>
      <c r="J71" s="1095">
        <f t="shared" si="22"/>
        <v>0</v>
      </c>
      <c r="K71" s="1095">
        <v>0</v>
      </c>
      <c r="L71" s="1095">
        <f t="shared" si="23"/>
        <v>0</v>
      </c>
      <c r="M71" s="1095">
        <f t="shared" si="24"/>
        <v>0</v>
      </c>
      <c r="N71" s="1091">
        <f>'[8]FY2012-13 Initial'!$K72</f>
        <v>4631</v>
      </c>
      <c r="O71" s="1092">
        <f t="shared" si="25"/>
        <v>0</v>
      </c>
      <c r="P71" s="1156">
        <f t="shared" si="26"/>
        <v>0</v>
      </c>
      <c r="Q71" s="1092">
        <f t="shared" si="27"/>
        <v>0</v>
      </c>
      <c r="R71" s="1092">
        <v>0</v>
      </c>
      <c r="S71" s="1092">
        <f t="shared" si="28"/>
        <v>0</v>
      </c>
      <c r="T71" s="1092">
        <f t="shared" si="29"/>
        <v>0</v>
      </c>
      <c r="U71" s="1093">
        <f t="shared" si="30"/>
        <v>0</v>
      </c>
      <c r="V71" s="1093">
        <f t="shared" si="31"/>
        <v>0</v>
      </c>
    </row>
    <row r="72" spans="1:22">
      <c r="A72" s="1021">
        <v>66</v>
      </c>
      <c r="B72" s="1022" t="s">
        <v>166</v>
      </c>
      <c r="C72" s="1297">
        <f>'Table 8 2.1.12 MFP Funded'!T69</f>
        <v>0</v>
      </c>
      <c r="D72" s="1041">
        <f>'Table 3 Levels 1&amp;2'!AL73</f>
        <v>6243.8912249150071</v>
      </c>
      <c r="E72" s="1141">
        <f t="shared" ref="E72:E75" si="32">C72*D72</f>
        <v>0</v>
      </c>
      <c r="F72" s="1141">
        <f>'Table 4 Level 3'!P71</f>
        <v>730.06</v>
      </c>
      <c r="G72" s="1141">
        <f t="shared" ref="G72:G75" si="33">C72*F72</f>
        <v>0</v>
      </c>
      <c r="H72" s="1096">
        <f t="shared" ref="H72:H75" si="34">E72+G72</f>
        <v>0</v>
      </c>
      <c r="I72" s="1151">
        <f t="shared" ref="I72:I75" si="35">-(0.25%*H72)</f>
        <v>0</v>
      </c>
      <c r="J72" s="1096">
        <f t="shared" ref="J72:J75" si="36">SUM(H72:I72)</f>
        <v>0</v>
      </c>
      <c r="K72" s="1096">
        <v>0</v>
      </c>
      <c r="L72" s="1096">
        <f t="shared" ref="L72:L75" si="37">SUM(J72:K72)</f>
        <v>0</v>
      </c>
      <c r="M72" s="1096">
        <f t="shared" ref="M72:M75" si="38">L72/12</f>
        <v>0</v>
      </c>
      <c r="N72" s="1086">
        <f>'[8]FY2012-13 Initial'!$K73</f>
        <v>3443</v>
      </c>
      <c r="O72" s="1026">
        <f t="shared" ref="O72:O75" si="39">C72*N72</f>
        <v>0</v>
      </c>
      <c r="P72" s="1154">
        <f t="shared" ref="P72:P75" si="40">-(0.25%*O72)</f>
        <v>0</v>
      </c>
      <c r="Q72" s="1026">
        <f t="shared" ref="Q72:Q75" si="41">SUM(O72:P72)</f>
        <v>0</v>
      </c>
      <c r="R72" s="1026">
        <v>0</v>
      </c>
      <c r="S72" s="1026">
        <f t="shared" ref="S72:S75" si="42">SUM(Q72:R72)</f>
        <v>0</v>
      </c>
      <c r="T72" s="1026">
        <f t="shared" ref="T72:T75" si="43">S72/12</f>
        <v>0</v>
      </c>
      <c r="U72" s="1027">
        <f t="shared" ref="U72:U75" si="44">L72+S72</f>
        <v>0</v>
      </c>
      <c r="V72" s="1027">
        <f t="shared" ref="V72:V75" si="45">M72+T72</f>
        <v>0</v>
      </c>
    </row>
    <row r="73" spans="1:22">
      <c r="A73" s="1028">
        <v>67</v>
      </c>
      <c r="B73" s="1029" t="s">
        <v>33</v>
      </c>
      <c r="C73" s="1295">
        <f>'Table 8 2.1.12 MFP Funded'!T70</f>
        <v>2</v>
      </c>
      <c r="D73" s="1037">
        <f>'Table 3 Levels 1&amp;2'!AL74</f>
        <v>5049.6489898847567</v>
      </c>
      <c r="E73" s="1139">
        <f t="shared" si="32"/>
        <v>10099.297979769513</v>
      </c>
      <c r="F73" s="1139">
        <f>'Table 4 Level 3'!P72</f>
        <v>715.61</v>
      </c>
      <c r="G73" s="1139">
        <f t="shared" si="33"/>
        <v>1431.22</v>
      </c>
      <c r="H73" s="1094">
        <f t="shared" si="34"/>
        <v>11530.517979769513</v>
      </c>
      <c r="I73" s="1149">
        <f t="shared" si="35"/>
        <v>-28.826294949423783</v>
      </c>
      <c r="J73" s="1094">
        <f t="shared" si="36"/>
        <v>11501.691684820089</v>
      </c>
      <c r="K73" s="1094">
        <v>0</v>
      </c>
      <c r="L73" s="1094">
        <f t="shared" si="37"/>
        <v>11501.691684820089</v>
      </c>
      <c r="M73" s="1094">
        <f t="shared" si="38"/>
        <v>958.47430706834075</v>
      </c>
      <c r="N73" s="1086">
        <f>'[8]FY2012-13 Initial'!$K74</f>
        <v>4502</v>
      </c>
      <c r="O73" s="1088">
        <f t="shared" si="39"/>
        <v>9004</v>
      </c>
      <c r="P73" s="1155">
        <f t="shared" si="40"/>
        <v>-22.51</v>
      </c>
      <c r="Q73" s="1088">
        <f t="shared" si="41"/>
        <v>8981.49</v>
      </c>
      <c r="R73" s="1088">
        <v>0</v>
      </c>
      <c r="S73" s="1088">
        <f t="shared" si="42"/>
        <v>8981.49</v>
      </c>
      <c r="T73" s="1088">
        <f t="shared" si="43"/>
        <v>748.45749999999998</v>
      </c>
      <c r="U73" s="1089">
        <f t="shared" si="44"/>
        <v>20483.181684820091</v>
      </c>
      <c r="V73" s="1089">
        <f t="shared" si="45"/>
        <v>1706.9318070683407</v>
      </c>
    </row>
    <row r="74" spans="1:22">
      <c r="A74" s="1028">
        <v>68</v>
      </c>
      <c r="B74" s="1029" t="s">
        <v>31</v>
      </c>
      <c r="C74" s="1295">
        <f>'Table 8 2.1.12 MFP Funded'!T71</f>
        <v>4</v>
      </c>
      <c r="D74" s="1037">
        <f>'Table 3 Levels 1&amp;2'!AL75</f>
        <v>5861.7500805575619</v>
      </c>
      <c r="E74" s="1139">
        <f t="shared" si="32"/>
        <v>23447.000322230248</v>
      </c>
      <c r="F74" s="1139">
        <f>'Table 4 Level 3'!P73</f>
        <v>798.7</v>
      </c>
      <c r="G74" s="1139">
        <f t="shared" si="33"/>
        <v>3194.8</v>
      </c>
      <c r="H74" s="1094">
        <f t="shared" si="34"/>
        <v>26641.800322230247</v>
      </c>
      <c r="I74" s="1149">
        <f t="shared" si="35"/>
        <v>-66.604500805575611</v>
      </c>
      <c r="J74" s="1094">
        <f t="shared" si="36"/>
        <v>26575.19582142467</v>
      </c>
      <c r="K74" s="1094">
        <v>0</v>
      </c>
      <c r="L74" s="1094">
        <f t="shared" si="37"/>
        <v>26575.19582142467</v>
      </c>
      <c r="M74" s="1094">
        <f t="shared" si="38"/>
        <v>2214.5996517853891</v>
      </c>
      <c r="N74" s="1086">
        <f>'[8]FY2012-13 Initial'!$K75</f>
        <v>2587</v>
      </c>
      <c r="O74" s="1088">
        <f t="shared" si="39"/>
        <v>10348</v>
      </c>
      <c r="P74" s="1155">
        <f t="shared" si="40"/>
        <v>-25.87</v>
      </c>
      <c r="Q74" s="1088">
        <f t="shared" si="41"/>
        <v>10322.129999999999</v>
      </c>
      <c r="R74" s="1088">
        <v>0</v>
      </c>
      <c r="S74" s="1088">
        <f t="shared" si="42"/>
        <v>10322.129999999999</v>
      </c>
      <c r="T74" s="1088">
        <f t="shared" si="43"/>
        <v>860.1774999999999</v>
      </c>
      <c r="U74" s="1089">
        <f t="shared" si="44"/>
        <v>36897.325821424667</v>
      </c>
      <c r="V74" s="1089">
        <f t="shared" si="45"/>
        <v>3074.7771517853889</v>
      </c>
    </row>
    <row r="75" spans="1:22">
      <c r="A75" s="1042">
        <v>69</v>
      </c>
      <c r="B75" s="1043" t="s">
        <v>235</v>
      </c>
      <c r="C75" s="1298">
        <f>'Table 8 2.1.12 MFP Funded'!T72</f>
        <v>2</v>
      </c>
      <c r="D75" s="1045">
        <f>'Table 3 Levels 1&amp;2'!AL76</f>
        <v>5508.3397285189958</v>
      </c>
      <c r="E75" s="1142">
        <f t="shared" si="32"/>
        <v>11016.679457037992</v>
      </c>
      <c r="F75" s="1142">
        <f>'Table 4 Level 3'!P74</f>
        <v>705.67</v>
      </c>
      <c r="G75" s="1142">
        <f t="shared" si="33"/>
        <v>1411.34</v>
      </c>
      <c r="H75" s="1097">
        <f t="shared" si="34"/>
        <v>12428.019457037992</v>
      </c>
      <c r="I75" s="1152">
        <f t="shared" si="35"/>
        <v>-31.07004864259498</v>
      </c>
      <c r="J75" s="1097">
        <f t="shared" si="36"/>
        <v>12396.949408395396</v>
      </c>
      <c r="K75" s="1097">
        <v>0</v>
      </c>
      <c r="L75" s="1097">
        <f t="shared" si="37"/>
        <v>12396.949408395396</v>
      </c>
      <c r="M75" s="1097">
        <f t="shared" si="38"/>
        <v>1033.0791173662831</v>
      </c>
      <c r="N75" s="1086">
        <f>'[8]FY2012-13 Initial'!$K76</f>
        <v>3233</v>
      </c>
      <c r="O75" s="1098">
        <f t="shared" si="39"/>
        <v>6466</v>
      </c>
      <c r="P75" s="1157">
        <f t="shared" si="40"/>
        <v>-16.164999999999999</v>
      </c>
      <c r="Q75" s="1098">
        <f t="shared" si="41"/>
        <v>6449.835</v>
      </c>
      <c r="R75" s="1098">
        <v>0</v>
      </c>
      <c r="S75" s="1098">
        <f t="shared" si="42"/>
        <v>6449.835</v>
      </c>
      <c r="T75" s="1098">
        <f t="shared" si="43"/>
        <v>537.48625000000004</v>
      </c>
      <c r="U75" s="1099">
        <f t="shared" si="44"/>
        <v>18846.784408395397</v>
      </c>
      <c r="V75" s="1099">
        <f t="shared" si="45"/>
        <v>1570.5653673662832</v>
      </c>
    </row>
    <row r="76" spans="1:22" ht="13.5" thickBot="1">
      <c r="A76" s="1046"/>
      <c r="B76" s="1047" t="s">
        <v>167</v>
      </c>
      <c r="C76" s="1048">
        <f>SUM(C7:C75)</f>
        <v>198</v>
      </c>
      <c r="D76" s="1049">
        <f>'Table 3 Levels 1&amp;2'!AL77</f>
        <v>4325.8670725247357</v>
      </c>
      <c r="E76" s="1143">
        <f>SUM(E7:E75)</f>
        <v>690100.17205314885</v>
      </c>
      <c r="F76" s="1143">
        <f>'Table 4 Level 3'!P75</f>
        <v>703.90028204588873</v>
      </c>
      <c r="G76" s="1143">
        <f t="shared" ref="G76:L76" si="46">SUM(G7:G75)</f>
        <v>158076.40096776484</v>
      </c>
      <c r="H76" s="1050">
        <f t="shared" si="46"/>
        <v>848176.57302091375</v>
      </c>
      <c r="I76" s="1153">
        <f t="shared" si="46"/>
        <v>-2120.4414325522844</v>
      </c>
      <c r="J76" s="1050">
        <f t="shared" si="46"/>
        <v>846056.13158836158</v>
      </c>
      <c r="K76" s="1050">
        <f t="shared" si="46"/>
        <v>3969.4057121774622</v>
      </c>
      <c r="L76" s="1050">
        <f t="shared" si="46"/>
        <v>850025.53730053909</v>
      </c>
      <c r="M76" s="1050">
        <f>SUM(M7:M75)</f>
        <v>70835.461441711595</v>
      </c>
      <c r="N76" s="1100"/>
      <c r="O76" s="1051">
        <f t="shared" ref="O76:V76" si="47">SUM(O7:O75)</f>
        <v>1254974</v>
      </c>
      <c r="P76" s="1158">
        <f t="shared" si="47"/>
        <v>-3137.4350000000004</v>
      </c>
      <c r="Q76" s="1051">
        <f t="shared" si="47"/>
        <v>1251836.5649999999</v>
      </c>
      <c r="R76" s="1051">
        <f t="shared" si="47"/>
        <v>6272</v>
      </c>
      <c r="S76" s="1051">
        <f t="shared" si="47"/>
        <v>1258108.5649999999</v>
      </c>
      <c r="T76" s="1051">
        <f t="shared" si="47"/>
        <v>104842.3804166667</v>
      </c>
      <c r="U76" s="1052">
        <f t="shared" si="47"/>
        <v>2108134.1023005387</v>
      </c>
      <c r="V76" s="1052">
        <f t="shared" si="47"/>
        <v>175677.84185837826</v>
      </c>
    </row>
    <row r="77" spans="1:22" ht="13.5" thickTop="1"/>
  </sheetData>
  <mergeCells count="19">
    <mergeCell ref="N2:T2"/>
    <mergeCell ref="U2:U4"/>
    <mergeCell ref="V2:V4"/>
    <mergeCell ref="G3:G4"/>
    <mergeCell ref="J3:J4"/>
    <mergeCell ref="K3:K4"/>
    <mergeCell ref="L3:L4"/>
    <mergeCell ref="M3:M4"/>
    <mergeCell ref="R3:R4"/>
    <mergeCell ref="S3:S4"/>
    <mergeCell ref="N3:N4"/>
    <mergeCell ref="Q3:Q4"/>
    <mergeCell ref="A2:B4"/>
    <mergeCell ref="C3:C4"/>
    <mergeCell ref="D3:D4"/>
    <mergeCell ref="E3:E4"/>
    <mergeCell ref="H3:H4"/>
    <mergeCell ref="F3:F4"/>
    <mergeCell ref="C2:M2"/>
  </mergeCells>
  <pageMargins left="0.32" right="0.32" top="0.75" bottom="0.75" header="0.3" footer="0.3"/>
  <pageSetup paperSize="5" scale="60" firstPageNumber="50" orientation="portrait" useFirstPageNumber="1" r:id="rId1"/>
  <headerFooter>
    <oddHeader>&amp;L&amp;"Arial,Bold"&amp;20Table 5C1-A: FY2012-13 MFP Budget Letter 
Madison Prep Academy (July 2012)</oddHeader>
    <oddFooter>&amp;R&amp;P</oddFooter>
  </headerFooter>
  <colBreaks count="1" manualBreakCount="1">
    <brk id="1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V78"/>
  <sheetViews>
    <sheetView view="pageBreakPreview" zoomScale="90" zoomScaleNormal="100" zoomScaleSheetLayoutView="9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1.7109375" bestFit="1" customWidth="1"/>
    <col min="4" max="4" width="17" customWidth="1"/>
    <col min="5" max="5" width="11" bestFit="1" customWidth="1"/>
    <col min="6" max="6" width="12" customWidth="1"/>
    <col min="7" max="7" width="12.5703125" bestFit="1" customWidth="1"/>
    <col min="8" max="8" width="11.85546875" bestFit="1" customWidth="1"/>
    <col min="9" max="9" width="10.85546875" bestFit="1" customWidth="1"/>
    <col min="10" max="10" width="12" bestFit="1" customWidth="1"/>
    <col min="11" max="11" width="13.42578125" bestFit="1" customWidth="1"/>
    <col min="12" max="12" width="13.5703125" bestFit="1" customWidth="1"/>
    <col min="13" max="13" width="9.28515625" bestFit="1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</row>
    <row r="2" spans="1:22" ht="45" customHeight="1">
      <c r="A2" s="1837" t="s">
        <v>1262</v>
      </c>
      <c r="B2" s="1838"/>
      <c r="C2" s="1843" t="s">
        <v>1250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2"/>
      <c r="N2" s="1770" t="s">
        <v>772</v>
      </c>
      <c r="O2" s="1771"/>
      <c r="P2" s="1771"/>
      <c r="Q2" s="1771"/>
      <c r="R2" s="1771"/>
      <c r="S2" s="1771"/>
      <c r="T2" s="1772"/>
      <c r="U2" s="1764" t="s">
        <v>1414</v>
      </c>
      <c r="V2" s="1764" t="s">
        <v>1389</v>
      </c>
    </row>
    <row r="3" spans="1:22" ht="81" customHeight="1">
      <c r="A3" s="1839"/>
      <c r="B3" s="1840"/>
      <c r="C3" s="1779" t="s">
        <v>1192</v>
      </c>
      <c r="D3" s="1781" t="s">
        <v>819</v>
      </c>
      <c r="E3" s="1781" t="s">
        <v>1406</v>
      </c>
      <c r="F3" s="1779" t="s">
        <v>1251</v>
      </c>
      <c r="G3" s="1779" t="s">
        <v>779</v>
      </c>
      <c r="H3" s="1779" t="s">
        <v>1407</v>
      </c>
      <c r="I3" s="1370" t="s">
        <v>813</v>
      </c>
      <c r="J3" s="1779" t="s">
        <v>1408</v>
      </c>
      <c r="K3" s="1779" t="s">
        <v>1197</v>
      </c>
      <c r="L3" s="1779" t="s">
        <v>1409</v>
      </c>
      <c r="M3" s="1781" t="s">
        <v>1410</v>
      </c>
      <c r="N3" s="1795" t="s">
        <v>1307</v>
      </c>
      <c r="O3" s="1598" t="s">
        <v>1411</v>
      </c>
      <c r="P3" s="1372" t="s">
        <v>815</v>
      </c>
      <c r="Q3" s="1795" t="s">
        <v>818</v>
      </c>
      <c r="R3" s="1795" t="s">
        <v>1197</v>
      </c>
      <c r="S3" s="1795" t="s">
        <v>1412</v>
      </c>
      <c r="T3" s="1598" t="s">
        <v>1413</v>
      </c>
      <c r="U3" s="1765"/>
      <c r="V3" s="1765"/>
    </row>
    <row r="4" spans="1:22" ht="26.25" customHeight="1">
      <c r="A4" s="1841"/>
      <c r="B4" s="1842"/>
      <c r="C4" s="1780"/>
      <c r="D4" s="1781"/>
      <c r="E4" s="1781"/>
      <c r="F4" s="1780"/>
      <c r="G4" s="1780"/>
      <c r="H4" s="1780"/>
      <c r="I4" s="1144">
        <v>2.5000000000000001E-3</v>
      </c>
      <c r="J4" s="1780"/>
      <c r="K4" s="1780"/>
      <c r="L4" s="1780"/>
      <c r="M4" s="1781"/>
      <c r="N4" s="1787"/>
      <c r="O4" s="1371"/>
      <c r="P4" s="1145">
        <v>2.5000000000000001E-3</v>
      </c>
      <c r="Q4" s="1787"/>
      <c r="R4" s="1787"/>
      <c r="S4" s="1787"/>
      <c r="T4" s="1371"/>
      <c r="U4" s="1766"/>
      <c r="V4" s="1766"/>
    </row>
    <row r="5" spans="1:22" ht="14.25" customHeight="1">
      <c r="A5" s="1012"/>
      <c r="B5" s="1013"/>
      <c r="C5" s="1014">
        <v>1</v>
      </c>
      <c r="D5" s="1014">
        <f t="shared" ref="D5" si="0">C5+1</f>
        <v>2</v>
      </c>
      <c r="E5" s="1014">
        <f>D5+1</f>
        <v>3</v>
      </c>
      <c r="F5" s="1014">
        <f t="shared" ref="F5:V5" si="1">E5+1</f>
        <v>4</v>
      </c>
      <c r="G5" s="1014">
        <f t="shared" si="1"/>
        <v>5</v>
      </c>
      <c r="H5" s="1014">
        <f t="shared" si="1"/>
        <v>6</v>
      </c>
      <c r="I5" s="1014">
        <f t="shared" si="1"/>
        <v>7</v>
      </c>
      <c r="J5" s="1014">
        <f t="shared" si="1"/>
        <v>8</v>
      </c>
      <c r="K5" s="1014">
        <f t="shared" si="1"/>
        <v>9</v>
      </c>
      <c r="L5" s="1014">
        <f t="shared" si="1"/>
        <v>10</v>
      </c>
      <c r="M5" s="1014">
        <f t="shared" si="1"/>
        <v>11</v>
      </c>
      <c r="N5" s="1014">
        <f t="shared" si="1"/>
        <v>12</v>
      </c>
      <c r="O5" s="1014">
        <f t="shared" si="1"/>
        <v>13</v>
      </c>
      <c r="P5" s="1014">
        <f t="shared" si="1"/>
        <v>14</v>
      </c>
      <c r="Q5" s="1014">
        <f t="shared" si="1"/>
        <v>15</v>
      </c>
      <c r="R5" s="1014">
        <f t="shared" si="1"/>
        <v>16</v>
      </c>
      <c r="S5" s="1014">
        <f t="shared" si="1"/>
        <v>17</v>
      </c>
      <c r="T5" s="1014">
        <f t="shared" si="1"/>
        <v>18</v>
      </c>
      <c r="U5" s="1014">
        <f t="shared" si="1"/>
        <v>19</v>
      </c>
      <c r="V5" s="1014">
        <f t="shared" si="1"/>
        <v>20</v>
      </c>
    </row>
    <row r="6" spans="1:22" ht="27" customHeight="1">
      <c r="A6" s="1076"/>
      <c r="B6" s="1077"/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  <c r="Q6" s="1077"/>
      <c r="R6" s="1077"/>
      <c r="S6" s="1077"/>
      <c r="T6" s="1077"/>
      <c r="U6" s="1077"/>
      <c r="V6" s="1077"/>
    </row>
    <row r="7" spans="1:22">
      <c r="A7" s="1021">
        <v>1</v>
      </c>
      <c r="B7" s="1022" t="s">
        <v>102</v>
      </c>
      <c r="C7" s="1023">
        <f>'Table 8 2.1.12 MFP Funded'!S4</f>
        <v>0</v>
      </c>
      <c r="D7" s="1024">
        <f>'Table 3 Levels 1&amp;2'!AL8</f>
        <v>4621.8175818834352</v>
      </c>
      <c r="E7" s="1136">
        <f>C7*D7</f>
        <v>0</v>
      </c>
      <c r="F7" s="1136">
        <f>'Table 4 Level 3'!P6</f>
        <v>777.48</v>
      </c>
      <c r="G7" s="1136">
        <f>C7*F7</f>
        <v>0</v>
      </c>
      <c r="H7" s="1025">
        <f>E7+G7</f>
        <v>0</v>
      </c>
      <c r="I7" s="1146">
        <f>-(0.25%*H7)</f>
        <v>0</v>
      </c>
      <c r="J7" s="1025">
        <f>SUM(H7:I7)</f>
        <v>0</v>
      </c>
      <c r="K7" s="1025">
        <v>0</v>
      </c>
      <c r="L7" s="1025">
        <f>SUM(J7:K7)</f>
        <v>0</v>
      </c>
      <c r="M7" s="1025">
        <f>L7/12</f>
        <v>0</v>
      </c>
      <c r="N7" s="1086">
        <f>'[8]FY2012-13 Initial'!$K8</f>
        <v>2094</v>
      </c>
      <c r="O7" s="1026">
        <f>C7*N7</f>
        <v>0</v>
      </c>
      <c r="P7" s="1154">
        <f>-(0.25%*O7)</f>
        <v>0</v>
      </c>
      <c r="Q7" s="1026">
        <f>SUM(O7:P7)</f>
        <v>0</v>
      </c>
      <c r="R7" s="1026">
        <v>0</v>
      </c>
      <c r="S7" s="1026">
        <f>SUM(Q7:R7)</f>
        <v>0</v>
      </c>
      <c r="T7" s="1026">
        <f>S7/12</f>
        <v>0</v>
      </c>
      <c r="U7" s="1027">
        <f>L7+S7</f>
        <v>0</v>
      </c>
      <c r="V7" s="1027">
        <f>M7+T7</f>
        <v>0</v>
      </c>
    </row>
    <row r="8" spans="1:22">
      <c r="A8" s="1028">
        <v>2</v>
      </c>
      <c r="B8" s="1029" t="s">
        <v>103</v>
      </c>
      <c r="C8" s="1292">
        <f>'Table 8 2.1.12 MFP Funded'!S5</f>
        <v>0</v>
      </c>
      <c r="D8" s="1031">
        <f>'Table 3 Levels 1&amp;2'!AL9</f>
        <v>6131.8351665660375</v>
      </c>
      <c r="E8" s="1137">
        <f t="shared" ref="E8:E71" si="2">C8*D8</f>
        <v>0</v>
      </c>
      <c r="F8" s="1137">
        <f>'Table 4 Level 3'!P7</f>
        <v>842.32</v>
      </c>
      <c r="G8" s="1137">
        <f t="shared" ref="G8:G71" si="3">C8*F8</f>
        <v>0</v>
      </c>
      <c r="H8" s="1087">
        <f t="shared" ref="H8:H71" si="4">E8+G8</f>
        <v>0</v>
      </c>
      <c r="I8" s="1147">
        <f t="shared" ref="I8:I71" si="5">-(0.25%*H8)</f>
        <v>0</v>
      </c>
      <c r="J8" s="1087">
        <f t="shared" ref="J8:J71" si="6">SUM(H8:I8)</f>
        <v>0</v>
      </c>
      <c r="K8" s="1087">
        <v>0</v>
      </c>
      <c r="L8" s="1087">
        <f t="shared" ref="L8:L71" si="7">SUM(J8:K8)</f>
        <v>0</v>
      </c>
      <c r="M8" s="1087">
        <f t="shared" ref="M8:M71" si="8">L8/12</f>
        <v>0</v>
      </c>
      <c r="N8" s="1086">
        <f>'[8]FY2012-13 Initial'!$K9</f>
        <v>2554</v>
      </c>
      <c r="O8" s="1088">
        <f t="shared" ref="O8:O71" si="9">C8*N8</f>
        <v>0</v>
      </c>
      <c r="P8" s="1155">
        <f t="shared" ref="P8:P71" si="10">-(0.25%*O8)</f>
        <v>0</v>
      </c>
      <c r="Q8" s="1088">
        <f t="shared" ref="Q8:Q71" si="11">SUM(O8:P8)</f>
        <v>0</v>
      </c>
      <c r="R8" s="1088">
        <v>0</v>
      </c>
      <c r="S8" s="1088">
        <f t="shared" ref="S8:S71" si="12">SUM(Q8:R8)</f>
        <v>0</v>
      </c>
      <c r="T8" s="1088">
        <f t="shared" ref="T8:T71" si="13">S8/12</f>
        <v>0</v>
      </c>
      <c r="U8" s="1089">
        <f t="shared" ref="U8:V71" si="14">L8+S8</f>
        <v>0</v>
      </c>
      <c r="V8" s="1089">
        <f t="shared" si="14"/>
        <v>0</v>
      </c>
    </row>
    <row r="9" spans="1:22">
      <c r="A9" s="1028">
        <v>3</v>
      </c>
      <c r="B9" s="1029" t="s">
        <v>104</v>
      </c>
      <c r="C9" s="1292">
        <f>'Table 8 2.1.12 MFP Funded'!S6</f>
        <v>0</v>
      </c>
      <c r="D9" s="1031">
        <f>'Table 3 Levels 1&amp;2'!AL10</f>
        <v>4326.5384352059973</v>
      </c>
      <c r="E9" s="1137">
        <f t="shared" si="2"/>
        <v>0</v>
      </c>
      <c r="F9" s="1137">
        <f>'Table 4 Level 3'!P8</f>
        <v>596.84</v>
      </c>
      <c r="G9" s="1137">
        <f t="shared" si="3"/>
        <v>0</v>
      </c>
      <c r="H9" s="1087">
        <f t="shared" si="4"/>
        <v>0</v>
      </c>
      <c r="I9" s="1147">
        <f t="shared" si="5"/>
        <v>0</v>
      </c>
      <c r="J9" s="1087">
        <f t="shared" si="6"/>
        <v>0</v>
      </c>
      <c r="K9" s="1087">
        <v>0</v>
      </c>
      <c r="L9" s="1087">
        <f t="shared" si="7"/>
        <v>0</v>
      </c>
      <c r="M9" s="1087">
        <f t="shared" si="8"/>
        <v>0</v>
      </c>
      <c r="N9" s="1086">
        <f>'[8]FY2012-13 Initial'!$K10</f>
        <v>4995</v>
      </c>
      <c r="O9" s="1088">
        <f t="shared" si="9"/>
        <v>0</v>
      </c>
      <c r="P9" s="1155">
        <f t="shared" si="10"/>
        <v>0</v>
      </c>
      <c r="Q9" s="1088">
        <f t="shared" si="11"/>
        <v>0</v>
      </c>
      <c r="R9" s="1088">
        <v>0</v>
      </c>
      <c r="S9" s="1088">
        <f t="shared" si="12"/>
        <v>0</v>
      </c>
      <c r="T9" s="1088">
        <f t="shared" si="13"/>
        <v>0</v>
      </c>
      <c r="U9" s="1089">
        <f t="shared" si="14"/>
        <v>0</v>
      </c>
      <c r="V9" s="1089">
        <f t="shared" si="14"/>
        <v>0</v>
      </c>
    </row>
    <row r="10" spans="1:22">
      <c r="A10" s="1028">
        <v>4</v>
      </c>
      <c r="B10" s="1029" t="s">
        <v>105</v>
      </c>
      <c r="C10" s="1292">
        <f>'Table 8 2.1.12 MFP Funded'!S7</f>
        <v>0</v>
      </c>
      <c r="D10" s="1031">
        <f>'Table 3 Levels 1&amp;2'!AL11</f>
        <v>6066.2659652331004</v>
      </c>
      <c r="E10" s="1137">
        <f t="shared" si="2"/>
        <v>0</v>
      </c>
      <c r="F10" s="1137">
        <f>'Table 4 Level 3'!P9</f>
        <v>585.76</v>
      </c>
      <c r="G10" s="1137">
        <f t="shared" si="3"/>
        <v>0</v>
      </c>
      <c r="H10" s="1087">
        <f t="shared" si="4"/>
        <v>0</v>
      </c>
      <c r="I10" s="1147">
        <f t="shared" si="5"/>
        <v>0</v>
      </c>
      <c r="J10" s="1087">
        <f t="shared" si="6"/>
        <v>0</v>
      </c>
      <c r="K10" s="1087">
        <v>0</v>
      </c>
      <c r="L10" s="1087">
        <f t="shared" si="7"/>
        <v>0</v>
      </c>
      <c r="M10" s="1087">
        <f t="shared" si="8"/>
        <v>0</v>
      </c>
      <c r="N10" s="1086">
        <f>'[8]FY2012-13 Initial'!$K11</f>
        <v>3361</v>
      </c>
      <c r="O10" s="1088">
        <f t="shared" si="9"/>
        <v>0</v>
      </c>
      <c r="P10" s="1155">
        <f t="shared" si="10"/>
        <v>0</v>
      </c>
      <c r="Q10" s="1088">
        <f t="shared" si="11"/>
        <v>0</v>
      </c>
      <c r="R10" s="1088">
        <v>0</v>
      </c>
      <c r="S10" s="1088">
        <f t="shared" si="12"/>
        <v>0</v>
      </c>
      <c r="T10" s="1088">
        <f t="shared" si="13"/>
        <v>0</v>
      </c>
      <c r="U10" s="1089">
        <f t="shared" si="14"/>
        <v>0</v>
      </c>
      <c r="V10" s="1089">
        <f t="shared" si="14"/>
        <v>0</v>
      </c>
    </row>
    <row r="11" spans="1:22">
      <c r="A11" s="1032">
        <v>5</v>
      </c>
      <c r="B11" s="1033" t="s">
        <v>106</v>
      </c>
      <c r="C11" s="1293">
        <f>'Table 8 2.1.12 MFP Funded'!S8</f>
        <v>0</v>
      </c>
      <c r="D11" s="1035">
        <f>'Table 3 Levels 1&amp;2'!AL12</f>
        <v>4806.2126132223084</v>
      </c>
      <c r="E11" s="1138">
        <f t="shared" si="2"/>
        <v>0</v>
      </c>
      <c r="F11" s="1138">
        <f>'Table 4 Level 3'!P10</f>
        <v>555.91</v>
      </c>
      <c r="G11" s="1138">
        <f t="shared" si="3"/>
        <v>0</v>
      </c>
      <c r="H11" s="1090">
        <f t="shared" si="4"/>
        <v>0</v>
      </c>
      <c r="I11" s="1148">
        <f t="shared" si="5"/>
        <v>0</v>
      </c>
      <c r="J11" s="1090">
        <f t="shared" si="6"/>
        <v>0</v>
      </c>
      <c r="K11" s="1090">
        <v>0</v>
      </c>
      <c r="L11" s="1090">
        <f t="shared" si="7"/>
        <v>0</v>
      </c>
      <c r="M11" s="1090">
        <f t="shared" si="8"/>
        <v>0</v>
      </c>
      <c r="N11" s="1091">
        <f>'[8]FY2012-13 Initial'!$K12</f>
        <v>1146</v>
      </c>
      <c r="O11" s="1092">
        <f t="shared" si="9"/>
        <v>0</v>
      </c>
      <c r="P11" s="1156">
        <f t="shared" si="10"/>
        <v>0</v>
      </c>
      <c r="Q11" s="1092">
        <f t="shared" si="11"/>
        <v>0</v>
      </c>
      <c r="R11" s="1092">
        <v>0</v>
      </c>
      <c r="S11" s="1092">
        <f t="shared" si="12"/>
        <v>0</v>
      </c>
      <c r="T11" s="1092">
        <f t="shared" si="13"/>
        <v>0</v>
      </c>
      <c r="U11" s="1093">
        <f t="shared" si="14"/>
        <v>0</v>
      </c>
      <c r="V11" s="1093">
        <f t="shared" si="14"/>
        <v>0</v>
      </c>
    </row>
    <row r="12" spans="1:22">
      <c r="A12" s="1021">
        <v>6</v>
      </c>
      <c r="B12" s="1022" t="s">
        <v>107</v>
      </c>
      <c r="C12" s="1294">
        <f>'Table 8 2.1.12 MFP Funded'!S9</f>
        <v>0</v>
      </c>
      <c r="D12" s="1024">
        <f>'Table 3 Levels 1&amp;2'!AL13</f>
        <v>5538.0879878550813</v>
      </c>
      <c r="E12" s="1136">
        <f t="shared" si="2"/>
        <v>0</v>
      </c>
      <c r="F12" s="1136">
        <f>'Table 4 Level 3'!P11</f>
        <v>545.4799999999999</v>
      </c>
      <c r="G12" s="1136">
        <f t="shared" si="3"/>
        <v>0</v>
      </c>
      <c r="H12" s="1025">
        <f t="shared" si="4"/>
        <v>0</v>
      </c>
      <c r="I12" s="1146">
        <f t="shared" si="5"/>
        <v>0</v>
      </c>
      <c r="J12" s="1025">
        <f t="shared" si="6"/>
        <v>0</v>
      </c>
      <c r="K12" s="1025">
        <v>0</v>
      </c>
      <c r="L12" s="1025">
        <f t="shared" si="7"/>
        <v>0</v>
      </c>
      <c r="M12" s="1025">
        <f t="shared" si="8"/>
        <v>0</v>
      </c>
      <c r="N12" s="1086">
        <f>'[8]FY2012-13 Initial'!$K13</f>
        <v>3431</v>
      </c>
      <c r="O12" s="1026">
        <f t="shared" si="9"/>
        <v>0</v>
      </c>
      <c r="P12" s="1154">
        <f t="shared" si="10"/>
        <v>0</v>
      </c>
      <c r="Q12" s="1026">
        <f t="shared" si="11"/>
        <v>0</v>
      </c>
      <c r="R12" s="1026">
        <v>0</v>
      </c>
      <c r="S12" s="1026">
        <f t="shared" si="12"/>
        <v>0</v>
      </c>
      <c r="T12" s="1026">
        <f t="shared" si="13"/>
        <v>0</v>
      </c>
      <c r="U12" s="1027">
        <f t="shared" si="14"/>
        <v>0</v>
      </c>
      <c r="V12" s="1027">
        <f t="shared" si="14"/>
        <v>0</v>
      </c>
    </row>
    <row r="13" spans="1:22">
      <c r="A13" s="1028">
        <v>7</v>
      </c>
      <c r="B13" s="1029" t="s">
        <v>108</v>
      </c>
      <c r="C13" s="1292">
        <f>'Table 8 2.1.12 MFP Funded'!S10</f>
        <v>0</v>
      </c>
      <c r="D13" s="1031">
        <f>'Table 3 Levels 1&amp;2'!AL14</f>
        <v>1543.5712353471597</v>
      </c>
      <c r="E13" s="1137">
        <f t="shared" si="2"/>
        <v>0</v>
      </c>
      <c r="F13" s="1137">
        <f>'Table 4 Level 3'!P12</f>
        <v>756.91999999999985</v>
      </c>
      <c r="G13" s="1137">
        <f t="shared" si="3"/>
        <v>0</v>
      </c>
      <c r="H13" s="1087">
        <f t="shared" si="4"/>
        <v>0</v>
      </c>
      <c r="I13" s="1147">
        <f t="shared" si="5"/>
        <v>0</v>
      </c>
      <c r="J13" s="1087">
        <f t="shared" si="6"/>
        <v>0</v>
      </c>
      <c r="K13" s="1087">
        <v>0</v>
      </c>
      <c r="L13" s="1087">
        <f t="shared" si="7"/>
        <v>0</v>
      </c>
      <c r="M13" s="1087">
        <f t="shared" si="8"/>
        <v>0</v>
      </c>
      <c r="N13" s="1086">
        <f>'[8]FY2012-13 Initial'!$K14</f>
        <v>12974</v>
      </c>
      <c r="O13" s="1088">
        <f t="shared" si="9"/>
        <v>0</v>
      </c>
      <c r="P13" s="1155">
        <f t="shared" si="10"/>
        <v>0</v>
      </c>
      <c r="Q13" s="1088">
        <f t="shared" si="11"/>
        <v>0</v>
      </c>
      <c r="R13" s="1088">
        <v>0</v>
      </c>
      <c r="S13" s="1088">
        <f t="shared" si="12"/>
        <v>0</v>
      </c>
      <c r="T13" s="1088">
        <f t="shared" si="13"/>
        <v>0</v>
      </c>
      <c r="U13" s="1089">
        <f t="shared" si="14"/>
        <v>0</v>
      </c>
      <c r="V13" s="1089">
        <f t="shared" si="14"/>
        <v>0</v>
      </c>
    </row>
    <row r="14" spans="1:22">
      <c r="A14" s="1028">
        <v>8</v>
      </c>
      <c r="B14" s="1029" t="s">
        <v>109</v>
      </c>
      <c r="C14" s="1292">
        <f>'Table 8 2.1.12 MFP Funded'!S11</f>
        <v>0</v>
      </c>
      <c r="D14" s="1031">
        <f>'Table 3 Levels 1&amp;2'!AL15</f>
        <v>4033.4866571910334</v>
      </c>
      <c r="E14" s="1137">
        <f t="shared" si="2"/>
        <v>0</v>
      </c>
      <c r="F14" s="1137">
        <f>'Table 4 Level 3'!P13</f>
        <v>725.76</v>
      </c>
      <c r="G14" s="1137">
        <f t="shared" si="3"/>
        <v>0</v>
      </c>
      <c r="H14" s="1087">
        <f t="shared" si="4"/>
        <v>0</v>
      </c>
      <c r="I14" s="1147">
        <f t="shared" si="5"/>
        <v>0</v>
      </c>
      <c r="J14" s="1087">
        <f t="shared" si="6"/>
        <v>0</v>
      </c>
      <c r="K14" s="1087">
        <v>0</v>
      </c>
      <c r="L14" s="1087">
        <f t="shared" si="7"/>
        <v>0</v>
      </c>
      <c r="M14" s="1087">
        <f t="shared" si="8"/>
        <v>0</v>
      </c>
      <c r="N14" s="1086">
        <f>'[8]FY2012-13 Initial'!$K15</f>
        <v>4234</v>
      </c>
      <c r="O14" s="1088">
        <f t="shared" si="9"/>
        <v>0</v>
      </c>
      <c r="P14" s="1155">
        <f t="shared" si="10"/>
        <v>0</v>
      </c>
      <c r="Q14" s="1088">
        <f t="shared" si="11"/>
        <v>0</v>
      </c>
      <c r="R14" s="1088">
        <v>0</v>
      </c>
      <c r="S14" s="1088">
        <f t="shared" si="12"/>
        <v>0</v>
      </c>
      <c r="T14" s="1088">
        <f t="shared" si="13"/>
        <v>0</v>
      </c>
      <c r="U14" s="1089">
        <f t="shared" si="14"/>
        <v>0</v>
      </c>
      <c r="V14" s="1089">
        <f t="shared" si="14"/>
        <v>0</v>
      </c>
    </row>
    <row r="15" spans="1:22">
      <c r="A15" s="1028">
        <v>9</v>
      </c>
      <c r="B15" s="1029" t="s">
        <v>110</v>
      </c>
      <c r="C15" s="1292">
        <f>'Table 8 2.1.12 MFP Funded'!S12</f>
        <v>0</v>
      </c>
      <c r="D15" s="1031">
        <f>'Table 3 Levels 1&amp;2'!AL16</f>
        <v>4268.3217271902904</v>
      </c>
      <c r="E15" s="1137">
        <f t="shared" si="2"/>
        <v>0</v>
      </c>
      <c r="F15" s="1137">
        <f>'Table 4 Level 3'!P14</f>
        <v>744.76</v>
      </c>
      <c r="G15" s="1137">
        <f t="shared" si="3"/>
        <v>0</v>
      </c>
      <c r="H15" s="1087">
        <f t="shared" si="4"/>
        <v>0</v>
      </c>
      <c r="I15" s="1147">
        <f t="shared" si="5"/>
        <v>0</v>
      </c>
      <c r="J15" s="1087">
        <f t="shared" si="6"/>
        <v>0</v>
      </c>
      <c r="K15" s="1087">
        <v>0</v>
      </c>
      <c r="L15" s="1087">
        <f t="shared" si="7"/>
        <v>0</v>
      </c>
      <c r="M15" s="1087">
        <f t="shared" si="8"/>
        <v>0</v>
      </c>
      <c r="N15" s="1086">
        <f>'[8]FY2012-13 Initial'!$K16</f>
        <v>4539</v>
      </c>
      <c r="O15" s="1088">
        <f t="shared" si="9"/>
        <v>0</v>
      </c>
      <c r="P15" s="1155">
        <f t="shared" si="10"/>
        <v>0</v>
      </c>
      <c r="Q15" s="1088">
        <f t="shared" si="11"/>
        <v>0</v>
      </c>
      <c r="R15" s="1088">
        <v>0</v>
      </c>
      <c r="S15" s="1088">
        <f t="shared" si="12"/>
        <v>0</v>
      </c>
      <c r="T15" s="1088">
        <f t="shared" si="13"/>
        <v>0</v>
      </c>
      <c r="U15" s="1089">
        <f t="shared" si="14"/>
        <v>0</v>
      </c>
      <c r="V15" s="1089">
        <f t="shared" si="14"/>
        <v>0</v>
      </c>
    </row>
    <row r="16" spans="1:22">
      <c r="A16" s="1032">
        <v>10</v>
      </c>
      <c r="B16" s="1033" t="s">
        <v>111</v>
      </c>
      <c r="C16" s="1293">
        <f>'Table 8 2.1.12 MFP Funded'!S13</f>
        <v>0</v>
      </c>
      <c r="D16" s="1035">
        <f>'Table 3 Levels 1&amp;2'!AL17</f>
        <v>4300.0681374076885</v>
      </c>
      <c r="E16" s="1138">
        <f t="shared" si="2"/>
        <v>0</v>
      </c>
      <c r="F16" s="1138">
        <f>'Table 4 Level 3'!P15</f>
        <v>608.04000000000008</v>
      </c>
      <c r="G16" s="1138">
        <f t="shared" si="3"/>
        <v>0</v>
      </c>
      <c r="H16" s="1090">
        <f t="shared" si="4"/>
        <v>0</v>
      </c>
      <c r="I16" s="1148">
        <f t="shared" si="5"/>
        <v>0</v>
      </c>
      <c r="J16" s="1090">
        <f t="shared" si="6"/>
        <v>0</v>
      </c>
      <c r="K16" s="1090">
        <v>0</v>
      </c>
      <c r="L16" s="1090">
        <f t="shared" si="7"/>
        <v>0</v>
      </c>
      <c r="M16" s="1090">
        <f t="shared" si="8"/>
        <v>0</v>
      </c>
      <c r="N16" s="1091">
        <f>'[8]FY2012-13 Initial'!$K17</f>
        <v>4312</v>
      </c>
      <c r="O16" s="1092">
        <f t="shared" si="9"/>
        <v>0</v>
      </c>
      <c r="P16" s="1156">
        <f t="shared" si="10"/>
        <v>0</v>
      </c>
      <c r="Q16" s="1092">
        <f t="shared" si="11"/>
        <v>0</v>
      </c>
      <c r="R16" s="1092">
        <v>0</v>
      </c>
      <c r="S16" s="1092">
        <f t="shared" si="12"/>
        <v>0</v>
      </c>
      <c r="T16" s="1092">
        <f t="shared" si="13"/>
        <v>0</v>
      </c>
      <c r="U16" s="1093">
        <f t="shared" si="14"/>
        <v>0</v>
      </c>
      <c r="V16" s="1093">
        <f t="shared" si="14"/>
        <v>0</v>
      </c>
    </row>
    <row r="17" spans="1:22">
      <c r="A17" s="1021">
        <v>11</v>
      </c>
      <c r="B17" s="1022" t="s">
        <v>112</v>
      </c>
      <c r="C17" s="1294">
        <f>'Table 8 2.1.12 MFP Funded'!S14</f>
        <v>0</v>
      </c>
      <c r="D17" s="1024">
        <f>'Table 3 Levels 1&amp;2'!AL18</f>
        <v>6740.2393955908683</v>
      </c>
      <c r="E17" s="1136">
        <f t="shared" si="2"/>
        <v>0</v>
      </c>
      <c r="F17" s="1136">
        <f>'Table 4 Level 3'!P16</f>
        <v>706.55</v>
      </c>
      <c r="G17" s="1136">
        <f t="shared" si="3"/>
        <v>0</v>
      </c>
      <c r="H17" s="1025">
        <f t="shared" si="4"/>
        <v>0</v>
      </c>
      <c r="I17" s="1146">
        <f t="shared" si="5"/>
        <v>0</v>
      </c>
      <c r="J17" s="1025">
        <f t="shared" si="6"/>
        <v>0</v>
      </c>
      <c r="K17" s="1025">
        <v>0</v>
      </c>
      <c r="L17" s="1025">
        <f t="shared" si="7"/>
        <v>0</v>
      </c>
      <c r="M17" s="1025">
        <f t="shared" si="8"/>
        <v>0</v>
      </c>
      <c r="N17" s="1086">
        <f>'[8]FY2012-13 Initial'!$K18</f>
        <v>3004</v>
      </c>
      <c r="O17" s="1026">
        <f t="shared" si="9"/>
        <v>0</v>
      </c>
      <c r="P17" s="1154">
        <f t="shared" si="10"/>
        <v>0</v>
      </c>
      <c r="Q17" s="1026">
        <f t="shared" si="11"/>
        <v>0</v>
      </c>
      <c r="R17" s="1026">
        <v>0</v>
      </c>
      <c r="S17" s="1026">
        <f t="shared" si="12"/>
        <v>0</v>
      </c>
      <c r="T17" s="1026">
        <f t="shared" si="13"/>
        <v>0</v>
      </c>
      <c r="U17" s="1027">
        <f t="shared" si="14"/>
        <v>0</v>
      </c>
      <c r="V17" s="1027">
        <f t="shared" si="14"/>
        <v>0</v>
      </c>
    </row>
    <row r="18" spans="1:22">
      <c r="A18" s="1028">
        <v>12</v>
      </c>
      <c r="B18" s="1029" t="s">
        <v>113</v>
      </c>
      <c r="C18" s="1292">
        <f>'Table 8 2.1.12 MFP Funded'!S15</f>
        <v>0</v>
      </c>
      <c r="D18" s="1031">
        <f>'Table 3 Levels 1&amp;2'!AL19</f>
        <v>1781.2877551020408</v>
      </c>
      <c r="E18" s="1137">
        <f t="shared" si="2"/>
        <v>0</v>
      </c>
      <c r="F18" s="1137">
        <f>'Table 4 Level 3'!P17</f>
        <v>1063.31</v>
      </c>
      <c r="G18" s="1137">
        <f t="shared" si="3"/>
        <v>0</v>
      </c>
      <c r="H18" s="1087">
        <f t="shared" si="4"/>
        <v>0</v>
      </c>
      <c r="I18" s="1147">
        <f t="shared" si="5"/>
        <v>0</v>
      </c>
      <c r="J18" s="1087">
        <f t="shared" si="6"/>
        <v>0</v>
      </c>
      <c r="K18" s="1087">
        <v>0</v>
      </c>
      <c r="L18" s="1087">
        <f t="shared" si="7"/>
        <v>0</v>
      </c>
      <c r="M18" s="1087">
        <f t="shared" si="8"/>
        <v>0</v>
      </c>
      <c r="N18" s="1086">
        <f>'[8]FY2012-13 Initial'!$K19</f>
        <v>12439</v>
      </c>
      <c r="O18" s="1088">
        <f t="shared" si="9"/>
        <v>0</v>
      </c>
      <c r="P18" s="1155">
        <f t="shared" si="10"/>
        <v>0</v>
      </c>
      <c r="Q18" s="1088">
        <f t="shared" si="11"/>
        <v>0</v>
      </c>
      <c r="R18" s="1088">
        <v>0</v>
      </c>
      <c r="S18" s="1088">
        <f t="shared" si="12"/>
        <v>0</v>
      </c>
      <c r="T18" s="1088">
        <f t="shared" si="13"/>
        <v>0</v>
      </c>
      <c r="U18" s="1089">
        <f t="shared" si="14"/>
        <v>0</v>
      </c>
      <c r="V18" s="1089">
        <f t="shared" si="14"/>
        <v>0</v>
      </c>
    </row>
    <row r="19" spans="1:22">
      <c r="A19" s="1028">
        <v>13</v>
      </c>
      <c r="B19" s="1029" t="s">
        <v>114</v>
      </c>
      <c r="C19" s="1292">
        <f>'Table 8 2.1.12 MFP Funded'!S16</f>
        <v>0</v>
      </c>
      <c r="D19" s="1031">
        <f>'Table 3 Levels 1&amp;2'!AL20</f>
        <v>6125.5331903699798</v>
      </c>
      <c r="E19" s="1137">
        <f t="shared" si="2"/>
        <v>0</v>
      </c>
      <c r="F19" s="1137">
        <f>'Table 4 Level 3'!P18</f>
        <v>749.43000000000006</v>
      </c>
      <c r="G19" s="1137">
        <f t="shared" si="3"/>
        <v>0</v>
      </c>
      <c r="H19" s="1087">
        <f t="shared" si="4"/>
        <v>0</v>
      </c>
      <c r="I19" s="1147">
        <f t="shared" si="5"/>
        <v>0</v>
      </c>
      <c r="J19" s="1087">
        <f t="shared" si="6"/>
        <v>0</v>
      </c>
      <c r="K19" s="1087">
        <v>0</v>
      </c>
      <c r="L19" s="1087">
        <f t="shared" si="7"/>
        <v>0</v>
      </c>
      <c r="M19" s="1087">
        <f t="shared" si="8"/>
        <v>0</v>
      </c>
      <c r="N19" s="1086">
        <f>'[8]FY2012-13 Initial'!$K20</f>
        <v>2518</v>
      </c>
      <c r="O19" s="1088">
        <f t="shared" si="9"/>
        <v>0</v>
      </c>
      <c r="P19" s="1155">
        <f t="shared" si="10"/>
        <v>0</v>
      </c>
      <c r="Q19" s="1088">
        <f t="shared" si="11"/>
        <v>0</v>
      </c>
      <c r="R19" s="1088">
        <v>0</v>
      </c>
      <c r="S19" s="1088">
        <f t="shared" si="12"/>
        <v>0</v>
      </c>
      <c r="T19" s="1088">
        <f t="shared" si="13"/>
        <v>0</v>
      </c>
      <c r="U19" s="1089">
        <f t="shared" si="14"/>
        <v>0</v>
      </c>
      <c r="V19" s="1089">
        <f t="shared" si="14"/>
        <v>0</v>
      </c>
    </row>
    <row r="20" spans="1:22">
      <c r="A20" s="1028">
        <v>14</v>
      </c>
      <c r="B20" s="1029" t="s">
        <v>115</v>
      </c>
      <c r="C20" s="1292">
        <f>'Table 8 2.1.12 MFP Funded'!S17</f>
        <v>3</v>
      </c>
      <c r="D20" s="1031">
        <f>'Table 3 Levels 1&amp;2'!AL21</f>
        <v>5278.0936993421856</v>
      </c>
      <c r="E20" s="1137">
        <f t="shared" si="2"/>
        <v>15834.281098026557</v>
      </c>
      <c r="F20" s="1137">
        <f>'Table 4 Level 3'!P19</f>
        <v>809.9799999999999</v>
      </c>
      <c r="G20" s="1137">
        <f t="shared" si="3"/>
        <v>2429.9399999999996</v>
      </c>
      <c r="H20" s="1087">
        <f t="shared" si="4"/>
        <v>18264.221098026555</v>
      </c>
      <c r="I20" s="1147">
        <f t="shared" si="5"/>
        <v>-45.66055274506639</v>
      </c>
      <c r="J20" s="1087">
        <f t="shared" si="6"/>
        <v>18218.560545281489</v>
      </c>
      <c r="K20" s="1087">
        <v>0</v>
      </c>
      <c r="L20" s="1087">
        <f t="shared" si="7"/>
        <v>18218.560545281489</v>
      </c>
      <c r="M20" s="1087">
        <f t="shared" si="8"/>
        <v>1518.2133787734574</v>
      </c>
      <c r="N20" s="1086">
        <f>'[8]FY2012-13 Initial'!$K21</f>
        <v>3605</v>
      </c>
      <c r="O20" s="1088">
        <f t="shared" si="9"/>
        <v>10815</v>
      </c>
      <c r="P20" s="1155">
        <f t="shared" si="10"/>
        <v>-27.037500000000001</v>
      </c>
      <c r="Q20" s="1088">
        <f t="shared" si="11"/>
        <v>10787.9625</v>
      </c>
      <c r="R20" s="1088">
        <v>0</v>
      </c>
      <c r="S20" s="1088">
        <f t="shared" si="12"/>
        <v>10787.9625</v>
      </c>
      <c r="T20" s="1088">
        <f t="shared" si="13"/>
        <v>898.99687499999993</v>
      </c>
      <c r="U20" s="1089">
        <f t="shared" si="14"/>
        <v>29006.523045281487</v>
      </c>
      <c r="V20" s="1089">
        <f t="shared" si="14"/>
        <v>2417.2102537734572</v>
      </c>
    </row>
    <row r="21" spans="1:22">
      <c r="A21" s="1032">
        <v>15</v>
      </c>
      <c r="B21" s="1033" t="s">
        <v>116</v>
      </c>
      <c r="C21" s="1293">
        <f>'Table 8 2.1.12 MFP Funded'!S18</f>
        <v>0</v>
      </c>
      <c r="D21" s="1035">
        <f>'Table 3 Levels 1&amp;2'!AL22</f>
        <v>5428.9842692179664</v>
      </c>
      <c r="E21" s="1138">
        <f t="shared" si="2"/>
        <v>0</v>
      </c>
      <c r="F21" s="1138">
        <f>'Table 4 Level 3'!P20</f>
        <v>553.79999999999995</v>
      </c>
      <c r="G21" s="1138">
        <f t="shared" si="3"/>
        <v>0</v>
      </c>
      <c r="H21" s="1090">
        <f t="shared" si="4"/>
        <v>0</v>
      </c>
      <c r="I21" s="1148">
        <f t="shared" si="5"/>
        <v>0</v>
      </c>
      <c r="J21" s="1090">
        <f t="shared" si="6"/>
        <v>0</v>
      </c>
      <c r="K21" s="1090">
        <v>0</v>
      </c>
      <c r="L21" s="1090">
        <f t="shared" si="7"/>
        <v>0</v>
      </c>
      <c r="M21" s="1090">
        <f t="shared" si="8"/>
        <v>0</v>
      </c>
      <c r="N21" s="1091">
        <f>'[8]FY2012-13 Initial'!$K22</f>
        <v>2614</v>
      </c>
      <c r="O21" s="1092">
        <f t="shared" si="9"/>
        <v>0</v>
      </c>
      <c r="P21" s="1156">
        <f t="shared" si="10"/>
        <v>0</v>
      </c>
      <c r="Q21" s="1092">
        <f t="shared" si="11"/>
        <v>0</v>
      </c>
      <c r="R21" s="1092">
        <v>0</v>
      </c>
      <c r="S21" s="1092">
        <f t="shared" si="12"/>
        <v>0</v>
      </c>
      <c r="T21" s="1092">
        <f t="shared" si="13"/>
        <v>0</v>
      </c>
      <c r="U21" s="1093">
        <f t="shared" si="14"/>
        <v>0</v>
      </c>
      <c r="V21" s="1093">
        <f t="shared" si="14"/>
        <v>0</v>
      </c>
    </row>
    <row r="22" spans="1:22">
      <c r="A22" s="1021">
        <v>16</v>
      </c>
      <c r="B22" s="1022" t="s">
        <v>117</v>
      </c>
      <c r="C22" s="1294">
        <f>'Table 8 2.1.12 MFP Funded'!S19</f>
        <v>0</v>
      </c>
      <c r="D22" s="1024">
        <f>'Table 3 Levels 1&amp;2'!AL23</f>
        <v>1501.2470754125757</v>
      </c>
      <c r="E22" s="1136">
        <f t="shared" si="2"/>
        <v>0</v>
      </c>
      <c r="F22" s="1136">
        <f>'Table 4 Level 3'!P21</f>
        <v>686.73</v>
      </c>
      <c r="G22" s="1136">
        <f t="shared" si="3"/>
        <v>0</v>
      </c>
      <c r="H22" s="1025">
        <f t="shared" si="4"/>
        <v>0</v>
      </c>
      <c r="I22" s="1146">
        <f t="shared" si="5"/>
        <v>0</v>
      </c>
      <c r="J22" s="1025">
        <f t="shared" si="6"/>
        <v>0</v>
      </c>
      <c r="K22" s="1025">
        <v>0</v>
      </c>
      <c r="L22" s="1025">
        <f t="shared" si="7"/>
        <v>0</v>
      </c>
      <c r="M22" s="1025">
        <f t="shared" si="8"/>
        <v>0</v>
      </c>
      <c r="N22" s="1086">
        <f>'[8]FY2012-13 Initial'!$K23</f>
        <v>16006</v>
      </c>
      <c r="O22" s="1026">
        <f t="shared" si="9"/>
        <v>0</v>
      </c>
      <c r="P22" s="1154">
        <f t="shared" si="10"/>
        <v>0</v>
      </c>
      <c r="Q22" s="1026">
        <f t="shared" si="11"/>
        <v>0</v>
      </c>
      <c r="R22" s="1026">
        <v>0</v>
      </c>
      <c r="S22" s="1026">
        <f t="shared" si="12"/>
        <v>0</v>
      </c>
      <c r="T22" s="1026">
        <f t="shared" si="13"/>
        <v>0</v>
      </c>
      <c r="U22" s="1027">
        <f t="shared" si="14"/>
        <v>0</v>
      </c>
      <c r="V22" s="1027">
        <f t="shared" si="14"/>
        <v>0</v>
      </c>
    </row>
    <row r="23" spans="1:22">
      <c r="A23" s="1028">
        <v>17</v>
      </c>
      <c r="B23" s="1029" t="s">
        <v>118</v>
      </c>
      <c r="C23" s="1292">
        <f>'Table 8 2.1.12 MFP Funded'!S20</f>
        <v>0</v>
      </c>
      <c r="D23" s="1031">
        <f>'Table 3 Levels 1&amp;2'!AL24</f>
        <v>3386.5716964570697</v>
      </c>
      <c r="E23" s="1137">
        <f t="shared" si="2"/>
        <v>0</v>
      </c>
      <c r="F23" s="1137">
        <f>'Table 5B2_RSD_LA'!F7</f>
        <v>801.47762416806802</v>
      </c>
      <c r="G23" s="1137">
        <f t="shared" si="3"/>
        <v>0</v>
      </c>
      <c r="H23" s="1087">
        <f t="shared" si="4"/>
        <v>0</v>
      </c>
      <c r="I23" s="1147">
        <f t="shared" si="5"/>
        <v>0</v>
      </c>
      <c r="J23" s="1087">
        <f t="shared" si="6"/>
        <v>0</v>
      </c>
      <c r="K23" s="1087">
        <v>0</v>
      </c>
      <c r="L23" s="1087">
        <f t="shared" si="7"/>
        <v>0</v>
      </c>
      <c r="M23" s="1087">
        <f t="shared" si="8"/>
        <v>0</v>
      </c>
      <c r="N23" s="1086">
        <f>'[8]FY2012-13 Initial'!$K24</f>
        <v>6493</v>
      </c>
      <c r="O23" s="1088">
        <f t="shared" si="9"/>
        <v>0</v>
      </c>
      <c r="P23" s="1155">
        <f t="shared" si="10"/>
        <v>0</v>
      </c>
      <c r="Q23" s="1088">
        <f t="shared" si="11"/>
        <v>0</v>
      </c>
      <c r="R23" s="1088">
        <v>0</v>
      </c>
      <c r="S23" s="1088">
        <f t="shared" si="12"/>
        <v>0</v>
      </c>
      <c r="T23" s="1088">
        <f t="shared" si="13"/>
        <v>0</v>
      </c>
      <c r="U23" s="1089">
        <f t="shared" si="14"/>
        <v>0</v>
      </c>
      <c r="V23" s="1089">
        <f t="shared" si="14"/>
        <v>0</v>
      </c>
    </row>
    <row r="24" spans="1:22">
      <c r="A24" s="1028">
        <v>18</v>
      </c>
      <c r="B24" s="1029" t="s">
        <v>119</v>
      </c>
      <c r="C24" s="1292">
        <f>'Table 8 2.1.12 MFP Funded'!S21</f>
        <v>0</v>
      </c>
      <c r="D24" s="1031">
        <f>'Table 3 Levels 1&amp;2'!AL25</f>
        <v>5798.0598063231446</v>
      </c>
      <c r="E24" s="1137">
        <f t="shared" si="2"/>
        <v>0</v>
      </c>
      <c r="F24" s="1137">
        <f>'Table 4 Level 3'!P23</f>
        <v>845.94999999999993</v>
      </c>
      <c r="G24" s="1137">
        <f t="shared" si="3"/>
        <v>0</v>
      </c>
      <c r="H24" s="1087">
        <f t="shared" si="4"/>
        <v>0</v>
      </c>
      <c r="I24" s="1147">
        <f t="shared" si="5"/>
        <v>0</v>
      </c>
      <c r="J24" s="1087">
        <f t="shared" si="6"/>
        <v>0</v>
      </c>
      <c r="K24" s="1087">
        <v>0</v>
      </c>
      <c r="L24" s="1087">
        <f t="shared" si="7"/>
        <v>0</v>
      </c>
      <c r="M24" s="1087">
        <f t="shared" si="8"/>
        <v>0</v>
      </c>
      <c r="N24" s="1086">
        <f>'[8]FY2012-13 Initial'!$K25</f>
        <v>2088</v>
      </c>
      <c r="O24" s="1088">
        <f t="shared" si="9"/>
        <v>0</v>
      </c>
      <c r="P24" s="1155">
        <f t="shared" si="10"/>
        <v>0</v>
      </c>
      <c r="Q24" s="1088">
        <f t="shared" si="11"/>
        <v>0</v>
      </c>
      <c r="R24" s="1088">
        <v>0</v>
      </c>
      <c r="S24" s="1088">
        <f t="shared" si="12"/>
        <v>0</v>
      </c>
      <c r="T24" s="1088">
        <f t="shared" si="13"/>
        <v>0</v>
      </c>
      <c r="U24" s="1089">
        <f t="shared" si="14"/>
        <v>0</v>
      </c>
      <c r="V24" s="1089">
        <f t="shared" si="14"/>
        <v>0</v>
      </c>
    </row>
    <row r="25" spans="1:22">
      <c r="A25" s="1028">
        <v>19</v>
      </c>
      <c r="B25" s="1029" t="s">
        <v>120</v>
      </c>
      <c r="C25" s="1292">
        <f>'Table 8 2.1.12 MFP Funded'!S22</f>
        <v>0</v>
      </c>
      <c r="D25" s="1031">
        <f>'Table 3 Levels 1&amp;2'!AL26</f>
        <v>5219.1012787873206</v>
      </c>
      <c r="E25" s="1137">
        <f t="shared" si="2"/>
        <v>0</v>
      </c>
      <c r="F25" s="1137">
        <f>'Table 4 Level 3'!P24</f>
        <v>905.43</v>
      </c>
      <c r="G25" s="1137">
        <f t="shared" si="3"/>
        <v>0</v>
      </c>
      <c r="H25" s="1087">
        <f t="shared" si="4"/>
        <v>0</v>
      </c>
      <c r="I25" s="1147">
        <f t="shared" si="5"/>
        <v>0</v>
      </c>
      <c r="J25" s="1087">
        <f t="shared" si="6"/>
        <v>0</v>
      </c>
      <c r="K25" s="1087">
        <v>0</v>
      </c>
      <c r="L25" s="1087">
        <f t="shared" si="7"/>
        <v>0</v>
      </c>
      <c r="M25" s="1087">
        <f t="shared" si="8"/>
        <v>0</v>
      </c>
      <c r="N25" s="1086">
        <f>'[8]FY2012-13 Initial'!$K26</f>
        <v>2275</v>
      </c>
      <c r="O25" s="1088">
        <f t="shared" si="9"/>
        <v>0</v>
      </c>
      <c r="P25" s="1155">
        <f t="shared" si="10"/>
        <v>0</v>
      </c>
      <c r="Q25" s="1088">
        <f t="shared" si="11"/>
        <v>0</v>
      </c>
      <c r="R25" s="1088">
        <v>0</v>
      </c>
      <c r="S25" s="1088">
        <f t="shared" si="12"/>
        <v>0</v>
      </c>
      <c r="T25" s="1088">
        <f t="shared" si="13"/>
        <v>0</v>
      </c>
      <c r="U25" s="1089">
        <f t="shared" si="14"/>
        <v>0</v>
      </c>
      <c r="V25" s="1089">
        <f t="shared" si="14"/>
        <v>0</v>
      </c>
    </row>
    <row r="26" spans="1:22">
      <c r="A26" s="1032">
        <v>20</v>
      </c>
      <c r="B26" s="1033" t="s">
        <v>121</v>
      </c>
      <c r="C26" s="1293">
        <f>'Table 8 2.1.12 MFP Funded'!S23</f>
        <v>0</v>
      </c>
      <c r="D26" s="1035">
        <f>'Table 3 Levels 1&amp;2'!AL27</f>
        <v>5441.7799844976798</v>
      </c>
      <c r="E26" s="1138">
        <f t="shared" si="2"/>
        <v>0</v>
      </c>
      <c r="F26" s="1138">
        <f>'Table 4 Level 3'!P25</f>
        <v>586.16999999999996</v>
      </c>
      <c r="G26" s="1138">
        <f t="shared" si="3"/>
        <v>0</v>
      </c>
      <c r="H26" s="1090">
        <f t="shared" si="4"/>
        <v>0</v>
      </c>
      <c r="I26" s="1148">
        <f t="shared" si="5"/>
        <v>0</v>
      </c>
      <c r="J26" s="1090">
        <f t="shared" si="6"/>
        <v>0</v>
      </c>
      <c r="K26" s="1090">
        <v>0</v>
      </c>
      <c r="L26" s="1090">
        <f t="shared" si="7"/>
        <v>0</v>
      </c>
      <c r="M26" s="1090">
        <f t="shared" si="8"/>
        <v>0</v>
      </c>
      <c r="N26" s="1091">
        <f>'[8]FY2012-13 Initial'!$K27</f>
        <v>2308</v>
      </c>
      <c r="O26" s="1092">
        <f t="shared" si="9"/>
        <v>0</v>
      </c>
      <c r="P26" s="1156">
        <f t="shared" si="10"/>
        <v>0</v>
      </c>
      <c r="Q26" s="1092">
        <f t="shared" si="11"/>
        <v>0</v>
      </c>
      <c r="R26" s="1092">
        <v>0</v>
      </c>
      <c r="S26" s="1092">
        <f t="shared" si="12"/>
        <v>0</v>
      </c>
      <c r="T26" s="1092">
        <f t="shared" si="13"/>
        <v>0</v>
      </c>
      <c r="U26" s="1093">
        <f t="shared" si="14"/>
        <v>0</v>
      </c>
      <c r="V26" s="1093">
        <f t="shared" si="14"/>
        <v>0</v>
      </c>
    </row>
    <row r="27" spans="1:22">
      <c r="A27" s="1021">
        <v>21</v>
      </c>
      <c r="B27" s="1022" t="s">
        <v>122</v>
      </c>
      <c r="C27" s="1294">
        <f>'Table 8 2.1.12 MFP Funded'!S24</f>
        <v>0</v>
      </c>
      <c r="D27" s="1024">
        <f>'Table 3 Levels 1&amp;2'!AL28</f>
        <v>5718.7800910915075</v>
      </c>
      <c r="E27" s="1136">
        <f t="shared" si="2"/>
        <v>0</v>
      </c>
      <c r="F27" s="1136">
        <f>'Table 4 Level 3'!P26</f>
        <v>610.35</v>
      </c>
      <c r="G27" s="1136">
        <f t="shared" si="3"/>
        <v>0</v>
      </c>
      <c r="H27" s="1025">
        <f t="shared" si="4"/>
        <v>0</v>
      </c>
      <c r="I27" s="1146">
        <f t="shared" si="5"/>
        <v>0</v>
      </c>
      <c r="J27" s="1025">
        <f t="shared" si="6"/>
        <v>0</v>
      </c>
      <c r="K27" s="1025">
        <v>0</v>
      </c>
      <c r="L27" s="1025">
        <f t="shared" si="7"/>
        <v>0</v>
      </c>
      <c r="M27" s="1025">
        <f t="shared" si="8"/>
        <v>0</v>
      </c>
      <c r="N27" s="1086">
        <f>'[8]FY2012-13 Initial'!$K28</f>
        <v>2245</v>
      </c>
      <c r="O27" s="1026">
        <f t="shared" si="9"/>
        <v>0</v>
      </c>
      <c r="P27" s="1154">
        <f t="shared" si="10"/>
        <v>0</v>
      </c>
      <c r="Q27" s="1026">
        <f t="shared" si="11"/>
        <v>0</v>
      </c>
      <c r="R27" s="1026">
        <v>0</v>
      </c>
      <c r="S27" s="1026">
        <f t="shared" si="12"/>
        <v>0</v>
      </c>
      <c r="T27" s="1026">
        <f t="shared" si="13"/>
        <v>0</v>
      </c>
      <c r="U27" s="1027">
        <f t="shared" si="14"/>
        <v>0</v>
      </c>
      <c r="V27" s="1027">
        <f t="shared" si="14"/>
        <v>0</v>
      </c>
    </row>
    <row r="28" spans="1:22">
      <c r="A28" s="1028">
        <v>22</v>
      </c>
      <c r="B28" s="1029" t="s">
        <v>123</v>
      </c>
      <c r="C28" s="1292">
        <f>'Table 8 2.1.12 MFP Funded'!S25</f>
        <v>0</v>
      </c>
      <c r="D28" s="1031">
        <f>'Table 3 Levels 1&amp;2'!AL29</f>
        <v>6198.830003500153</v>
      </c>
      <c r="E28" s="1137">
        <f t="shared" si="2"/>
        <v>0</v>
      </c>
      <c r="F28" s="1137">
        <f>'Table 4 Level 3'!P27</f>
        <v>496.36</v>
      </c>
      <c r="G28" s="1137">
        <f t="shared" si="3"/>
        <v>0</v>
      </c>
      <c r="H28" s="1087">
        <f t="shared" si="4"/>
        <v>0</v>
      </c>
      <c r="I28" s="1147">
        <f t="shared" si="5"/>
        <v>0</v>
      </c>
      <c r="J28" s="1087">
        <f t="shared" si="6"/>
        <v>0</v>
      </c>
      <c r="K28" s="1087">
        <v>0</v>
      </c>
      <c r="L28" s="1087">
        <f t="shared" si="7"/>
        <v>0</v>
      </c>
      <c r="M28" s="1087">
        <f t="shared" si="8"/>
        <v>0</v>
      </c>
      <c r="N28" s="1086">
        <f>'[8]FY2012-13 Initial'!$K29</f>
        <v>1445</v>
      </c>
      <c r="O28" s="1088">
        <f t="shared" si="9"/>
        <v>0</v>
      </c>
      <c r="P28" s="1155">
        <f t="shared" si="10"/>
        <v>0</v>
      </c>
      <c r="Q28" s="1088">
        <f t="shared" si="11"/>
        <v>0</v>
      </c>
      <c r="R28" s="1088">
        <v>0</v>
      </c>
      <c r="S28" s="1088">
        <f t="shared" si="12"/>
        <v>0</v>
      </c>
      <c r="T28" s="1088">
        <f t="shared" si="13"/>
        <v>0</v>
      </c>
      <c r="U28" s="1089">
        <f t="shared" si="14"/>
        <v>0</v>
      </c>
      <c r="V28" s="1089">
        <f t="shared" si="14"/>
        <v>0</v>
      </c>
    </row>
    <row r="29" spans="1:22">
      <c r="A29" s="1028">
        <v>23</v>
      </c>
      <c r="B29" s="1029" t="s">
        <v>124</v>
      </c>
      <c r="C29" s="1292">
        <f>'Table 8 2.1.12 MFP Funded'!S26</f>
        <v>0</v>
      </c>
      <c r="D29" s="1031">
        <f>'Table 3 Levels 1&amp;2'!AL30</f>
        <v>4809.0299298140199</v>
      </c>
      <c r="E29" s="1137">
        <f t="shared" si="2"/>
        <v>0</v>
      </c>
      <c r="F29" s="1137">
        <f>'Table 4 Level 3'!P28</f>
        <v>688.58</v>
      </c>
      <c r="G29" s="1137">
        <f t="shared" si="3"/>
        <v>0</v>
      </c>
      <c r="H29" s="1087">
        <f t="shared" si="4"/>
        <v>0</v>
      </c>
      <c r="I29" s="1147">
        <f t="shared" si="5"/>
        <v>0</v>
      </c>
      <c r="J29" s="1087">
        <f t="shared" si="6"/>
        <v>0</v>
      </c>
      <c r="K29" s="1087">
        <v>0</v>
      </c>
      <c r="L29" s="1087">
        <f t="shared" si="7"/>
        <v>0</v>
      </c>
      <c r="M29" s="1087">
        <f t="shared" si="8"/>
        <v>0</v>
      </c>
      <c r="N29" s="1086">
        <f>'[8]FY2012-13 Initial'!$K30</f>
        <v>3295</v>
      </c>
      <c r="O29" s="1088">
        <f t="shared" si="9"/>
        <v>0</v>
      </c>
      <c r="P29" s="1155">
        <f t="shared" si="10"/>
        <v>0</v>
      </c>
      <c r="Q29" s="1088">
        <f t="shared" si="11"/>
        <v>0</v>
      </c>
      <c r="R29" s="1088">
        <v>0</v>
      </c>
      <c r="S29" s="1088">
        <f t="shared" si="12"/>
        <v>0</v>
      </c>
      <c r="T29" s="1088">
        <f t="shared" si="13"/>
        <v>0</v>
      </c>
      <c r="U29" s="1089">
        <f t="shared" si="14"/>
        <v>0</v>
      </c>
      <c r="V29" s="1089">
        <f t="shared" si="14"/>
        <v>0</v>
      </c>
    </row>
    <row r="30" spans="1:22">
      <c r="A30" s="1028">
        <v>24</v>
      </c>
      <c r="B30" s="1029" t="s">
        <v>125</v>
      </c>
      <c r="C30" s="1292">
        <f>'Table 8 2.1.12 MFP Funded'!S27</f>
        <v>0</v>
      </c>
      <c r="D30" s="1031">
        <f>'Table 3 Levels 1&amp;2'!AL31</f>
        <v>2649.7787452556372</v>
      </c>
      <c r="E30" s="1137">
        <f t="shared" si="2"/>
        <v>0</v>
      </c>
      <c r="F30" s="1137">
        <f>'Table 4 Level 3'!P29</f>
        <v>854.24999999999989</v>
      </c>
      <c r="G30" s="1137">
        <f t="shared" si="3"/>
        <v>0</v>
      </c>
      <c r="H30" s="1087">
        <f t="shared" si="4"/>
        <v>0</v>
      </c>
      <c r="I30" s="1147">
        <f t="shared" si="5"/>
        <v>0</v>
      </c>
      <c r="J30" s="1087">
        <f t="shared" si="6"/>
        <v>0</v>
      </c>
      <c r="K30" s="1087">
        <v>0</v>
      </c>
      <c r="L30" s="1087">
        <f t="shared" si="7"/>
        <v>0</v>
      </c>
      <c r="M30" s="1087">
        <f t="shared" si="8"/>
        <v>0</v>
      </c>
      <c r="N30" s="1086">
        <f>'[8]FY2012-13 Initial'!$K31</f>
        <v>8769</v>
      </c>
      <c r="O30" s="1088">
        <f t="shared" si="9"/>
        <v>0</v>
      </c>
      <c r="P30" s="1155">
        <f t="shared" si="10"/>
        <v>0</v>
      </c>
      <c r="Q30" s="1088">
        <f t="shared" si="11"/>
        <v>0</v>
      </c>
      <c r="R30" s="1088">
        <v>0</v>
      </c>
      <c r="S30" s="1088">
        <f t="shared" si="12"/>
        <v>0</v>
      </c>
      <c r="T30" s="1088">
        <f t="shared" si="13"/>
        <v>0</v>
      </c>
      <c r="U30" s="1089">
        <f t="shared" si="14"/>
        <v>0</v>
      </c>
      <c r="V30" s="1089">
        <f t="shared" si="14"/>
        <v>0</v>
      </c>
    </row>
    <row r="31" spans="1:22">
      <c r="A31" s="1032">
        <v>25</v>
      </c>
      <c r="B31" s="1033" t="s">
        <v>126</v>
      </c>
      <c r="C31" s="1293">
        <f>'Table 8 2.1.12 MFP Funded'!S28</f>
        <v>0</v>
      </c>
      <c r="D31" s="1035">
        <f>'Table 3 Levels 1&amp;2'!AL32</f>
        <v>3848.3923674564248</v>
      </c>
      <c r="E31" s="1138">
        <f t="shared" si="2"/>
        <v>0</v>
      </c>
      <c r="F31" s="1138">
        <f>'Table 4 Level 3'!P30</f>
        <v>653.73</v>
      </c>
      <c r="G31" s="1138">
        <f t="shared" si="3"/>
        <v>0</v>
      </c>
      <c r="H31" s="1090">
        <f t="shared" si="4"/>
        <v>0</v>
      </c>
      <c r="I31" s="1148">
        <f t="shared" si="5"/>
        <v>0</v>
      </c>
      <c r="J31" s="1090">
        <f t="shared" si="6"/>
        <v>0</v>
      </c>
      <c r="K31" s="1090">
        <v>0</v>
      </c>
      <c r="L31" s="1090">
        <f t="shared" si="7"/>
        <v>0</v>
      </c>
      <c r="M31" s="1090">
        <f t="shared" si="8"/>
        <v>0</v>
      </c>
      <c r="N31" s="1091">
        <f>'[8]FY2012-13 Initial'!$K32</f>
        <v>5187</v>
      </c>
      <c r="O31" s="1092">
        <f t="shared" si="9"/>
        <v>0</v>
      </c>
      <c r="P31" s="1156">
        <f t="shared" si="10"/>
        <v>0</v>
      </c>
      <c r="Q31" s="1092">
        <f t="shared" si="11"/>
        <v>0</v>
      </c>
      <c r="R31" s="1092">
        <v>0</v>
      </c>
      <c r="S31" s="1092">
        <f t="shared" si="12"/>
        <v>0</v>
      </c>
      <c r="T31" s="1092">
        <f t="shared" si="13"/>
        <v>0</v>
      </c>
      <c r="U31" s="1093">
        <f t="shared" si="14"/>
        <v>0</v>
      </c>
      <c r="V31" s="1093">
        <f t="shared" si="14"/>
        <v>0</v>
      </c>
    </row>
    <row r="32" spans="1:22">
      <c r="A32" s="1021">
        <v>26</v>
      </c>
      <c r="B32" s="1022" t="s">
        <v>127</v>
      </c>
      <c r="C32" s="1294">
        <f>'Table 8 2.1.12 MFP Funded'!S29</f>
        <v>0</v>
      </c>
      <c r="D32" s="1024">
        <f>'Table 3 Levels 1&amp;2'!AL33</f>
        <v>3145.9192082835102</v>
      </c>
      <c r="E32" s="1136">
        <f t="shared" si="2"/>
        <v>0</v>
      </c>
      <c r="F32" s="1136">
        <f>'Table 4 Level 3'!P31</f>
        <v>836.83</v>
      </c>
      <c r="G32" s="1136">
        <f t="shared" si="3"/>
        <v>0</v>
      </c>
      <c r="H32" s="1025">
        <f t="shared" si="4"/>
        <v>0</v>
      </c>
      <c r="I32" s="1146">
        <f t="shared" si="5"/>
        <v>0</v>
      </c>
      <c r="J32" s="1025">
        <f t="shared" si="6"/>
        <v>0</v>
      </c>
      <c r="K32" s="1025">
        <v>0</v>
      </c>
      <c r="L32" s="1025">
        <f t="shared" si="7"/>
        <v>0</v>
      </c>
      <c r="M32" s="1025">
        <f t="shared" si="8"/>
        <v>0</v>
      </c>
      <c r="N32" s="1086">
        <f>'[8]FY2012-13 Initial'!$K33</f>
        <v>5197</v>
      </c>
      <c r="O32" s="1026">
        <f t="shared" si="9"/>
        <v>0</v>
      </c>
      <c r="P32" s="1154">
        <f t="shared" si="10"/>
        <v>0</v>
      </c>
      <c r="Q32" s="1026">
        <f t="shared" si="11"/>
        <v>0</v>
      </c>
      <c r="R32" s="1026">
        <v>0</v>
      </c>
      <c r="S32" s="1026">
        <f t="shared" si="12"/>
        <v>0</v>
      </c>
      <c r="T32" s="1026">
        <f t="shared" si="13"/>
        <v>0</v>
      </c>
      <c r="U32" s="1027">
        <f t="shared" si="14"/>
        <v>0</v>
      </c>
      <c r="V32" s="1027">
        <f t="shared" si="14"/>
        <v>0</v>
      </c>
    </row>
    <row r="33" spans="1:22">
      <c r="A33" s="1028">
        <v>27</v>
      </c>
      <c r="B33" s="1029" t="s">
        <v>128</v>
      </c>
      <c r="C33" s="1295">
        <f>'Table 8 2.1.12 MFP Funded'!S30</f>
        <v>0</v>
      </c>
      <c r="D33" s="1037">
        <f>'Table 3 Levels 1&amp;2'!AL34</f>
        <v>5653.5502977926608</v>
      </c>
      <c r="E33" s="1139">
        <f t="shared" si="2"/>
        <v>0</v>
      </c>
      <c r="F33" s="1139">
        <f>'Table 4 Level 3'!P32</f>
        <v>693.06</v>
      </c>
      <c r="G33" s="1139">
        <f t="shared" si="3"/>
        <v>0</v>
      </c>
      <c r="H33" s="1094">
        <f t="shared" si="4"/>
        <v>0</v>
      </c>
      <c r="I33" s="1149">
        <f t="shared" si="5"/>
        <v>0</v>
      </c>
      <c r="J33" s="1094">
        <f t="shared" si="6"/>
        <v>0</v>
      </c>
      <c r="K33" s="1094">
        <v>0</v>
      </c>
      <c r="L33" s="1094">
        <f t="shared" si="7"/>
        <v>0</v>
      </c>
      <c r="M33" s="1094">
        <f t="shared" si="8"/>
        <v>0</v>
      </c>
      <c r="N33" s="1086">
        <f>'[8]FY2012-13 Initial'!$K34</f>
        <v>3073</v>
      </c>
      <c r="O33" s="1088">
        <f t="shared" si="9"/>
        <v>0</v>
      </c>
      <c r="P33" s="1155">
        <f t="shared" si="10"/>
        <v>0</v>
      </c>
      <c r="Q33" s="1088">
        <f t="shared" si="11"/>
        <v>0</v>
      </c>
      <c r="R33" s="1088">
        <v>0</v>
      </c>
      <c r="S33" s="1088">
        <f t="shared" si="12"/>
        <v>0</v>
      </c>
      <c r="T33" s="1088">
        <f t="shared" si="13"/>
        <v>0</v>
      </c>
      <c r="U33" s="1089">
        <f t="shared" si="14"/>
        <v>0</v>
      </c>
      <c r="V33" s="1089">
        <f t="shared" si="14"/>
        <v>0</v>
      </c>
    </row>
    <row r="34" spans="1:22">
      <c r="A34" s="1028">
        <v>28</v>
      </c>
      <c r="B34" s="1029" t="s">
        <v>129</v>
      </c>
      <c r="C34" s="1295">
        <f>'Table 8 2.1.12 MFP Funded'!S31</f>
        <v>0</v>
      </c>
      <c r="D34" s="1037">
        <f>'Table 3 Levels 1&amp;2'!AL35</f>
        <v>3200.5356505169011</v>
      </c>
      <c r="E34" s="1139">
        <f t="shared" si="2"/>
        <v>0</v>
      </c>
      <c r="F34" s="1139">
        <f>'Table 4 Level 3'!P33</f>
        <v>694.4</v>
      </c>
      <c r="G34" s="1139">
        <f t="shared" si="3"/>
        <v>0</v>
      </c>
      <c r="H34" s="1094">
        <f t="shared" si="4"/>
        <v>0</v>
      </c>
      <c r="I34" s="1149">
        <f t="shared" si="5"/>
        <v>0</v>
      </c>
      <c r="J34" s="1094">
        <f t="shared" si="6"/>
        <v>0</v>
      </c>
      <c r="K34" s="1094">
        <v>0</v>
      </c>
      <c r="L34" s="1094">
        <f t="shared" si="7"/>
        <v>0</v>
      </c>
      <c r="M34" s="1094">
        <f t="shared" si="8"/>
        <v>0</v>
      </c>
      <c r="N34" s="1086">
        <f>'[8]FY2012-13 Initial'!$K35</f>
        <v>5082</v>
      </c>
      <c r="O34" s="1088">
        <f t="shared" si="9"/>
        <v>0</v>
      </c>
      <c r="P34" s="1155">
        <f t="shared" si="10"/>
        <v>0</v>
      </c>
      <c r="Q34" s="1088">
        <f t="shared" si="11"/>
        <v>0</v>
      </c>
      <c r="R34" s="1088">
        <v>0</v>
      </c>
      <c r="S34" s="1088">
        <f t="shared" si="12"/>
        <v>0</v>
      </c>
      <c r="T34" s="1088">
        <f t="shared" si="13"/>
        <v>0</v>
      </c>
      <c r="U34" s="1089">
        <f t="shared" si="14"/>
        <v>0</v>
      </c>
      <c r="V34" s="1089">
        <f t="shared" si="14"/>
        <v>0</v>
      </c>
    </row>
    <row r="35" spans="1:22">
      <c r="A35" s="1028">
        <v>29</v>
      </c>
      <c r="B35" s="1029" t="s">
        <v>130</v>
      </c>
      <c r="C35" s="1295">
        <f>'Table 8 2.1.12 MFP Funded'!S32</f>
        <v>0</v>
      </c>
      <c r="D35" s="1037">
        <f>'Table 3 Levels 1&amp;2'!AL36</f>
        <v>3945.0399545376122</v>
      </c>
      <c r="E35" s="1139">
        <f t="shared" si="2"/>
        <v>0</v>
      </c>
      <c r="F35" s="1139">
        <f>'Table 4 Level 3'!P34</f>
        <v>754.94999999999993</v>
      </c>
      <c r="G35" s="1139">
        <f t="shared" si="3"/>
        <v>0</v>
      </c>
      <c r="H35" s="1094">
        <f t="shared" si="4"/>
        <v>0</v>
      </c>
      <c r="I35" s="1149">
        <f t="shared" si="5"/>
        <v>0</v>
      </c>
      <c r="J35" s="1094">
        <f t="shared" si="6"/>
        <v>0</v>
      </c>
      <c r="K35" s="1094">
        <v>0</v>
      </c>
      <c r="L35" s="1094">
        <f t="shared" si="7"/>
        <v>0</v>
      </c>
      <c r="M35" s="1094">
        <f t="shared" si="8"/>
        <v>0</v>
      </c>
      <c r="N35" s="1086">
        <f>'[8]FY2012-13 Initial'!$K36</f>
        <v>4295</v>
      </c>
      <c r="O35" s="1088">
        <f t="shared" si="9"/>
        <v>0</v>
      </c>
      <c r="P35" s="1155">
        <f t="shared" si="10"/>
        <v>0</v>
      </c>
      <c r="Q35" s="1088">
        <f t="shared" si="11"/>
        <v>0</v>
      </c>
      <c r="R35" s="1088">
        <v>0</v>
      </c>
      <c r="S35" s="1088">
        <f t="shared" si="12"/>
        <v>0</v>
      </c>
      <c r="T35" s="1088">
        <f t="shared" si="13"/>
        <v>0</v>
      </c>
      <c r="U35" s="1089">
        <f t="shared" si="14"/>
        <v>0</v>
      </c>
      <c r="V35" s="1089">
        <f t="shared" si="14"/>
        <v>0</v>
      </c>
    </row>
    <row r="36" spans="1:22">
      <c r="A36" s="1032">
        <v>30</v>
      </c>
      <c r="B36" s="1033" t="s">
        <v>131</v>
      </c>
      <c r="C36" s="1296">
        <f>'Table 8 2.1.12 MFP Funded'!S33</f>
        <v>0</v>
      </c>
      <c r="D36" s="1039">
        <f>'Table 3 Levels 1&amp;2'!AL37</f>
        <v>5594.8916667625617</v>
      </c>
      <c r="E36" s="1140">
        <f t="shared" si="2"/>
        <v>0</v>
      </c>
      <c r="F36" s="1140">
        <f>'Table 4 Level 3'!P35</f>
        <v>727.17</v>
      </c>
      <c r="G36" s="1140">
        <f t="shared" si="3"/>
        <v>0</v>
      </c>
      <c r="H36" s="1095">
        <f t="shared" si="4"/>
        <v>0</v>
      </c>
      <c r="I36" s="1150">
        <f t="shared" si="5"/>
        <v>0</v>
      </c>
      <c r="J36" s="1095">
        <f t="shared" si="6"/>
        <v>0</v>
      </c>
      <c r="K36" s="1095">
        <v>0</v>
      </c>
      <c r="L36" s="1095">
        <f t="shared" si="7"/>
        <v>0</v>
      </c>
      <c r="M36" s="1095">
        <f t="shared" si="8"/>
        <v>0</v>
      </c>
      <c r="N36" s="1091">
        <f>'[8]FY2012-13 Initial'!$K37</f>
        <v>3553</v>
      </c>
      <c r="O36" s="1092">
        <f t="shared" si="9"/>
        <v>0</v>
      </c>
      <c r="P36" s="1156">
        <f t="shared" si="10"/>
        <v>0</v>
      </c>
      <c r="Q36" s="1092">
        <f t="shared" si="11"/>
        <v>0</v>
      </c>
      <c r="R36" s="1092">
        <v>0</v>
      </c>
      <c r="S36" s="1092">
        <f t="shared" si="12"/>
        <v>0</v>
      </c>
      <c r="T36" s="1092">
        <f t="shared" si="13"/>
        <v>0</v>
      </c>
      <c r="U36" s="1093">
        <f t="shared" si="14"/>
        <v>0</v>
      </c>
      <c r="V36" s="1093">
        <f t="shared" si="14"/>
        <v>0</v>
      </c>
    </row>
    <row r="37" spans="1:22">
      <c r="A37" s="1021">
        <v>31</v>
      </c>
      <c r="B37" s="1022" t="s">
        <v>132</v>
      </c>
      <c r="C37" s="1297">
        <f>'Table 8 2.1.12 MFP Funded'!S34</f>
        <v>2</v>
      </c>
      <c r="D37" s="1041">
        <f>'Table 3 Levels 1&amp;2'!AL38</f>
        <v>4159.5846806435638</v>
      </c>
      <c r="E37" s="1141">
        <f t="shared" si="2"/>
        <v>8319.1693612871277</v>
      </c>
      <c r="F37" s="1141">
        <f>'Table 4 Level 3'!P36</f>
        <v>620.83000000000004</v>
      </c>
      <c r="G37" s="1141">
        <f t="shared" si="3"/>
        <v>1241.6600000000001</v>
      </c>
      <c r="H37" s="1096">
        <f t="shared" si="4"/>
        <v>9560.8293612871275</v>
      </c>
      <c r="I37" s="1151">
        <f t="shared" si="5"/>
        <v>-23.90207340321782</v>
      </c>
      <c r="J37" s="1096">
        <f t="shared" si="6"/>
        <v>9536.9272878839092</v>
      </c>
      <c r="K37" s="1096">
        <v>0</v>
      </c>
      <c r="L37" s="1096">
        <f t="shared" si="7"/>
        <v>9536.9272878839092</v>
      </c>
      <c r="M37" s="1096">
        <f t="shared" si="8"/>
        <v>794.74394065699244</v>
      </c>
      <c r="N37" s="1086">
        <f>'[8]FY2012-13 Initial'!$K38</f>
        <v>4719</v>
      </c>
      <c r="O37" s="1026">
        <f t="shared" si="9"/>
        <v>9438</v>
      </c>
      <c r="P37" s="1154">
        <f t="shared" si="10"/>
        <v>-23.594999999999999</v>
      </c>
      <c r="Q37" s="1026">
        <f t="shared" si="11"/>
        <v>9414.4050000000007</v>
      </c>
      <c r="R37" s="1026">
        <v>0</v>
      </c>
      <c r="S37" s="1026">
        <f t="shared" si="12"/>
        <v>9414.4050000000007</v>
      </c>
      <c r="T37" s="1026">
        <f t="shared" si="13"/>
        <v>784.53375000000005</v>
      </c>
      <c r="U37" s="1027">
        <f t="shared" si="14"/>
        <v>18951.33228788391</v>
      </c>
      <c r="V37" s="1027">
        <f t="shared" si="14"/>
        <v>1579.2776906569925</v>
      </c>
    </row>
    <row r="38" spans="1:22">
      <c r="A38" s="1028">
        <v>32</v>
      </c>
      <c r="B38" s="1029" t="s">
        <v>133</v>
      </c>
      <c r="C38" s="1295">
        <f>'Table 8 2.1.12 MFP Funded'!S35</f>
        <v>0</v>
      </c>
      <c r="D38" s="1037">
        <f>'Table 3 Levels 1&amp;2'!AL39</f>
        <v>5475.1436637248598</v>
      </c>
      <c r="E38" s="1139">
        <f t="shared" si="2"/>
        <v>0</v>
      </c>
      <c r="F38" s="1139">
        <f>'Table 4 Level 3'!P37</f>
        <v>559.77</v>
      </c>
      <c r="G38" s="1139">
        <f t="shared" si="3"/>
        <v>0</v>
      </c>
      <c r="H38" s="1094">
        <f t="shared" si="4"/>
        <v>0</v>
      </c>
      <c r="I38" s="1149">
        <f t="shared" si="5"/>
        <v>0</v>
      </c>
      <c r="J38" s="1094">
        <f t="shared" si="6"/>
        <v>0</v>
      </c>
      <c r="K38" s="1094">
        <v>0</v>
      </c>
      <c r="L38" s="1094">
        <f t="shared" si="7"/>
        <v>0</v>
      </c>
      <c r="M38" s="1094">
        <f t="shared" si="8"/>
        <v>0</v>
      </c>
      <c r="N38" s="1086">
        <f>'[8]FY2012-13 Initial'!$K39</f>
        <v>1979</v>
      </c>
      <c r="O38" s="1088">
        <f t="shared" si="9"/>
        <v>0</v>
      </c>
      <c r="P38" s="1155">
        <f t="shared" si="10"/>
        <v>0</v>
      </c>
      <c r="Q38" s="1088">
        <f t="shared" si="11"/>
        <v>0</v>
      </c>
      <c r="R38" s="1088">
        <v>0</v>
      </c>
      <c r="S38" s="1088">
        <f t="shared" si="12"/>
        <v>0</v>
      </c>
      <c r="T38" s="1088">
        <f t="shared" si="13"/>
        <v>0</v>
      </c>
      <c r="U38" s="1089">
        <f t="shared" si="14"/>
        <v>0</v>
      </c>
      <c r="V38" s="1089">
        <f t="shared" si="14"/>
        <v>0</v>
      </c>
    </row>
    <row r="39" spans="1:22">
      <c r="A39" s="1028">
        <v>33</v>
      </c>
      <c r="B39" s="1029" t="s">
        <v>134</v>
      </c>
      <c r="C39" s="1295">
        <f>'Table 8 2.1.12 MFP Funded'!S36</f>
        <v>0</v>
      </c>
      <c r="D39" s="1037">
        <f>'Table 3 Levels 1&amp;2'!AL40</f>
        <v>5397.5678422891451</v>
      </c>
      <c r="E39" s="1139">
        <f t="shared" si="2"/>
        <v>0</v>
      </c>
      <c r="F39" s="1139">
        <f>'Table 4 Level 3'!P38</f>
        <v>655.31000000000006</v>
      </c>
      <c r="G39" s="1139">
        <f t="shared" si="3"/>
        <v>0</v>
      </c>
      <c r="H39" s="1094">
        <f t="shared" si="4"/>
        <v>0</v>
      </c>
      <c r="I39" s="1149">
        <f t="shared" si="5"/>
        <v>0</v>
      </c>
      <c r="J39" s="1094">
        <f t="shared" si="6"/>
        <v>0</v>
      </c>
      <c r="K39" s="1094">
        <v>0</v>
      </c>
      <c r="L39" s="1094">
        <f t="shared" si="7"/>
        <v>0</v>
      </c>
      <c r="M39" s="1094">
        <f t="shared" si="8"/>
        <v>0</v>
      </c>
      <c r="N39" s="1086">
        <f>'[8]FY2012-13 Initial'!$K40</f>
        <v>3055</v>
      </c>
      <c r="O39" s="1088">
        <f t="shared" si="9"/>
        <v>0</v>
      </c>
      <c r="P39" s="1155">
        <f t="shared" si="10"/>
        <v>0</v>
      </c>
      <c r="Q39" s="1088">
        <f t="shared" si="11"/>
        <v>0</v>
      </c>
      <c r="R39" s="1088">
        <v>0</v>
      </c>
      <c r="S39" s="1088">
        <f t="shared" si="12"/>
        <v>0</v>
      </c>
      <c r="T39" s="1088">
        <f t="shared" si="13"/>
        <v>0</v>
      </c>
      <c r="U39" s="1089">
        <f t="shared" si="14"/>
        <v>0</v>
      </c>
      <c r="V39" s="1089">
        <f t="shared" si="14"/>
        <v>0</v>
      </c>
    </row>
    <row r="40" spans="1:22">
      <c r="A40" s="1028">
        <v>34</v>
      </c>
      <c r="B40" s="1029" t="s">
        <v>135</v>
      </c>
      <c r="C40" s="1295">
        <f>'Table 8 2.1.12 MFP Funded'!S37</f>
        <v>0</v>
      </c>
      <c r="D40" s="1037">
        <f>'Table 3 Levels 1&amp;2'!AL41</f>
        <v>5843.9642210290731</v>
      </c>
      <c r="E40" s="1139">
        <f t="shared" si="2"/>
        <v>0</v>
      </c>
      <c r="F40" s="1139">
        <f>'Table 4 Level 3'!P39</f>
        <v>644.11000000000013</v>
      </c>
      <c r="G40" s="1139">
        <f t="shared" si="3"/>
        <v>0</v>
      </c>
      <c r="H40" s="1094">
        <f t="shared" si="4"/>
        <v>0</v>
      </c>
      <c r="I40" s="1149">
        <f t="shared" si="5"/>
        <v>0</v>
      </c>
      <c r="J40" s="1094">
        <f t="shared" si="6"/>
        <v>0</v>
      </c>
      <c r="K40" s="1094">
        <v>0</v>
      </c>
      <c r="L40" s="1094">
        <f t="shared" si="7"/>
        <v>0</v>
      </c>
      <c r="M40" s="1094">
        <f t="shared" si="8"/>
        <v>0</v>
      </c>
      <c r="N40" s="1086">
        <f>'[8]FY2012-13 Initial'!$K41</f>
        <v>2782</v>
      </c>
      <c r="O40" s="1088">
        <f t="shared" si="9"/>
        <v>0</v>
      </c>
      <c r="P40" s="1155">
        <f t="shared" si="10"/>
        <v>0</v>
      </c>
      <c r="Q40" s="1088">
        <f t="shared" si="11"/>
        <v>0</v>
      </c>
      <c r="R40" s="1088">
        <v>0</v>
      </c>
      <c r="S40" s="1088">
        <f t="shared" si="12"/>
        <v>0</v>
      </c>
      <c r="T40" s="1088">
        <f t="shared" si="13"/>
        <v>0</v>
      </c>
      <c r="U40" s="1089">
        <f t="shared" si="14"/>
        <v>0</v>
      </c>
      <c r="V40" s="1089">
        <f t="shared" si="14"/>
        <v>0</v>
      </c>
    </row>
    <row r="41" spans="1:22">
      <c r="A41" s="1032">
        <v>35</v>
      </c>
      <c r="B41" s="1033" t="s">
        <v>136</v>
      </c>
      <c r="C41" s="1296">
        <f>'Table 8 2.1.12 MFP Funded'!S38</f>
        <v>0</v>
      </c>
      <c r="D41" s="1039">
        <f>'Table 3 Levels 1&amp;2'!AL42</f>
        <v>4830.9633412658623</v>
      </c>
      <c r="E41" s="1140">
        <f t="shared" si="2"/>
        <v>0</v>
      </c>
      <c r="F41" s="1140">
        <f>'Table 4 Level 3'!P40</f>
        <v>537.96</v>
      </c>
      <c r="G41" s="1140">
        <f t="shared" si="3"/>
        <v>0</v>
      </c>
      <c r="H41" s="1095">
        <f t="shared" si="4"/>
        <v>0</v>
      </c>
      <c r="I41" s="1150">
        <f t="shared" si="5"/>
        <v>0</v>
      </c>
      <c r="J41" s="1095">
        <f t="shared" si="6"/>
        <v>0</v>
      </c>
      <c r="K41" s="1095">
        <v>0</v>
      </c>
      <c r="L41" s="1095">
        <f t="shared" si="7"/>
        <v>0</v>
      </c>
      <c r="M41" s="1095">
        <f t="shared" si="8"/>
        <v>0</v>
      </c>
      <c r="N41" s="1091">
        <f>'[8]FY2012-13 Initial'!$K42</f>
        <v>3175</v>
      </c>
      <c r="O41" s="1092">
        <f t="shared" si="9"/>
        <v>0</v>
      </c>
      <c r="P41" s="1156">
        <f t="shared" si="10"/>
        <v>0</v>
      </c>
      <c r="Q41" s="1092">
        <f t="shared" si="11"/>
        <v>0</v>
      </c>
      <c r="R41" s="1092">
        <v>0</v>
      </c>
      <c r="S41" s="1092">
        <f t="shared" si="12"/>
        <v>0</v>
      </c>
      <c r="T41" s="1092">
        <f t="shared" si="13"/>
        <v>0</v>
      </c>
      <c r="U41" s="1093">
        <f t="shared" si="14"/>
        <v>0</v>
      </c>
      <c r="V41" s="1093">
        <f t="shared" si="14"/>
        <v>0</v>
      </c>
    </row>
    <row r="42" spans="1:22">
      <c r="A42" s="1021">
        <v>36</v>
      </c>
      <c r="B42" s="1022" t="s">
        <v>137</v>
      </c>
      <c r="C42" s="1297">
        <f>'Table 8 2.1.12 MFP Funded'!S39</f>
        <v>0</v>
      </c>
      <c r="D42" s="1041">
        <f>'Table 3 Levels 1&amp;2'!AL43</f>
        <v>3493.4615493208294</v>
      </c>
      <c r="E42" s="1141">
        <f t="shared" si="2"/>
        <v>0</v>
      </c>
      <c r="F42" s="1141">
        <f>'Table 5B1_RSD_Orleans'!F78</f>
        <v>746.0335616438357</v>
      </c>
      <c r="G42" s="1141">
        <f t="shared" si="3"/>
        <v>0</v>
      </c>
      <c r="H42" s="1096">
        <f t="shared" si="4"/>
        <v>0</v>
      </c>
      <c r="I42" s="1151">
        <f t="shared" si="5"/>
        <v>0</v>
      </c>
      <c r="J42" s="1096">
        <f t="shared" si="6"/>
        <v>0</v>
      </c>
      <c r="K42" s="1096">
        <v>0</v>
      </c>
      <c r="L42" s="1096">
        <f t="shared" si="7"/>
        <v>0</v>
      </c>
      <c r="M42" s="1096">
        <f t="shared" si="8"/>
        <v>0</v>
      </c>
      <c r="N42" s="1086">
        <f>'[8]FY2012-13 Initial'!$K43</f>
        <v>4785</v>
      </c>
      <c r="O42" s="1026">
        <f t="shared" si="9"/>
        <v>0</v>
      </c>
      <c r="P42" s="1154">
        <f t="shared" si="10"/>
        <v>0</v>
      </c>
      <c r="Q42" s="1026">
        <f t="shared" si="11"/>
        <v>0</v>
      </c>
      <c r="R42" s="1026">
        <v>0</v>
      </c>
      <c r="S42" s="1026">
        <f t="shared" si="12"/>
        <v>0</v>
      </c>
      <c r="T42" s="1026">
        <f t="shared" si="13"/>
        <v>0</v>
      </c>
      <c r="U42" s="1027">
        <f t="shared" si="14"/>
        <v>0</v>
      </c>
      <c r="V42" s="1027">
        <f t="shared" si="14"/>
        <v>0</v>
      </c>
    </row>
    <row r="43" spans="1:22">
      <c r="A43" s="1028">
        <v>37</v>
      </c>
      <c r="B43" s="1029" t="s">
        <v>138</v>
      </c>
      <c r="C43" s="1295">
        <f>'Table 8 2.1.12 MFP Funded'!S40</f>
        <v>6</v>
      </c>
      <c r="D43" s="1037">
        <f>'Table 3 Levels 1&amp;2'!AL44</f>
        <v>5484.3026094077886</v>
      </c>
      <c r="E43" s="1139">
        <f t="shared" si="2"/>
        <v>32905.815656446735</v>
      </c>
      <c r="F43" s="1139">
        <f>'Table 4 Level 3'!P42</f>
        <v>653.61</v>
      </c>
      <c r="G43" s="1139">
        <f t="shared" si="3"/>
        <v>3921.66</v>
      </c>
      <c r="H43" s="1094">
        <f t="shared" si="4"/>
        <v>36827.475656446739</v>
      </c>
      <c r="I43" s="1149">
        <f t="shared" si="5"/>
        <v>-92.068689141116849</v>
      </c>
      <c r="J43" s="1094">
        <f t="shared" si="6"/>
        <v>36735.406967305622</v>
      </c>
      <c r="K43" s="1094">
        <v>0</v>
      </c>
      <c r="L43" s="1094">
        <f t="shared" si="7"/>
        <v>36735.406967305622</v>
      </c>
      <c r="M43" s="1094">
        <f t="shared" si="8"/>
        <v>3061.2839139421353</v>
      </c>
      <c r="N43" s="1086">
        <f>'[8]FY2012-13 Initial'!$K44</f>
        <v>3112</v>
      </c>
      <c r="O43" s="1088">
        <f t="shared" si="9"/>
        <v>18672</v>
      </c>
      <c r="P43" s="1155">
        <f t="shared" si="10"/>
        <v>-46.68</v>
      </c>
      <c r="Q43" s="1088">
        <f t="shared" si="11"/>
        <v>18625.32</v>
      </c>
      <c r="R43" s="1088">
        <v>0</v>
      </c>
      <c r="S43" s="1088">
        <f t="shared" si="12"/>
        <v>18625.32</v>
      </c>
      <c r="T43" s="1088">
        <f t="shared" si="13"/>
        <v>1552.11</v>
      </c>
      <c r="U43" s="1089">
        <f t="shared" si="14"/>
        <v>55360.726967305622</v>
      </c>
      <c r="V43" s="1089">
        <f t="shared" si="14"/>
        <v>4613.3939139421354</v>
      </c>
    </row>
    <row r="44" spans="1:22">
      <c r="A44" s="1028">
        <v>38</v>
      </c>
      <c r="B44" s="1029" t="s">
        <v>139</v>
      </c>
      <c r="C44" s="1295">
        <f>'Table 8 2.1.12 MFP Funded'!S41</f>
        <v>0</v>
      </c>
      <c r="D44" s="1037">
        <f>'Table 3 Levels 1&amp;2'!AL45</f>
        <v>2191.7415364583335</v>
      </c>
      <c r="E44" s="1139">
        <f t="shared" si="2"/>
        <v>0</v>
      </c>
      <c r="F44" s="1139">
        <f>'Table 4 Level 3'!P43</f>
        <v>829.92000000000007</v>
      </c>
      <c r="G44" s="1139">
        <f t="shared" si="3"/>
        <v>0</v>
      </c>
      <c r="H44" s="1094">
        <f t="shared" si="4"/>
        <v>0</v>
      </c>
      <c r="I44" s="1149">
        <f t="shared" si="5"/>
        <v>0</v>
      </c>
      <c r="J44" s="1094">
        <f t="shared" si="6"/>
        <v>0</v>
      </c>
      <c r="K44" s="1094">
        <v>0</v>
      </c>
      <c r="L44" s="1094">
        <f t="shared" si="7"/>
        <v>0</v>
      </c>
      <c r="M44" s="1094">
        <f t="shared" si="8"/>
        <v>0</v>
      </c>
      <c r="N44" s="1086">
        <f>'[8]FY2012-13 Initial'!$K45</f>
        <v>9771</v>
      </c>
      <c r="O44" s="1088">
        <f t="shared" si="9"/>
        <v>0</v>
      </c>
      <c r="P44" s="1155">
        <f t="shared" si="10"/>
        <v>0</v>
      </c>
      <c r="Q44" s="1088">
        <f t="shared" si="11"/>
        <v>0</v>
      </c>
      <c r="R44" s="1088">
        <v>0</v>
      </c>
      <c r="S44" s="1088">
        <f t="shared" si="12"/>
        <v>0</v>
      </c>
      <c r="T44" s="1088">
        <f t="shared" si="13"/>
        <v>0</v>
      </c>
      <c r="U44" s="1089">
        <f t="shared" si="14"/>
        <v>0</v>
      </c>
      <c r="V44" s="1089">
        <f t="shared" si="14"/>
        <v>0</v>
      </c>
    </row>
    <row r="45" spans="1:22">
      <c r="A45" s="1028">
        <v>39</v>
      </c>
      <c r="B45" s="1029" t="s">
        <v>140</v>
      </c>
      <c r="C45" s="1295">
        <f>'Table 8 2.1.12 MFP Funded'!S42</f>
        <v>0</v>
      </c>
      <c r="D45" s="1037">
        <f>'Table 3 Levels 1&amp;2'!AL46</f>
        <v>3686.1886996918806</v>
      </c>
      <c r="E45" s="1139">
        <f t="shared" si="2"/>
        <v>0</v>
      </c>
      <c r="F45" s="1139">
        <f>'Table 5B2_RSD_LA'!F21</f>
        <v>779.65573042776441</v>
      </c>
      <c r="G45" s="1139">
        <f t="shared" si="3"/>
        <v>0</v>
      </c>
      <c r="H45" s="1094">
        <f t="shared" si="4"/>
        <v>0</v>
      </c>
      <c r="I45" s="1149">
        <f t="shared" si="5"/>
        <v>0</v>
      </c>
      <c r="J45" s="1094">
        <f t="shared" si="6"/>
        <v>0</v>
      </c>
      <c r="K45" s="1094">
        <v>0</v>
      </c>
      <c r="L45" s="1094">
        <f t="shared" si="7"/>
        <v>0</v>
      </c>
      <c r="M45" s="1094">
        <f t="shared" si="8"/>
        <v>0</v>
      </c>
      <c r="N45" s="1086">
        <f>'[8]FY2012-13 Initial'!$K46</f>
        <v>4190</v>
      </c>
      <c r="O45" s="1088">
        <f t="shared" si="9"/>
        <v>0</v>
      </c>
      <c r="P45" s="1155">
        <f t="shared" si="10"/>
        <v>0</v>
      </c>
      <c r="Q45" s="1088">
        <f t="shared" si="11"/>
        <v>0</v>
      </c>
      <c r="R45" s="1088">
        <v>0</v>
      </c>
      <c r="S45" s="1088">
        <f t="shared" si="12"/>
        <v>0</v>
      </c>
      <c r="T45" s="1088">
        <f t="shared" si="13"/>
        <v>0</v>
      </c>
      <c r="U45" s="1089">
        <f t="shared" si="14"/>
        <v>0</v>
      </c>
      <c r="V45" s="1089">
        <f t="shared" si="14"/>
        <v>0</v>
      </c>
    </row>
    <row r="46" spans="1:22">
      <c r="A46" s="1032">
        <v>40</v>
      </c>
      <c r="B46" s="1033" t="s">
        <v>141</v>
      </c>
      <c r="C46" s="1296">
        <f>'Table 8 2.1.12 MFP Funded'!S43</f>
        <v>0</v>
      </c>
      <c r="D46" s="1039">
        <f>'Table 3 Levels 1&amp;2'!AL47</f>
        <v>4879.0185326187402</v>
      </c>
      <c r="E46" s="1140">
        <f t="shared" si="2"/>
        <v>0</v>
      </c>
      <c r="F46" s="1140">
        <f>'Table 4 Level 3'!P45</f>
        <v>700.2700000000001</v>
      </c>
      <c r="G46" s="1140">
        <f t="shared" si="3"/>
        <v>0</v>
      </c>
      <c r="H46" s="1095">
        <f t="shared" si="4"/>
        <v>0</v>
      </c>
      <c r="I46" s="1150">
        <f t="shared" si="5"/>
        <v>0</v>
      </c>
      <c r="J46" s="1095">
        <f t="shared" si="6"/>
        <v>0</v>
      </c>
      <c r="K46" s="1095">
        <v>0</v>
      </c>
      <c r="L46" s="1095">
        <f t="shared" si="7"/>
        <v>0</v>
      </c>
      <c r="M46" s="1095">
        <f t="shared" si="8"/>
        <v>0</v>
      </c>
      <c r="N46" s="1091">
        <f>'[8]FY2012-13 Initial'!$K47</f>
        <v>2887</v>
      </c>
      <c r="O46" s="1092">
        <f t="shared" si="9"/>
        <v>0</v>
      </c>
      <c r="P46" s="1156">
        <f t="shared" si="10"/>
        <v>0</v>
      </c>
      <c r="Q46" s="1092">
        <f t="shared" si="11"/>
        <v>0</v>
      </c>
      <c r="R46" s="1092">
        <v>0</v>
      </c>
      <c r="S46" s="1092">
        <f t="shared" si="12"/>
        <v>0</v>
      </c>
      <c r="T46" s="1092">
        <f t="shared" si="13"/>
        <v>0</v>
      </c>
      <c r="U46" s="1093">
        <f t="shared" si="14"/>
        <v>0</v>
      </c>
      <c r="V46" s="1093">
        <f t="shared" si="14"/>
        <v>0</v>
      </c>
    </row>
    <row r="47" spans="1:22">
      <c r="A47" s="1021">
        <v>41</v>
      </c>
      <c r="B47" s="1022" t="s">
        <v>142</v>
      </c>
      <c r="C47" s="1297">
        <f>'Table 8 2.1.12 MFP Funded'!S44</f>
        <v>0</v>
      </c>
      <c r="D47" s="1041">
        <f>'Table 3 Levels 1&amp;2'!AL48</f>
        <v>1608.4303482587065</v>
      </c>
      <c r="E47" s="1141">
        <f t="shared" si="2"/>
        <v>0</v>
      </c>
      <c r="F47" s="1141">
        <f>'Table 4 Level 3'!P46</f>
        <v>886.22</v>
      </c>
      <c r="G47" s="1141">
        <f t="shared" si="3"/>
        <v>0</v>
      </c>
      <c r="H47" s="1096">
        <f t="shared" si="4"/>
        <v>0</v>
      </c>
      <c r="I47" s="1151">
        <f t="shared" si="5"/>
        <v>0</v>
      </c>
      <c r="J47" s="1096">
        <f t="shared" si="6"/>
        <v>0</v>
      </c>
      <c r="K47" s="1096">
        <v>0</v>
      </c>
      <c r="L47" s="1096">
        <f t="shared" si="7"/>
        <v>0</v>
      </c>
      <c r="M47" s="1096">
        <f t="shared" si="8"/>
        <v>0</v>
      </c>
      <c r="N47" s="1086">
        <f>'[8]FY2012-13 Initial'!$K48</f>
        <v>12470</v>
      </c>
      <c r="O47" s="1026">
        <f t="shared" si="9"/>
        <v>0</v>
      </c>
      <c r="P47" s="1154">
        <f t="shared" si="10"/>
        <v>0</v>
      </c>
      <c r="Q47" s="1026">
        <f t="shared" si="11"/>
        <v>0</v>
      </c>
      <c r="R47" s="1026">
        <v>0</v>
      </c>
      <c r="S47" s="1026">
        <f t="shared" si="12"/>
        <v>0</v>
      </c>
      <c r="T47" s="1026">
        <f t="shared" si="13"/>
        <v>0</v>
      </c>
      <c r="U47" s="1027">
        <f t="shared" si="14"/>
        <v>0</v>
      </c>
      <c r="V47" s="1027">
        <f t="shared" si="14"/>
        <v>0</v>
      </c>
    </row>
    <row r="48" spans="1:22">
      <c r="A48" s="1028">
        <v>42</v>
      </c>
      <c r="B48" s="1029" t="s">
        <v>143</v>
      </c>
      <c r="C48" s="1295">
        <f>'Table 8 2.1.12 MFP Funded'!S45</f>
        <v>0</v>
      </c>
      <c r="D48" s="1037">
        <f>'Table 3 Levels 1&amp;2'!AL49</f>
        <v>5260.3047779801664</v>
      </c>
      <c r="E48" s="1139">
        <f t="shared" si="2"/>
        <v>0</v>
      </c>
      <c r="F48" s="1139">
        <f>'Table 4 Level 3'!P47</f>
        <v>534.28</v>
      </c>
      <c r="G48" s="1139">
        <f t="shared" si="3"/>
        <v>0</v>
      </c>
      <c r="H48" s="1094">
        <f t="shared" si="4"/>
        <v>0</v>
      </c>
      <c r="I48" s="1149">
        <f t="shared" si="5"/>
        <v>0</v>
      </c>
      <c r="J48" s="1094">
        <f t="shared" si="6"/>
        <v>0</v>
      </c>
      <c r="K48" s="1094">
        <v>0</v>
      </c>
      <c r="L48" s="1094">
        <f t="shared" si="7"/>
        <v>0</v>
      </c>
      <c r="M48" s="1094">
        <f t="shared" si="8"/>
        <v>0</v>
      </c>
      <c r="N48" s="1086">
        <f>'[8]FY2012-13 Initial'!$K49</f>
        <v>2353</v>
      </c>
      <c r="O48" s="1088">
        <f t="shared" si="9"/>
        <v>0</v>
      </c>
      <c r="P48" s="1155">
        <f t="shared" si="10"/>
        <v>0</v>
      </c>
      <c r="Q48" s="1088">
        <f t="shared" si="11"/>
        <v>0</v>
      </c>
      <c r="R48" s="1088">
        <v>0</v>
      </c>
      <c r="S48" s="1088">
        <f t="shared" si="12"/>
        <v>0</v>
      </c>
      <c r="T48" s="1088">
        <f t="shared" si="13"/>
        <v>0</v>
      </c>
      <c r="U48" s="1089">
        <f t="shared" si="14"/>
        <v>0</v>
      </c>
      <c r="V48" s="1089">
        <f t="shared" si="14"/>
        <v>0</v>
      </c>
    </row>
    <row r="49" spans="1:22">
      <c r="A49" s="1028">
        <v>43</v>
      </c>
      <c r="B49" s="1029" t="s">
        <v>144</v>
      </c>
      <c r="C49" s="1295">
        <f>'Table 8 2.1.12 MFP Funded'!S46</f>
        <v>0</v>
      </c>
      <c r="D49" s="1037">
        <f>'Table 3 Levels 1&amp;2'!AL50</f>
        <v>5587.3492327608728</v>
      </c>
      <c r="E49" s="1139">
        <f t="shared" si="2"/>
        <v>0</v>
      </c>
      <c r="F49" s="1139">
        <f>'Table 4 Level 3'!P48</f>
        <v>574.6099999999999</v>
      </c>
      <c r="G49" s="1139">
        <f t="shared" si="3"/>
        <v>0</v>
      </c>
      <c r="H49" s="1094">
        <f t="shared" si="4"/>
        <v>0</v>
      </c>
      <c r="I49" s="1149">
        <f t="shared" si="5"/>
        <v>0</v>
      </c>
      <c r="J49" s="1094">
        <f t="shared" si="6"/>
        <v>0</v>
      </c>
      <c r="K49" s="1094">
        <v>0</v>
      </c>
      <c r="L49" s="1094">
        <f t="shared" si="7"/>
        <v>0</v>
      </c>
      <c r="M49" s="1094">
        <f t="shared" si="8"/>
        <v>0</v>
      </c>
      <c r="N49" s="1086">
        <f>'[8]FY2012-13 Initial'!$K50</f>
        <v>5599</v>
      </c>
      <c r="O49" s="1088">
        <f t="shared" si="9"/>
        <v>0</v>
      </c>
      <c r="P49" s="1155">
        <f t="shared" si="10"/>
        <v>0</v>
      </c>
      <c r="Q49" s="1088">
        <f t="shared" si="11"/>
        <v>0</v>
      </c>
      <c r="R49" s="1088">
        <v>0</v>
      </c>
      <c r="S49" s="1088">
        <f t="shared" si="12"/>
        <v>0</v>
      </c>
      <c r="T49" s="1088">
        <f t="shared" si="13"/>
        <v>0</v>
      </c>
      <c r="U49" s="1089">
        <f t="shared" si="14"/>
        <v>0</v>
      </c>
      <c r="V49" s="1089">
        <f t="shared" si="14"/>
        <v>0</v>
      </c>
    </row>
    <row r="50" spans="1:22">
      <c r="A50" s="1028">
        <v>44</v>
      </c>
      <c r="B50" s="1029" t="s">
        <v>145</v>
      </c>
      <c r="C50" s="1295">
        <f>'Table 8 2.1.12 MFP Funded'!S47</f>
        <v>0</v>
      </c>
      <c r="D50" s="1037">
        <f>'Table 3 Levels 1&amp;2'!AL51</f>
        <v>4113.1787591918992</v>
      </c>
      <c r="E50" s="1139">
        <f t="shared" si="2"/>
        <v>0</v>
      </c>
      <c r="F50" s="1139">
        <f>'Table 4 Level 3'!P49</f>
        <v>663.16000000000008</v>
      </c>
      <c r="G50" s="1139">
        <f t="shared" si="3"/>
        <v>0</v>
      </c>
      <c r="H50" s="1094">
        <f t="shared" si="4"/>
        <v>0</v>
      </c>
      <c r="I50" s="1149">
        <f t="shared" si="5"/>
        <v>0</v>
      </c>
      <c r="J50" s="1094">
        <f t="shared" si="6"/>
        <v>0</v>
      </c>
      <c r="K50" s="1094">
        <v>0</v>
      </c>
      <c r="L50" s="1094">
        <f t="shared" si="7"/>
        <v>0</v>
      </c>
      <c r="M50" s="1094">
        <f t="shared" si="8"/>
        <v>0</v>
      </c>
      <c r="N50" s="1086">
        <f>'[8]FY2012-13 Initial'!$K51</f>
        <v>4661</v>
      </c>
      <c r="O50" s="1088">
        <f t="shared" si="9"/>
        <v>0</v>
      </c>
      <c r="P50" s="1155">
        <f t="shared" si="10"/>
        <v>0</v>
      </c>
      <c r="Q50" s="1088">
        <f t="shared" si="11"/>
        <v>0</v>
      </c>
      <c r="R50" s="1088">
        <v>0</v>
      </c>
      <c r="S50" s="1088">
        <f t="shared" si="12"/>
        <v>0</v>
      </c>
      <c r="T50" s="1088">
        <f t="shared" si="13"/>
        <v>0</v>
      </c>
      <c r="U50" s="1089">
        <f t="shared" si="14"/>
        <v>0</v>
      </c>
      <c r="V50" s="1089">
        <f t="shared" si="14"/>
        <v>0</v>
      </c>
    </row>
    <row r="51" spans="1:22">
      <c r="A51" s="1032">
        <v>45</v>
      </c>
      <c r="B51" s="1033" t="s">
        <v>146</v>
      </c>
      <c r="C51" s="1296">
        <f>'Table 8 2.1.12 MFP Funded'!S48</f>
        <v>0</v>
      </c>
      <c r="D51" s="1039">
        <f>'Table 3 Levels 1&amp;2'!AL52</f>
        <v>2414.8479898164846</v>
      </c>
      <c r="E51" s="1140">
        <f t="shared" si="2"/>
        <v>0</v>
      </c>
      <c r="F51" s="1140">
        <f>'Table 4 Level 3'!P50</f>
        <v>753.96000000000015</v>
      </c>
      <c r="G51" s="1140">
        <f t="shared" si="3"/>
        <v>0</v>
      </c>
      <c r="H51" s="1095">
        <f t="shared" si="4"/>
        <v>0</v>
      </c>
      <c r="I51" s="1150">
        <f t="shared" si="5"/>
        <v>0</v>
      </c>
      <c r="J51" s="1095">
        <f t="shared" si="6"/>
        <v>0</v>
      </c>
      <c r="K51" s="1095">
        <v>0</v>
      </c>
      <c r="L51" s="1095">
        <f t="shared" si="7"/>
        <v>0</v>
      </c>
      <c r="M51" s="1095">
        <f t="shared" si="8"/>
        <v>0</v>
      </c>
      <c r="N51" s="1091">
        <f>'[8]FY2012-13 Initial'!$K52</f>
        <v>11650</v>
      </c>
      <c r="O51" s="1092">
        <f t="shared" si="9"/>
        <v>0</v>
      </c>
      <c r="P51" s="1156">
        <f t="shared" si="10"/>
        <v>0</v>
      </c>
      <c r="Q51" s="1092">
        <f t="shared" si="11"/>
        <v>0</v>
      </c>
      <c r="R51" s="1092">
        <v>0</v>
      </c>
      <c r="S51" s="1092">
        <f t="shared" si="12"/>
        <v>0</v>
      </c>
      <c r="T51" s="1092">
        <f t="shared" si="13"/>
        <v>0</v>
      </c>
      <c r="U51" s="1093">
        <f t="shared" si="14"/>
        <v>0</v>
      </c>
      <c r="V51" s="1093">
        <f t="shared" si="14"/>
        <v>0</v>
      </c>
    </row>
    <row r="52" spans="1:22">
      <c r="A52" s="1021">
        <v>46</v>
      </c>
      <c r="B52" s="1022" t="s">
        <v>147</v>
      </c>
      <c r="C52" s="1297">
        <f>'Table 8 2.1.12 MFP Funded'!S49</f>
        <v>0</v>
      </c>
      <c r="D52" s="1041">
        <f>'Table 3 Levels 1&amp;2'!AL53</f>
        <v>5765.0314518803261</v>
      </c>
      <c r="E52" s="1141">
        <f t="shared" si="2"/>
        <v>0</v>
      </c>
      <c r="F52" s="1141">
        <f>'Table 4 Level 3'!P51</f>
        <v>728.06</v>
      </c>
      <c r="G52" s="1141">
        <f t="shared" si="3"/>
        <v>0</v>
      </c>
      <c r="H52" s="1096">
        <f t="shared" si="4"/>
        <v>0</v>
      </c>
      <c r="I52" s="1151">
        <f t="shared" si="5"/>
        <v>0</v>
      </c>
      <c r="J52" s="1096">
        <f t="shared" si="6"/>
        <v>0</v>
      </c>
      <c r="K52" s="1096">
        <v>0</v>
      </c>
      <c r="L52" s="1096">
        <f t="shared" si="7"/>
        <v>0</v>
      </c>
      <c r="M52" s="1096">
        <f t="shared" si="8"/>
        <v>0</v>
      </c>
      <c r="N52" s="1086">
        <f>'[8]FY2012-13 Initial'!$K53</f>
        <v>1789</v>
      </c>
      <c r="O52" s="1026">
        <f t="shared" si="9"/>
        <v>0</v>
      </c>
      <c r="P52" s="1154">
        <f t="shared" si="10"/>
        <v>0</v>
      </c>
      <c r="Q52" s="1026">
        <f t="shared" si="11"/>
        <v>0</v>
      </c>
      <c r="R52" s="1026">
        <v>0</v>
      </c>
      <c r="S52" s="1026">
        <f t="shared" si="12"/>
        <v>0</v>
      </c>
      <c r="T52" s="1026">
        <f t="shared" si="13"/>
        <v>0</v>
      </c>
      <c r="U52" s="1027">
        <f t="shared" si="14"/>
        <v>0</v>
      </c>
      <c r="V52" s="1027">
        <f t="shared" si="14"/>
        <v>0</v>
      </c>
    </row>
    <row r="53" spans="1:22">
      <c r="A53" s="1028">
        <v>47</v>
      </c>
      <c r="B53" s="1029" t="s">
        <v>148</v>
      </c>
      <c r="C53" s="1295">
        <f>'Table 8 2.1.12 MFP Funded'!S50</f>
        <v>0</v>
      </c>
      <c r="D53" s="1037">
        <f>'Table 3 Levels 1&amp;2'!AL54</f>
        <v>3186.1712081166847</v>
      </c>
      <c r="E53" s="1139">
        <f t="shared" si="2"/>
        <v>0</v>
      </c>
      <c r="F53" s="1139">
        <f>'Table 4 Level 3'!P52</f>
        <v>910.76</v>
      </c>
      <c r="G53" s="1139">
        <f t="shared" si="3"/>
        <v>0</v>
      </c>
      <c r="H53" s="1094">
        <f t="shared" si="4"/>
        <v>0</v>
      </c>
      <c r="I53" s="1149">
        <f t="shared" si="5"/>
        <v>0</v>
      </c>
      <c r="J53" s="1094">
        <f t="shared" si="6"/>
        <v>0</v>
      </c>
      <c r="K53" s="1094">
        <v>0</v>
      </c>
      <c r="L53" s="1094">
        <f t="shared" si="7"/>
        <v>0</v>
      </c>
      <c r="M53" s="1094">
        <f t="shared" si="8"/>
        <v>0</v>
      </c>
      <c r="N53" s="1086">
        <f>'[8]FY2012-13 Initial'!$K54</f>
        <v>9947</v>
      </c>
      <c r="O53" s="1088">
        <f t="shared" si="9"/>
        <v>0</v>
      </c>
      <c r="P53" s="1155">
        <f t="shared" si="10"/>
        <v>0</v>
      </c>
      <c r="Q53" s="1088">
        <f t="shared" si="11"/>
        <v>0</v>
      </c>
      <c r="R53" s="1088">
        <v>0</v>
      </c>
      <c r="S53" s="1088">
        <f t="shared" si="12"/>
        <v>0</v>
      </c>
      <c r="T53" s="1088">
        <f t="shared" si="13"/>
        <v>0</v>
      </c>
      <c r="U53" s="1089">
        <f t="shared" si="14"/>
        <v>0</v>
      </c>
      <c r="V53" s="1089">
        <f t="shared" si="14"/>
        <v>0</v>
      </c>
    </row>
    <row r="54" spans="1:22">
      <c r="A54" s="1028">
        <v>48</v>
      </c>
      <c r="B54" s="1029" t="s">
        <v>222</v>
      </c>
      <c r="C54" s="1295">
        <f>'Table 8 2.1.12 MFP Funded'!S51</f>
        <v>0</v>
      </c>
      <c r="D54" s="1037">
        <f>'Table 3 Levels 1&amp;2'!AL55</f>
        <v>4260.4872196136057</v>
      </c>
      <c r="E54" s="1139">
        <f t="shared" si="2"/>
        <v>0</v>
      </c>
      <c r="F54" s="1139">
        <f>'Table 4 Level 3'!P53</f>
        <v>871.07</v>
      </c>
      <c r="G54" s="1139">
        <f t="shared" si="3"/>
        <v>0</v>
      </c>
      <c r="H54" s="1094">
        <f t="shared" si="4"/>
        <v>0</v>
      </c>
      <c r="I54" s="1149">
        <f t="shared" si="5"/>
        <v>0</v>
      </c>
      <c r="J54" s="1094">
        <f t="shared" si="6"/>
        <v>0</v>
      </c>
      <c r="K54" s="1094">
        <v>0</v>
      </c>
      <c r="L54" s="1094">
        <f t="shared" si="7"/>
        <v>0</v>
      </c>
      <c r="M54" s="1094">
        <f t="shared" si="8"/>
        <v>0</v>
      </c>
      <c r="N54" s="1086">
        <f>'[8]FY2012-13 Initial'!$K55</f>
        <v>5325</v>
      </c>
      <c r="O54" s="1088">
        <f t="shared" si="9"/>
        <v>0</v>
      </c>
      <c r="P54" s="1155">
        <f t="shared" si="10"/>
        <v>0</v>
      </c>
      <c r="Q54" s="1088">
        <f t="shared" si="11"/>
        <v>0</v>
      </c>
      <c r="R54" s="1088">
        <v>0</v>
      </c>
      <c r="S54" s="1088">
        <f t="shared" si="12"/>
        <v>0</v>
      </c>
      <c r="T54" s="1088">
        <f t="shared" si="13"/>
        <v>0</v>
      </c>
      <c r="U54" s="1089">
        <f t="shared" si="14"/>
        <v>0</v>
      </c>
      <c r="V54" s="1089">
        <f t="shared" si="14"/>
        <v>0</v>
      </c>
    </row>
    <row r="55" spans="1:22">
      <c r="A55" s="1028">
        <v>49</v>
      </c>
      <c r="B55" s="1029" t="s">
        <v>149</v>
      </c>
      <c r="C55" s="1295">
        <f>'Table 8 2.1.12 MFP Funded'!S52</f>
        <v>0</v>
      </c>
      <c r="D55" s="1037">
        <f>'Table 3 Levels 1&amp;2'!AL56</f>
        <v>4800.2172145077111</v>
      </c>
      <c r="E55" s="1139">
        <f t="shared" si="2"/>
        <v>0</v>
      </c>
      <c r="F55" s="1139">
        <f>'Table 4 Level 3'!P54</f>
        <v>574.43999999999994</v>
      </c>
      <c r="G55" s="1139">
        <f t="shared" si="3"/>
        <v>0</v>
      </c>
      <c r="H55" s="1094">
        <f t="shared" si="4"/>
        <v>0</v>
      </c>
      <c r="I55" s="1149">
        <f t="shared" si="5"/>
        <v>0</v>
      </c>
      <c r="J55" s="1094">
        <f t="shared" si="6"/>
        <v>0</v>
      </c>
      <c r="K55" s="1094">
        <v>0</v>
      </c>
      <c r="L55" s="1094">
        <f t="shared" si="7"/>
        <v>0</v>
      </c>
      <c r="M55" s="1094">
        <f t="shared" si="8"/>
        <v>0</v>
      </c>
      <c r="N55" s="1086">
        <f>'[8]FY2012-13 Initial'!$K56</f>
        <v>2326</v>
      </c>
      <c r="O55" s="1088">
        <f t="shared" si="9"/>
        <v>0</v>
      </c>
      <c r="P55" s="1155">
        <f t="shared" si="10"/>
        <v>0</v>
      </c>
      <c r="Q55" s="1088">
        <f t="shared" si="11"/>
        <v>0</v>
      </c>
      <c r="R55" s="1088">
        <v>0</v>
      </c>
      <c r="S55" s="1088">
        <f t="shared" si="12"/>
        <v>0</v>
      </c>
      <c r="T55" s="1088">
        <f t="shared" si="13"/>
        <v>0</v>
      </c>
      <c r="U55" s="1089">
        <f t="shared" si="14"/>
        <v>0</v>
      </c>
      <c r="V55" s="1089">
        <f t="shared" si="14"/>
        <v>0</v>
      </c>
    </row>
    <row r="56" spans="1:22">
      <c r="A56" s="1032">
        <v>50</v>
      </c>
      <c r="B56" s="1033" t="s">
        <v>150</v>
      </c>
      <c r="C56" s="1296">
        <f>'Table 8 2.1.12 MFP Funded'!S53</f>
        <v>0</v>
      </c>
      <c r="D56" s="1039">
        <f>'Table 3 Levels 1&amp;2'!AL57</f>
        <v>5059.523754419537</v>
      </c>
      <c r="E56" s="1140">
        <f t="shared" si="2"/>
        <v>0</v>
      </c>
      <c r="F56" s="1140">
        <f>'Table 4 Level 3'!P55</f>
        <v>634.46</v>
      </c>
      <c r="G56" s="1140">
        <f t="shared" si="3"/>
        <v>0</v>
      </c>
      <c r="H56" s="1095">
        <f t="shared" si="4"/>
        <v>0</v>
      </c>
      <c r="I56" s="1150">
        <f t="shared" si="5"/>
        <v>0</v>
      </c>
      <c r="J56" s="1095">
        <f t="shared" si="6"/>
        <v>0</v>
      </c>
      <c r="K56" s="1095">
        <v>0</v>
      </c>
      <c r="L56" s="1095">
        <f t="shared" si="7"/>
        <v>0</v>
      </c>
      <c r="M56" s="1095">
        <f t="shared" si="8"/>
        <v>0</v>
      </c>
      <c r="N56" s="1091">
        <f>'[8]FY2012-13 Initial'!$K57</f>
        <v>2574</v>
      </c>
      <c r="O56" s="1092">
        <f t="shared" si="9"/>
        <v>0</v>
      </c>
      <c r="P56" s="1156">
        <f t="shared" si="10"/>
        <v>0</v>
      </c>
      <c r="Q56" s="1092">
        <f t="shared" si="11"/>
        <v>0</v>
      </c>
      <c r="R56" s="1092">
        <v>0</v>
      </c>
      <c r="S56" s="1092">
        <f t="shared" si="12"/>
        <v>0</v>
      </c>
      <c r="T56" s="1092">
        <f t="shared" si="13"/>
        <v>0</v>
      </c>
      <c r="U56" s="1093">
        <f t="shared" si="14"/>
        <v>0</v>
      </c>
      <c r="V56" s="1093">
        <f t="shared" si="14"/>
        <v>0</v>
      </c>
    </row>
    <row r="57" spans="1:22">
      <c r="A57" s="1021">
        <v>51</v>
      </c>
      <c r="B57" s="1022" t="s">
        <v>151</v>
      </c>
      <c r="C57" s="1297">
        <f>'Table 8 2.1.12 MFP Funded'!S54</f>
        <v>0</v>
      </c>
      <c r="D57" s="1041">
        <f>'Table 3 Levels 1&amp;2'!AL58</f>
        <v>4384.0477116019692</v>
      </c>
      <c r="E57" s="1141">
        <f t="shared" si="2"/>
        <v>0</v>
      </c>
      <c r="F57" s="1141">
        <f>'Table 4 Level 3'!P56</f>
        <v>706.66</v>
      </c>
      <c r="G57" s="1141">
        <f t="shared" si="3"/>
        <v>0</v>
      </c>
      <c r="H57" s="1096">
        <f t="shared" si="4"/>
        <v>0</v>
      </c>
      <c r="I57" s="1151">
        <f t="shared" si="5"/>
        <v>0</v>
      </c>
      <c r="J57" s="1096">
        <f t="shared" si="6"/>
        <v>0</v>
      </c>
      <c r="K57" s="1096">
        <v>0</v>
      </c>
      <c r="L57" s="1096">
        <f t="shared" si="7"/>
        <v>0</v>
      </c>
      <c r="M57" s="1096">
        <f t="shared" si="8"/>
        <v>0</v>
      </c>
      <c r="N57" s="1086">
        <f>'[8]FY2012-13 Initial'!$K58</f>
        <v>3943</v>
      </c>
      <c r="O57" s="1026">
        <f t="shared" si="9"/>
        <v>0</v>
      </c>
      <c r="P57" s="1154">
        <f t="shared" si="10"/>
        <v>0</v>
      </c>
      <c r="Q57" s="1026">
        <f t="shared" si="11"/>
        <v>0</v>
      </c>
      <c r="R57" s="1026">
        <v>0</v>
      </c>
      <c r="S57" s="1026">
        <f t="shared" si="12"/>
        <v>0</v>
      </c>
      <c r="T57" s="1026">
        <f t="shared" si="13"/>
        <v>0</v>
      </c>
      <c r="U57" s="1027">
        <f t="shared" si="14"/>
        <v>0</v>
      </c>
      <c r="V57" s="1027">
        <f t="shared" si="14"/>
        <v>0</v>
      </c>
    </row>
    <row r="58" spans="1:22">
      <c r="A58" s="1028">
        <v>52</v>
      </c>
      <c r="B58" s="1029" t="s">
        <v>152</v>
      </c>
      <c r="C58" s="1295">
        <f>'Table 8 2.1.12 MFP Funded'!S55</f>
        <v>0</v>
      </c>
      <c r="D58" s="1037">
        <f>'Table 3 Levels 1&amp;2'!AL59</f>
        <v>4920.0697942988754</v>
      </c>
      <c r="E58" s="1139">
        <f t="shared" si="2"/>
        <v>0</v>
      </c>
      <c r="F58" s="1139">
        <f>'Table 4 Level 3'!P57</f>
        <v>658.37</v>
      </c>
      <c r="G58" s="1139">
        <f t="shared" si="3"/>
        <v>0</v>
      </c>
      <c r="H58" s="1094">
        <f t="shared" si="4"/>
        <v>0</v>
      </c>
      <c r="I58" s="1149">
        <f t="shared" si="5"/>
        <v>0</v>
      </c>
      <c r="J58" s="1094">
        <f t="shared" si="6"/>
        <v>0</v>
      </c>
      <c r="K58" s="1094">
        <v>0</v>
      </c>
      <c r="L58" s="1094">
        <f t="shared" si="7"/>
        <v>0</v>
      </c>
      <c r="M58" s="1094">
        <f t="shared" si="8"/>
        <v>0</v>
      </c>
      <c r="N58" s="1086">
        <f>'[8]FY2012-13 Initial'!$K59</f>
        <v>4750</v>
      </c>
      <c r="O58" s="1088">
        <f t="shared" si="9"/>
        <v>0</v>
      </c>
      <c r="P58" s="1155">
        <f t="shared" si="10"/>
        <v>0</v>
      </c>
      <c r="Q58" s="1088">
        <f t="shared" si="11"/>
        <v>0</v>
      </c>
      <c r="R58" s="1088">
        <v>0</v>
      </c>
      <c r="S58" s="1088">
        <f t="shared" si="12"/>
        <v>0</v>
      </c>
      <c r="T58" s="1088">
        <f t="shared" si="13"/>
        <v>0</v>
      </c>
      <c r="U58" s="1089">
        <f t="shared" si="14"/>
        <v>0</v>
      </c>
      <c r="V58" s="1089">
        <f t="shared" si="14"/>
        <v>0</v>
      </c>
    </row>
    <row r="59" spans="1:22">
      <c r="A59" s="1028">
        <v>53</v>
      </c>
      <c r="B59" s="1029" t="s">
        <v>153</v>
      </c>
      <c r="C59" s="1295">
        <f>'Table 8 2.1.12 MFP Funded'!S56</f>
        <v>0</v>
      </c>
      <c r="D59" s="1037">
        <f>'Table 3 Levels 1&amp;2'!AL60</f>
        <v>4784.2719870767614</v>
      </c>
      <c r="E59" s="1139">
        <f t="shared" si="2"/>
        <v>0</v>
      </c>
      <c r="F59" s="1139">
        <f>'Table 4 Level 3'!P58</f>
        <v>689.74</v>
      </c>
      <c r="G59" s="1139">
        <f t="shared" si="3"/>
        <v>0</v>
      </c>
      <c r="H59" s="1094">
        <f t="shared" si="4"/>
        <v>0</v>
      </c>
      <c r="I59" s="1149">
        <f t="shared" si="5"/>
        <v>0</v>
      </c>
      <c r="J59" s="1094">
        <f t="shared" si="6"/>
        <v>0</v>
      </c>
      <c r="K59" s="1094">
        <v>0</v>
      </c>
      <c r="L59" s="1094">
        <f t="shared" si="7"/>
        <v>0</v>
      </c>
      <c r="M59" s="1094">
        <f t="shared" si="8"/>
        <v>0</v>
      </c>
      <c r="N59" s="1086">
        <f>'[8]FY2012-13 Initial'!$K60</f>
        <v>1913</v>
      </c>
      <c r="O59" s="1088">
        <f t="shared" si="9"/>
        <v>0</v>
      </c>
      <c r="P59" s="1155">
        <f t="shared" si="10"/>
        <v>0</v>
      </c>
      <c r="Q59" s="1088">
        <f t="shared" si="11"/>
        <v>0</v>
      </c>
      <c r="R59" s="1088">
        <v>0</v>
      </c>
      <c r="S59" s="1088">
        <f t="shared" si="12"/>
        <v>0</v>
      </c>
      <c r="T59" s="1088">
        <f t="shared" si="13"/>
        <v>0</v>
      </c>
      <c r="U59" s="1089">
        <f t="shared" si="14"/>
        <v>0</v>
      </c>
      <c r="V59" s="1089">
        <f t="shared" si="14"/>
        <v>0</v>
      </c>
    </row>
    <row r="60" spans="1:22">
      <c r="A60" s="1028">
        <v>54</v>
      </c>
      <c r="B60" s="1029" t="s">
        <v>154</v>
      </c>
      <c r="C60" s="1295">
        <f>'Table 8 2.1.12 MFP Funded'!S57</f>
        <v>0</v>
      </c>
      <c r="D60" s="1037">
        <f>'Table 3 Levels 1&amp;2'!AL61</f>
        <v>5982.5555386476462</v>
      </c>
      <c r="E60" s="1139">
        <f t="shared" si="2"/>
        <v>0</v>
      </c>
      <c r="F60" s="1139">
        <f>'Table 4 Level 3'!P59</f>
        <v>951.45</v>
      </c>
      <c r="G60" s="1139">
        <f t="shared" si="3"/>
        <v>0</v>
      </c>
      <c r="H60" s="1094">
        <f t="shared" si="4"/>
        <v>0</v>
      </c>
      <c r="I60" s="1149">
        <f t="shared" si="5"/>
        <v>0</v>
      </c>
      <c r="J60" s="1094">
        <f t="shared" si="6"/>
        <v>0</v>
      </c>
      <c r="K60" s="1094">
        <v>0</v>
      </c>
      <c r="L60" s="1094">
        <f t="shared" si="7"/>
        <v>0</v>
      </c>
      <c r="M60" s="1094">
        <f t="shared" si="8"/>
        <v>0</v>
      </c>
      <c r="N60" s="1086">
        <f>'[8]FY2012-13 Initial'!$K61</f>
        <v>3264</v>
      </c>
      <c r="O60" s="1088">
        <f t="shared" si="9"/>
        <v>0</v>
      </c>
      <c r="P60" s="1155">
        <f t="shared" si="10"/>
        <v>0</v>
      </c>
      <c r="Q60" s="1088">
        <f t="shared" si="11"/>
        <v>0</v>
      </c>
      <c r="R60" s="1088">
        <v>0</v>
      </c>
      <c r="S60" s="1088">
        <f t="shared" si="12"/>
        <v>0</v>
      </c>
      <c r="T60" s="1088">
        <f t="shared" si="13"/>
        <v>0</v>
      </c>
      <c r="U60" s="1089">
        <f t="shared" si="14"/>
        <v>0</v>
      </c>
      <c r="V60" s="1089">
        <f t="shared" si="14"/>
        <v>0</v>
      </c>
    </row>
    <row r="61" spans="1:22">
      <c r="A61" s="1032">
        <v>55</v>
      </c>
      <c r="B61" s="1033" t="s">
        <v>155</v>
      </c>
      <c r="C61" s="1296">
        <f>'Table 8 2.1.12 MFP Funded'!S58</f>
        <v>0</v>
      </c>
      <c r="D61" s="1039">
        <f>'Table 3 Levels 1&amp;2'!AL62</f>
        <v>4087.4017448818722</v>
      </c>
      <c r="E61" s="1140">
        <f t="shared" si="2"/>
        <v>0</v>
      </c>
      <c r="F61" s="1140">
        <f>'Table 4 Level 3'!P60</f>
        <v>795.14</v>
      </c>
      <c r="G61" s="1140">
        <f t="shared" si="3"/>
        <v>0</v>
      </c>
      <c r="H61" s="1095">
        <f t="shared" si="4"/>
        <v>0</v>
      </c>
      <c r="I61" s="1150">
        <f t="shared" si="5"/>
        <v>0</v>
      </c>
      <c r="J61" s="1095">
        <f t="shared" si="6"/>
        <v>0</v>
      </c>
      <c r="K61" s="1095">
        <v>0</v>
      </c>
      <c r="L61" s="1095">
        <f t="shared" si="7"/>
        <v>0</v>
      </c>
      <c r="M61" s="1095">
        <f t="shared" si="8"/>
        <v>0</v>
      </c>
      <c r="N61" s="1091">
        <f>'[8]FY2012-13 Initial'!$K62</f>
        <v>3071</v>
      </c>
      <c r="O61" s="1092">
        <f t="shared" si="9"/>
        <v>0</v>
      </c>
      <c r="P61" s="1156">
        <f t="shared" si="10"/>
        <v>0</v>
      </c>
      <c r="Q61" s="1092">
        <f t="shared" si="11"/>
        <v>0</v>
      </c>
      <c r="R61" s="1092">
        <v>0</v>
      </c>
      <c r="S61" s="1092">
        <f t="shared" si="12"/>
        <v>0</v>
      </c>
      <c r="T61" s="1092">
        <f t="shared" si="13"/>
        <v>0</v>
      </c>
      <c r="U61" s="1093">
        <f t="shared" si="14"/>
        <v>0</v>
      </c>
      <c r="V61" s="1093">
        <f t="shared" si="14"/>
        <v>0</v>
      </c>
    </row>
    <row r="62" spans="1:22">
      <c r="A62" s="1021">
        <v>56</v>
      </c>
      <c r="B62" s="1022" t="s">
        <v>156</v>
      </c>
      <c r="C62" s="1297">
        <f>'Table 8 2.1.12 MFP Funded'!S59</f>
        <v>352</v>
      </c>
      <c r="D62" s="1041">
        <f>'Table 3 Levels 1&amp;2'!AL63</f>
        <v>5052.2250942802684</v>
      </c>
      <c r="E62" s="1141">
        <f t="shared" si="2"/>
        <v>1778383.2331866545</v>
      </c>
      <c r="F62" s="1141">
        <f>'Table 4 Level 3'!P61</f>
        <v>614.66000000000008</v>
      </c>
      <c r="G62" s="1141">
        <f t="shared" si="3"/>
        <v>216360.32000000004</v>
      </c>
      <c r="H62" s="1096">
        <f t="shared" si="4"/>
        <v>1994743.5531866546</v>
      </c>
      <c r="I62" s="1151">
        <f t="shared" si="5"/>
        <v>-4986.8588829666369</v>
      </c>
      <c r="J62" s="1096">
        <f t="shared" si="6"/>
        <v>1989756.6943036879</v>
      </c>
      <c r="K62" s="1382">
        <v>-4837.7519524325298</v>
      </c>
      <c r="L62" s="1096">
        <f t="shared" si="7"/>
        <v>1984918.9423512553</v>
      </c>
      <c r="M62" s="1096">
        <f t="shared" si="8"/>
        <v>165409.91186260461</v>
      </c>
      <c r="N62" s="1086">
        <f>'[8]FY2012-13 Initial'!$K63</f>
        <v>2630</v>
      </c>
      <c r="O62" s="1026">
        <f t="shared" si="9"/>
        <v>925760</v>
      </c>
      <c r="P62" s="1154">
        <f t="shared" si="10"/>
        <v>-2314.4</v>
      </c>
      <c r="Q62" s="1026">
        <f t="shared" si="11"/>
        <v>923445.6</v>
      </c>
      <c r="R62" s="1026">
        <v>0</v>
      </c>
      <c r="S62" s="1026">
        <f t="shared" si="12"/>
        <v>923445.6</v>
      </c>
      <c r="T62" s="1026">
        <f t="shared" si="13"/>
        <v>76953.8</v>
      </c>
      <c r="U62" s="1027">
        <f t="shared" si="14"/>
        <v>2908364.5423512552</v>
      </c>
      <c r="V62" s="1027">
        <f t="shared" si="14"/>
        <v>242363.7118626046</v>
      </c>
    </row>
    <row r="63" spans="1:22">
      <c r="A63" s="1028">
        <v>57</v>
      </c>
      <c r="B63" s="1029" t="s">
        <v>157</v>
      </c>
      <c r="C63" s="1295">
        <f>'Table 8 2.1.12 MFP Funded'!S60</f>
        <v>0</v>
      </c>
      <c r="D63" s="1037">
        <f>'Table 3 Levels 1&amp;2'!AL64</f>
        <v>4389.3863180380931</v>
      </c>
      <c r="E63" s="1139">
        <f t="shared" si="2"/>
        <v>0</v>
      </c>
      <c r="F63" s="1139">
        <f>'Table 4 Level 3'!P62</f>
        <v>764.51</v>
      </c>
      <c r="G63" s="1139">
        <f t="shared" si="3"/>
        <v>0</v>
      </c>
      <c r="H63" s="1094">
        <f t="shared" si="4"/>
        <v>0</v>
      </c>
      <c r="I63" s="1149">
        <f t="shared" si="5"/>
        <v>0</v>
      </c>
      <c r="J63" s="1094">
        <f t="shared" si="6"/>
        <v>0</v>
      </c>
      <c r="K63" s="1094">
        <v>0</v>
      </c>
      <c r="L63" s="1094">
        <f t="shared" si="7"/>
        <v>0</v>
      </c>
      <c r="M63" s="1094">
        <f t="shared" si="8"/>
        <v>0</v>
      </c>
      <c r="N63" s="1086">
        <f>'[8]FY2012-13 Initial'!$K64</f>
        <v>3053</v>
      </c>
      <c r="O63" s="1088">
        <f t="shared" si="9"/>
        <v>0</v>
      </c>
      <c r="P63" s="1155">
        <f t="shared" si="10"/>
        <v>0</v>
      </c>
      <c r="Q63" s="1088">
        <f t="shared" si="11"/>
        <v>0</v>
      </c>
      <c r="R63" s="1088">
        <v>0</v>
      </c>
      <c r="S63" s="1088">
        <f t="shared" si="12"/>
        <v>0</v>
      </c>
      <c r="T63" s="1088">
        <f t="shared" si="13"/>
        <v>0</v>
      </c>
      <c r="U63" s="1089">
        <f t="shared" si="14"/>
        <v>0</v>
      </c>
      <c r="V63" s="1089">
        <f t="shared" si="14"/>
        <v>0</v>
      </c>
    </row>
    <row r="64" spans="1:22">
      <c r="A64" s="1028">
        <v>58</v>
      </c>
      <c r="B64" s="1029" t="s">
        <v>158</v>
      </c>
      <c r="C64" s="1295">
        <f>'Table 8 2.1.12 MFP Funded'!S61</f>
        <v>0</v>
      </c>
      <c r="D64" s="1037">
        <f>'Table 3 Levels 1&amp;2'!AL65</f>
        <v>5325.8881107130073</v>
      </c>
      <c r="E64" s="1139">
        <f t="shared" si="2"/>
        <v>0</v>
      </c>
      <c r="F64" s="1139">
        <f>'Table 4 Level 3'!P63</f>
        <v>697.04</v>
      </c>
      <c r="G64" s="1139">
        <f t="shared" si="3"/>
        <v>0</v>
      </c>
      <c r="H64" s="1094">
        <f t="shared" si="4"/>
        <v>0</v>
      </c>
      <c r="I64" s="1149">
        <f t="shared" si="5"/>
        <v>0</v>
      </c>
      <c r="J64" s="1094">
        <f t="shared" si="6"/>
        <v>0</v>
      </c>
      <c r="K64" s="1094">
        <v>0</v>
      </c>
      <c r="L64" s="1094">
        <f t="shared" si="7"/>
        <v>0</v>
      </c>
      <c r="M64" s="1094">
        <f t="shared" si="8"/>
        <v>0</v>
      </c>
      <c r="N64" s="1086">
        <f>'[8]FY2012-13 Initial'!$K65</f>
        <v>1917</v>
      </c>
      <c r="O64" s="1088">
        <f t="shared" si="9"/>
        <v>0</v>
      </c>
      <c r="P64" s="1155">
        <f t="shared" si="10"/>
        <v>0</v>
      </c>
      <c r="Q64" s="1088">
        <f t="shared" si="11"/>
        <v>0</v>
      </c>
      <c r="R64" s="1088">
        <v>0</v>
      </c>
      <c r="S64" s="1088">
        <f t="shared" si="12"/>
        <v>0</v>
      </c>
      <c r="T64" s="1088">
        <f t="shared" si="13"/>
        <v>0</v>
      </c>
      <c r="U64" s="1089">
        <f t="shared" si="14"/>
        <v>0</v>
      </c>
      <c r="V64" s="1089">
        <f t="shared" si="14"/>
        <v>0</v>
      </c>
    </row>
    <row r="65" spans="1:22">
      <c r="A65" s="1028">
        <v>59</v>
      </c>
      <c r="B65" s="1029" t="s">
        <v>159</v>
      </c>
      <c r="C65" s="1295">
        <f>'Table 8 2.1.12 MFP Funded'!S62</f>
        <v>0</v>
      </c>
      <c r="D65" s="1037">
        <f>'Table 3 Levels 1&amp;2'!AL66</f>
        <v>6328.4963620482158</v>
      </c>
      <c r="E65" s="1139">
        <f t="shared" si="2"/>
        <v>0</v>
      </c>
      <c r="F65" s="1139">
        <f>'Table 4 Level 3'!P64</f>
        <v>689.52</v>
      </c>
      <c r="G65" s="1139">
        <f t="shared" si="3"/>
        <v>0</v>
      </c>
      <c r="H65" s="1094">
        <f t="shared" si="4"/>
        <v>0</v>
      </c>
      <c r="I65" s="1149">
        <f t="shared" si="5"/>
        <v>0</v>
      </c>
      <c r="J65" s="1094">
        <f t="shared" si="6"/>
        <v>0</v>
      </c>
      <c r="K65" s="1094">
        <v>0</v>
      </c>
      <c r="L65" s="1094">
        <f t="shared" si="7"/>
        <v>0</v>
      </c>
      <c r="M65" s="1094">
        <f t="shared" si="8"/>
        <v>0</v>
      </c>
      <c r="N65" s="1086">
        <f>'[8]FY2012-13 Initial'!$K66</f>
        <v>1553</v>
      </c>
      <c r="O65" s="1088">
        <f t="shared" si="9"/>
        <v>0</v>
      </c>
      <c r="P65" s="1155">
        <f t="shared" si="10"/>
        <v>0</v>
      </c>
      <c r="Q65" s="1088">
        <f t="shared" si="11"/>
        <v>0</v>
      </c>
      <c r="R65" s="1088">
        <v>0</v>
      </c>
      <c r="S65" s="1088">
        <f t="shared" si="12"/>
        <v>0</v>
      </c>
      <c r="T65" s="1088">
        <f t="shared" si="13"/>
        <v>0</v>
      </c>
      <c r="U65" s="1089">
        <f t="shared" si="14"/>
        <v>0</v>
      </c>
      <c r="V65" s="1089">
        <f t="shared" si="14"/>
        <v>0</v>
      </c>
    </row>
    <row r="66" spans="1:22">
      <c r="A66" s="1032">
        <v>60</v>
      </c>
      <c r="B66" s="1033" t="s">
        <v>160</v>
      </c>
      <c r="C66" s="1296">
        <f>'Table 8 2.1.12 MFP Funded'!S63</f>
        <v>0</v>
      </c>
      <c r="D66" s="1039">
        <f>'Table 3 Levels 1&amp;2'!AL67</f>
        <v>4825.1723230627122</v>
      </c>
      <c r="E66" s="1140">
        <f t="shared" si="2"/>
        <v>0</v>
      </c>
      <c r="F66" s="1140">
        <f>'Table 4 Level 3'!P65</f>
        <v>594.04</v>
      </c>
      <c r="G66" s="1140">
        <f t="shared" si="3"/>
        <v>0</v>
      </c>
      <c r="H66" s="1095">
        <f t="shared" si="4"/>
        <v>0</v>
      </c>
      <c r="I66" s="1150">
        <f t="shared" si="5"/>
        <v>0</v>
      </c>
      <c r="J66" s="1095">
        <f t="shared" si="6"/>
        <v>0</v>
      </c>
      <c r="K66" s="1095">
        <v>0</v>
      </c>
      <c r="L66" s="1095">
        <f t="shared" si="7"/>
        <v>0</v>
      </c>
      <c r="M66" s="1095">
        <f t="shared" si="8"/>
        <v>0</v>
      </c>
      <c r="N66" s="1091">
        <f>'[8]FY2012-13 Initial'!$K67</f>
        <v>3798</v>
      </c>
      <c r="O66" s="1092">
        <f t="shared" si="9"/>
        <v>0</v>
      </c>
      <c r="P66" s="1156">
        <f t="shared" si="10"/>
        <v>0</v>
      </c>
      <c r="Q66" s="1092">
        <f t="shared" si="11"/>
        <v>0</v>
      </c>
      <c r="R66" s="1092">
        <v>0</v>
      </c>
      <c r="S66" s="1092">
        <f t="shared" si="12"/>
        <v>0</v>
      </c>
      <c r="T66" s="1092">
        <f t="shared" si="13"/>
        <v>0</v>
      </c>
      <c r="U66" s="1093">
        <f t="shared" si="14"/>
        <v>0</v>
      </c>
      <c r="V66" s="1093">
        <f t="shared" si="14"/>
        <v>0</v>
      </c>
    </row>
    <row r="67" spans="1:22">
      <c r="A67" s="1021">
        <v>61</v>
      </c>
      <c r="B67" s="1022" t="s">
        <v>161</v>
      </c>
      <c r="C67" s="1297">
        <f>'Table 8 2.1.12 MFP Funded'!S64</f>
        <v>0</v>
      </c>
      <c r="D67" s="1041">
        <f>'Table 3 Levels 1&amp;2'!AL68</f>
        <v>3063.3110364585282</v>
      </c>
      <c r="E67" s="1141">
        <f t="shared" si="2"/>
        <v>0</v>
      </c>
      <c r="F67" s="1141">
        <f>'Table 4 Level 3'!P66</f>
        <v>833.70999999999992</v>
      </c>
      <c r="G67" s="1141">
        <f t="shared" si="3"/>
        <v>0</v>
      </c>
      <c r="H67" s="1096">
        <f t="shared" si="4"/>
        <v>0</v>
      </c>
      <c r="I67" s="1151">
        <f t="shared" si="5"/>
        <v>0</v>
      </c>
      <c r="J67" s="1096">
        <f t="shared" si="6"/>
        <v>0</v>
      </c>
      <c r="K67" s="1096">
        <v>0</v>
      </c>
      <c r="L67" s="1096">
        <f t="shared" si="7"/>
        <v>0</v>
      </c>
      <c r="M67" s="1096">
        <f t="shared" si="8"/>
        <v>0</v>
      </c>
      <c r="N67" s="1086">
        <f>'[8]FY2012-13 Initial'!$K68</f>
        <v>6727</v>
      </c>
      <c r="O67" s="1026">
        <f t="shared" si="9"/>
        <v>0</v>
      </c>
      <c r="P67" s="1154">
        <f t="shared" si="10"/>
        <v>0</v>
      </c>
      <c r="Q67" s="1026">
        <f t="shared" si="11"/>
        <v>0</v>
      </c>
      <c r="R67" s="1026">
        <v>0</v>
      </c>
      <c r="S67" s="1026">
        <f t="shared" si="12"/>
        <v>0</v>
      </c>
      <c r="T67" s="1026">
        <f t="shared" si="13"/>
        <v>0</v>
      </c>
      <c r="U67" s="1027">
        <f t="shared" si="14"/>
        <v>0</v>
      </c>
      <c r="V67" s="1027">
        <f t="shared" si="14"/>
        <v>0</v>
      </c>
    </row>
    <row r="68" spans="1:22">
      <c r="A68" s="1028">
        <v>62</v>
      </c>
      <c r="B68" s="1029" t="s">
        <v>162</v>
      </c>
      <c r="C68" s="1295">
        <f>'Table 8 2.1.12 MFP Funded'!S65</f>
        <v>0</v>
      </c>
      <c r="D68" s="1037">
        <f>'Table 3 Levels 1&amp;2'!AL69</f>
        <v>5564.645485869667</v>
      </c>
      <c r="E68" s="1139">
        <f t="shared" si="2"/>
        <v>0</v>
      </c>
      <c r="F68" s="1139">
        <f>'Table 4 Level 3'!P67</f>
        <v>516.08000000000004</v>
      </c>
      <c r="G68" s="1139">
        <f t="shared" si="3"/>
        <v>0</v>
      </c>
      <c r="H68" s="1094">
        <f t="shared" si="4"/>
        <v>0</v>
      </c>
      <c r="I68" s="1149">
        <f t="shared" si="5"/>
        <v>0</v>
      </c>
      <c r="J68" s="1094">
        <f t="shared" si="6"/>
        <v>0</v>
      </c>
      <c r="K68" s="1094">
        <v>0</v>
      </c>
      <c r="L68" s="1094">
        <f t="shared" si="7"/>
        <v>0</v>
      </c>
      <c r="M68" s="1094">
        <f t="shared" si="8"/>
        <v>0</v>
      </c>
      <c r="N68" s="1086">
        <f>'[8]FY2012-13 Initial'!$K69</f>
        <v>1678</v>
      </c>
      <c r="O68" s="1088">
        <f t="shared" si="9"/>
        <v>0</v>
      </c>
      <c r="P68" s="1155">
        <f t="shared" si="10"/>
        <v>0</v>
      </c>
      <c r="Q68" s="1088">
        <f t="shared" si="11"/>
        <v>0</v>
      </c>
      <c r="R68" s="1088">
        <v>0</v>
      </c>
      <c r="S68" s="1088">
        <f t="shared" si="12"/>
        <v>0</v>
      </c>
      <c r="T68" s="1088">
        <f t="shared" si="13"/>
        <v>0</v>
      </c>
      <c r="U68" s="1089">
        <f t="shared" si="14"/>
        <v>0</v>
      </c>
      <c r="V68" s="1089">
        <f t="shared" si="14"/>
        <v>0</v>
      </c>
    </row>
    <row r="69" spans="1:22">
      <c r="A69" s="1028">
        <v>63</v>
      </c>
      <c r="B69" s="1029" t="s">
        <v>163</v>
      </c>
      <c r="C69" s="1295">
        <f>'Table 8 2.1.12 MFP Funded'!S66</f>
        <v>0</v>
      </c>
      <c r="D69" s="1037">
        <f>'Table 3 Levels 1&amp;2'!AL70</f>
        <v>4414.1775336636538</v>
      </c>
      <c r="E69" s="1139">
        <f t="shared" si="2"/>
        <v>0</v>
      </c>
      <c r="F69" s="1139">
        <f>'Table 4 Level 3'!P68</f>
        <v>756.79</v>
      </c>
      <c r="G69" s="1139">
        <f t="shared" si="3"/>
        <v>0</v>
      </c>
      <c r="H69" s="1094">
        <f t="shared" si="4"/>
        <v>0</v>
      </c>
      <c r="I69" s="1149">
        <f t="shared" si="5"/>
        <v>0</v>
      </c>
      <c r="J69" s="1094">
        <f t="shared" si="6"/>
        <v>0</v>
      </c>
      <c r="K69" s="1094">
        <v>0</v>
      </c>
      <c r="L69" s="1094">
        <f t="shared" si="7"/>
        <v>0</v>
      </c>
      <c r="M69" s="1094">
        <f t="shared" si="8"/>
        <v>0</v>
      </c>
      <c r="N69" s="1086">
        <f>'[8]FY2012-13 Initial'!$K70</f>
        <v>6524</v>
      </c>
      <c r="O69" s="1088">
        <f t="shared" si="9"/>
        <v>0</v>
      </c>
      <c r="P69" s="1155">
        <f t="shared" si="10"/>
        <v>0</v>
      </c>
      <c r="Q69" s="1088">
        <f t="shared" si="11"/>
        <v>0</v>
      </c>
      <c r="R69" s="1088">
        <v>0</v>
      </c>
      <c r="S69" s="1088">
        <f t="shared" si="12"/>
        <v>0</v>
      </c>
      <c r="T69" s="1088">
        <f t="shared" si="13"/>
        <v>0</v>
      </c>
      <c r="U69" s="1089">
        <f t="shared" si="14"/>
        <v>0</v>
      </c>
      <c r="V69" s="1089">
        <f t="shared" si="14"/>
        <v>0</v>
      </c>
    </row>
    <row r="70" spans="1:22">
      <c r="A70" s="1028">
        <v>64</v>
      </c>
      <c r="B70" s="1029" t="s">
        <v>164</v>
      </c>
      <c r="C70" s="1295">
        <f>'Table 8 2.1.12 MFP Funded'!S67</f>
        <v>0</v>
      </c>
      <c r="D70" s="1037">
        <f>'Table 3 Levels 1&amp;2'!AL71</f>
        <v>5871.0485811924027</v>
      </c>
      <c r="E70" s="1139">
        <f t="shared" si="2"/>
        <v>0</v>
      </c>
      <c r="F70" s="1139">
        <f>'Table 4 Level 3'!P69</f>
        <v>592.66</v>
      </c>
      <c r="G70" s="1139">
        <f t="shared" si="3"/>
        <v>0</v>
      </c>
      <c r="H70" s="1094">
        <f t="shared" si="4"/>
        <v>0</v>
      </c>
      <c r="I70" s="1149">
        <f t="shared" si="5"/>
        <v>0</v>
      </c>
      <c r="J70" s="1094">
        <f t="shared" si="6"/>
        <v>0</v>
      </c>
      <c r="K70" s="1094">
        <v>0</v>
      </c>
      <c r="L70" s="1094">
        <f t="shared" si="7"/>
        <v>0</v>
      </c>
      <c r="M70" s="1094">
        <f t="shared" si="8"/>
        <v>0</v>
      </c>
      <c r="N70" s="1086">
        <f>'[8]FY2012-13 Initial'!$K71</f>
        <v>2658</v>
      </c>
      <c r="O70" s="1088">
        <f t="shared" si="9"/>
        <v>0</v>
      </c>
      <c r="P70" s="1155">
        <f t="shared" si="10"/>
        <v>0</v>
      </c>
      <c r="Q70" s="1088">
        <f t="shared" si="11"/>
        <v>0</v>
      </c>
      <c r="R70" s="1088">
        <v>0</v>
      </c>
      <c r="S70" s="1088">
        <f t="shared" si="12"/>
        <v>0</v>
      </c>
      <c r="T70" s="1088">
        <f t="shared" si="13"/>
        <v>0</v>
      </c>
      <c r="U70" s="1089">
        <f t="shared" si="14"/>
        <v>0</v>
      </c>
      <c r="V70" s="1089">
        <f t="shared" si="14"/>
        <v>0</v>
      </c>
    </row>
    <row r="71" spans="1:22">
      <c r="A71" s="1032">
        <v>65</v>
      </c>
      <c r="B71" s="1033" t="s">
        <v>165</v>
      </c>
      <c r="C71" s="1296">
        <f>'Table 8 2.1.12 MFP Funded'!S68</f>
        <v>0</v>
      </c>
      <c r="D71" s="1039">
        <f>'Table 3 Levels 1&amp;2'!AL72</f>
        <v>4602.2046951319899</v>
      </c>
      <c r="E71" s="1140">
        <f t="shared" si="2"/>
        <v>0</v>
      </c>
      <c r="F71" s="1140">
        <f>'Table 4 Level 3'!P70</f>
        <v>829.12</v>
      </c>
      <c r="G71" s="1140">
        <f t="shared" si="3"/>
        <v>0</v>
      </c>
      <c r="H71" s="1095">
        <f t="shared" si="4"/>
        <v>0</v>
      </c>
      <c r="I71" s="1150">
        <f t="shared" si="5"/>
        <v>0</v>
      </c>
      <c r="J71" s="1095">
        <f t="shared" si="6"/>
        <v>0</v>
      </c>
      <c r="K71" s="1095">
        <v>0</v>
      </c>
      <c r="L71" s="1095">
        <f t="shared" si="7"/>
        <v>0</v>
      </c>
      <c r="M71" s="1095">
        <f t="shared" si="8"/>
        <v>0</v>
      </c>
      <c r="N71" s="1091">
        <f>'[8]FY2012-13 Initial'!$K72</f>
        <v>4631</v>
      </c>
      <c r="O71" s="1092">
        <f t="shared" si="9"/>
        <v>0</v>
      </c>
      <c r="P71" s="1156">
        <f t="shared" si="10"/>
        <v>0</v>
      </c>
      <c r="Q71" s="1092">
        <f t="shared" si="11"/>
        <v>0</v>
      </c>
      <c r="R71" s="1092">
        <v>0</v>
      </c>
      <c r="S71" s="1092">
        <f t="shared" si="12"/>
        <v>0</v>
      </c>
      <c r="T71" s="1092">
        <f t="shared" si="13"/>
        <v>0</v>
      </c>
      <c r="U71" s="1093">
        <f t="shared" si="14"/>
        <v>0</v>
      </c>
      <c r="V71" s="1093">
        <f t="shared" si="14"/>
        <v>0</v>
      </c>
    </row>
    <row r="72" spans="1:22">
      <c r="A72" s="1021">
        <v>66</v>
      </c>
      <c r="B72" s="1022" t="s">
        <v>166</v>
      </c>
      <c r="C72" s="1297">
        <f>'Table 8 2.1.12 MFP Funded'!S69</f>
        <v>0</v>
      </c>
      <c r="D72" s="1041">
        <f>'Table 3 Levels 1&amp;2'!AL73</f>
        <v>6243.8912249150071</v>
      </c>
      <c r="E72" s="1141">
        <f t="shared" ref="E72:E76" si="15">C72*D72</f>
        <v>0</v>
      </c>
      <c r="F72" s="1141">
        <f>'Table 4 Level 3'!P71</f>
        <v>730.06</v>
      </c>
      <c r="G72" s="1141">
        <f t="shared" ref="G72:G76" si="16">C72*F72</f>
        <v>0</v>
      </c>
      <c r="H72" s="1096">
        <f t="shared" ref="H72:H76" si="17">E72+G72</f>
        <v>0</v>
      </c>
      <c r="I72" s="1151">
        <f t="shared" ref="I72:I76" si="18">-(0.25%*H72)</f>
        <v>0</v>
      </c>
      <c r="J72" s="1096">
        <f t="shared" ref="J72:J76" si="19">SUM(H72:I72)</f>
        <v>0</v>
      </c>
      <c r="K72" s="1096">
        <v>0</v>
      </c>
      <c r="L72" s="1096">
        <f t="shared" ref="L72:L76" si="20">SUM(J72:K72)</f>
        <v>0</v>
      </c>
      <c r="M72" s="1096">
        <f t="shared" ref="M72:M76" si="21">L72/12</f>
        <v>0</v>
      </c>
      <c r="N72" s="1086">
        <f>'[8]FY2012-13 Initial'!$K73</f>
        <v>3443</v>
      </c>
      <c r="O72" s="1026">
        <f t="shared" ref="O72:O75" si="22">C72*N72</f>
        <v>0</v>
      </c>
      <c r="P72" s="1154">
        <f t="shared" ref="P72:P75" si="23">-(0.25%*O72)</f>
        <v>0</v>
      </c>
      <c r="Q72" s="1026">
        <f t="shared" ref="Q72:Q75" si="24">SUM(O72:P72)</f>
        <v>0</v>
      </c>
      <c r="R72" s="1026">
        <v>0</v>
      </c>
      <c r="S72" s="1026">
        <f t="shared" ref="S72:S75" si="25">SUM(Q72:R72)</f>
        <v>0</v>
      </c>
      <c r="T72" s="1026">
        <f t="shared" ref="T72:T75" si="26">S72/12</f>
        <v>0</v>
      </c>
      <c r="U72" s="1027">
        <f t="shared" ref="U72:V76" si="27">L72+S72</f>
        <v>0</v>
      </c>
      <c r="V72" s="1027">
        <f t="shared" si="27"/>
        <v>0</v>
      </c>
    </row>
    <row r="73" spans="1:22">
      <c r="A73" s="1028">
        <v>67</v>
      </c>
      <c r="B73" s="1029" t="s">
        <v>33</v>
      </c>
      <c r="C73" s="1295">
        <f>'Table 8 2.1.12 MFP Funded'!S70</f>
        <v>0</v>
      </c>
      <c r="D73" s="1037">
        <f>'Table 3 Levels 1&amp;2'!AL74</f>
        <v>5049.6489898847567</v>
      </c>
      <c r="E73" s="1139">
        <f t="shared" si="15"/>
        <v>0</v>
      </c>
      <c r="F73" s="1139">
        <f>'Table 4 Level 3'!P72</f>
        <v>715.61</v>
      </c>
      <c r="G73" s="1139">
        <f t="shared" si="16"/>
        <v>0</v>
      </c>
      <c r="H73" s="1094">
        <f t="shared" si="17"/>
        <v>0</v>
      </c>
      <c r="I73" s="1149">
        <f t="shared" si="18"/>
        <v>0</v>
      </c>
      <c r="J73" s="1094">
        <f t="shared" si="19"/>
        <v>0</v>
      </c>
      <c r="K73" s="1094">
        <v>0</v>
      </c>
      <c r="L73" s="1094">
        <f t="shared" si="20"/>
        <v>0</v>
      </c>
      <c r="M73" s="1094">
        <f t="shared" si="21"/>
        <v>0</v>
      </c>
      <c r="N73" s="1086">
        <f>'[8]FY2012-13 Initial'!$K74</f>
        <v>4502</v>
      </c>
      <c r="O73" s="1088">
        <f t="shared" si="22"/>
        <v>0</v>
      </c>
      <c r="P73" s="1155">
        <f t="shared" si="23"/>
        <v>0</v>
      </c>
      <c r="Q73" s="1088">
        <f t="shared" si="24"/>
        <v>0</v>
      </c>
      <c r="R73" s="1088">
        <v>0</v>
      </c>
      <c r="S73" s="1088">
        <f t="shared" si="25"/>
        <v>0</v>
      </c>
      <c r="T73" s="1088">
        <f t="shared" si="26"/>
        <v>0</v>
      </c>
      <c r="U73" s="1089">
        <f t="shared" si="27"/>
        <v>0</v>
      </c>
      <c r="V73" s="1089">
        <f t="shared" si="27"/>
        <v>0</v>
      </c>
    </row>
    <row r="74" spans="1:22">
      <c r="A74" s="1028">
        <v>68</v>
      </c>
      <c r="B74" s="1029" t="s">
        <v>31</v>
      </c>
      <c r="C74" s="1295">
        <f>'Table 8 2.1.12 MFP Funded'!S71</f>
        <v>0</v>
      </c>
      <c r="D74" s="1037">
        <f>'Table 3 Levels 1&amp;2'!AL75</f>
        <v>5861.7500805575619</v>
      </c>
      <c r="E74" s="1139">
        <f t="shared" si="15"/>
        <v>0</v>
      </c>
      <c r="F74" s="1139">
        <f>'Table 4 Level 3'!P73</f>
        <v>798.7</v>
      </c>
      <c r="G74" s="1139">
        <f t="shared" si="16"/>
        <v>0</v>
      </c>
      <c r="H74" s="1094">
        <f t="shared" si="17"/>
        <v>0</v>
      </c>
      <c r="I74" s="1149">
        <f t="shared" si="18"/>
        <v>0</v>
      </c>
      <c r="J74" s="1094">
        <f t="shared" si="19"/>
        <v>0</v>
      </c>
      <c r="K74" s="1094">
        <v>0</v>
      </c>
      <c r="L74" s="1094">
        <f t="shared" si="20"/>
        <v>0</v>
      </c>
      <c r="M74" s="1094">
        <f t="shared" si="21"/>
        <v>0</v>
      </c>
      <c r="N74" s="1086">
        <f>'[8]FY2012-13 Initial'!$K75</f>
        <v>2587</v>
      </c>
      <c r="O74" s="1088">
        <f t="shared" si="22"/>
        <v>0</v>
      </c>
      <c r="P74" s="1155">
        <f t="shared" si="23"/>
        <v>0</v>
      </c>
      <c r="Q74" s="1088">
        <f t="shared" si="24"/>
        <v>0</v>
      </c>
      <c r="R74" s="1088">
        <v>0</v>
      </c>
      <c r="S74" s="1088">
        <f t="shared" si="25"/>
        <v>0</v>
      </c>
      <c r="T74" s="1088">
        <f t="shared" si="26"/>
        <v>0</v>
      </c>
      <c r="U74" s="1089">
        <f t="shared" si="27"/>
        <v>0</v>
      </c>
      <c r="V74" s="1089">
        <f t="shared" si="27"/>
        <v>0</v>
      </c>
    </row>
    <row r="75" spans="1:22">
      <c r="A75" s="1375">
        <v>69</v>
      </c>
      <c r="B75" s="1376" t="s">
        <v>235</v>
      </c>
      <c r="C75" s="1377">
        <f>'Table 8 2.1.12 MFP Funded'!S72</f>
        <v>0</v>
      </c>
      <c r="D75" s="1378">
        <f>'Table 3 Levels 1&amp;2'!AL76</f>
        <v>5508.3397285189958</v>
      </c>
      <c r="E75" s="1142">
        <f t="shared" si="15"/>
        <v>0</v>
      </c>
      <c r="F75" s="1379">
        <f>'Table 4 Level 3'!P74</f>
        <v>705.67</v>
      </c>
      <c r="G75" s="1142">
        <f t="shared" si="16"/>
        <v>0</v>
      </c>
      <c r="H75" s="1097">
        <f t="shared" si="17"/>
        <v>0</v>
      </c>
      <c r="I75" s="1380">
        <f t="shared" si="18"/>
        <v>0</v>
      </c>
      <c r="J75" s="1381">
        <f t="shared" si="19"/>
        <v>0</v>
      </c>
      <c r="K75" s="1381">
        <v>0</v>
      </c>
      <c r="L75" s="1381">
        <f t="shared" si="20"/>
        <v>0</v>
      </c>
      <c r="M75" s="1381">
        <f t="shared" si="21"/>
        <v>0</v>
      </c>
      <c r="N75" s="1086">
        <f>'[8]FY2012-13 Initial'!$K76</f>
        <v>3233</v>
      </c>
      <c r="O75" s="1098">
        <f t="shared" si="22"/>
        <v>0</v>
      </c>
      <c r="P75" s="1157">
        <f t="shared" si="23"/>
        <v>0</v>
      </c>
      <c r="Q75" s="1098">
        <f t="shared" si="24"/>
        <v>0</v>
      </c>
      <c r="R75" s="1098">
        <v>0</v>
      </c>
      <c r="S75" s="1098">
        <f t="shared" si="25"/>
        <v>0</v>
      </c>
      <c r="T75" s="1098">
        <f t="shared" si="26"/>
        <v>0</v>
      </c>
      <c r="U75" s="1099">
        <f t="shared" si="27"/>
        <v>0</v>
      </c>
      <c r="V75" s="1099">
        <f t="shared" si="27"/>
        <v>0</v>
      </c>
    </row>
    <row r="76" spans="1:22">
      <c r="A76" s="1319"/>
      <c r="B76" s="1320" t="s">
        <v>1007</v>
      </c>
      <c r="C76" s="1374">
        <f>'Table 8 2.1.12 MFP Funded'!S73</f>
        <v>1</v>
      </c>
      <c r="D76" s="1041">
        <f>'Table 3 Levels 1&amp;2'!AL63</f>
        <v>5052.2250942802684</v>
      </c>
      <c r="E76" s="1142">
        <f t="shared" si="15"/>
        <v>5052.2250942802684</v>
      </c>
      <c r="F76" s="1141">
        <f>'Table 4 Level 3'!P61</f>
        <v>614.66000000000008</v>
      </c>
      <c r="G76" s="1142">
        <f t="shared" si="16"/>
        <v>614.66000000000008</v>
      </c>
      <c r="H76" s="1097">
        <f t="shared" si="17"/>
        <v>5666.8850942802683</v>
      </c>
      <c r="I76" s="1380">
        <f t="shared" si="18"/>
        <v>-14.167212735700671</v>
      </c>
      <c r="J76" s="1381">
        <f t="shared" si="19"/>
        <v>5652.7178815445677</v>
      </c>
      <c r="K76" s="1381">
        <v>0</v>
      </c>
      <c r="L76" s="1381">
        <f t="shared" si="20"/>
        <v>5652.7178815445677</v>
      </c>
      <c r="M76" s="1381">
        <f t="shared" si="21"/>
        <v>471.05982346204729</v>
      </c>
      <c r="N76" s="1086"/>
      <c r="O76" s="1098"/>
      <c r="P76" s="1157"/>
      <c r="Q76" s="1098"/>
      <c r="R76" s="1098"/>
      <c r="S76" s="1098"/>
      <c r="T76" s="1098"/>
      <c r="U76" s="1099">
        <f t="shared" si="27"/>
        <v>5652.7178815445677</v>
      </c>
      <c r="V76" s="1099">
        <f t="shared" si="27"/>
        <v>471.05982346204729</v>
      </c>
    </row>
    <row r="77" spans="1:22" ht="13.5" thickBot="1">
      <c r="A77" s="1046"/>
      <c r="B77" s="1047" t="s">
        <v>167</v>
      </c>
      <c r="C77" s="1048">
        <f>SUM(C7:C76)</f>
        <v>364</v>
      </c>
      <c r="D77" s="1049">
        <f>'Table 3 Levels 1&amp;2'!AL77</f>
        <v>4325.8670725247357</v>
      </c>
      <c r="E77" s="1143">
        <f>SUM(E7:E76)</f>
        <v>1840494.7243966952</v>
      </c>
      <c r="F77" s="1143">
        <f>'Table 4 Level 3'!P75</f>
        <v>703.90028204588873</v>
      </c>
      <c r="G77" s="1143">
        <f t="shared" ref="G77:M77" si="28">SUM(G7:G76)</f>
        <v>224568.24000000005</v>
      </c>
      <c r="H77" s="1050">
        <f t="shared" si="28"/>
        <v>2065062.9643966954</v>
      </c>
      <c r="I77" s="1153">
        <f t="shared" si="28"/>
        <v>-5162.6574109917383</v>
      </c>
      <c r="J77" s="1050">
        <f t="shared" si="28"/>
        <v>2059900.3069857033</v>
      </c>
      <c r="K77" s="1383">
        <f t="shared" si="28"/>
        <v>-4837.7519524325298</v>
      </c>
      <c r="L77" s="1050">
        <f t="shared" si="28"/>
        <v>2055062.5550332707</v>
      </c>
      <c r="M77" s="1050">
        <f t="shared" si="28"/>
        <v>171255.21291943925</v>
      </c>
      <c r="N77" s="1100"/>
      <c r="O77" s="1051">
        <f t="shared" ref="O77:V77" si="29">SUM(O7:O76)</f>
        <v>964685</v>
      </c>
      <c r="P77" s="1158">
        <f t="shared" si="29"/>
        <v>-2411.7125000000001</v>
      </c>
      <c r="Q77" s="1051">
        <f t="shared" si="29"/>
        <v>962273.28749999998</v>
      </c>
      <c r="R77" s="1051">
        <f t="shared" si="29"/>
        <v>0</v>
      </c>
      <c r="S77" s="1051">
        <f t="shared" si="29"/>
        <v>962273.28749999998</v>
      </c>
      <c r="T77" s="1051">
        <f t="shared" si="29"/>
        <v>80189.440625000003</v>
      </c>
      <c r="U77" s="1052">
        <f t="shared" si="29"/>
        <v>3017335.8425332708</v>
      </c>
      <c r="V77" s="1052">
        <f t="shared" si="29"/>
        <v>251444.65354443924</v>
      </c>
    </row>
    <row r="78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1" right="0.35" top="0.75" bottom="0.75" header="0.3" footer="0.3"/>
  <pageSetup paperSize="5" scale="63" firstPageNumber="52" orientation="portrait" useFirstPageNumber="1" r:id="rId1"/>
  <headerFooter>
    <oddHeader>&amp;L&amp;"Arial,Bold"&amp;20Table 5C1-B: FY2012-13 MFP Budget Letter 
D'Arbonne Woods Charter School</oddHeader>
    <oddFooter>&amp;R&amp;P</oddFooter>
  </headerFooter>
  <colBreaks count="1" manualBreakCount="1">
    <brk id="1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7109375" customWidth="1"/>
    <col min="4" max="4" width="17" customWidth="1"/>
    <col min="5" max="5" width="11" bestFit="1" customWidth="1"/>
    <col min="6" max="6" width="12" customWidth="1"/>
    <col min="7" max="7" width="12.5703125" bestFit="1" customWidth="1"/>
    <col min="8" max="8" width="11.85546875" bestFit="1" customWidth="1"/>
    <col min="9" max="9" width="12.28515625" customWidth="1"/>
    <col min="10" max="10" width="12" bestFit="1" customWidth="1"/>
    <col min="11" max="11" width="13.42578125" bestFit="1" customWidth="1"/>
    <col min="12" max="12" width="13.5703125" bestFit="1" customWidth="1"/>
    <col min="13" max="13" width="9.28515625" bestFit="1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</row>
    <row r="2" spans="1:22" ht="45" customHeight="1">
      <c r="A2" s="1844" t="s">
        <v>1261</v>
      </c>
      <c r="B2" s="1845"/>
      <c r="C2" s="1843" t="s">
        <v>1250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2"/>
      <c r="N2" s="1770" t="s">
        <v>772</v>
      </c>
      <c r="O2" s="1771"/>
      <c r="P2" s="1771"/>
      <c r="Q2" s="1771"/>
      <c r="R2" s="1771"/>
      <c r="S2" s="1771"/>
      <c r="T2" s="1772"/>
      <c r="U2" s="1764" t="s">
        <v>1414</v>
      </c>
      <c r="V2" s="1764" t="s">
        <v>1389</v>
      </c>
    </row>
    <row r="3" spans="1:22" ht="81" customHeight="1">
      <c r="A3" s="1846"/>
      <c r="B3" s="1847"/>
      <c r="C3" s="1779" t="s">
        <v>1192</v>
      </c>
      <c r="D3" s="1781" t="s">
        <v>819</v>
      </c>
      <c r="E3" s="1781" t="s">
        <v>1406</v>
      </c>
      <c r="F3" s="1779" t="s">
        <v>1251</v>
      </c>
      <c r="G3" s="1779" t="s">
        <v>779</v>
      </c>
      <c r="H3" s="1779" t="s">
        <v>1407</v>
      </c>
      <c r="I3" s="1370" t="s">
        <v>813</v>
      </c>
      <c r="J3" s="1779" t="s">
        <v>1408</v>
      </c>
      <c r="K3" s="1779" t="s">
        <v>1197</v>
      </c>
      <c r="L3" s="1779" t="s">
        <v>1409</v>
      </c>
      <c r="M3" s="1781" t="s">
        <v>1410</v>
      </c>
      <c r="N3" s="1793" t="s">
        <v>1306</v>
      </c>
      <c r="O3" s="1598" t="s">
        <v>1411</v>
      </c>
      <c r="P3" s="1372" t="s">
        <v>815</v>
      </c>
      <c r="Q3" s="1795" t="s">
        <v>818</v>
      </c>
      <c r="R3" s="1795" t="s">
        <v>1197</v>
      </c>
      <c r="S3" s="1795" t="s">
        <v>1412</v>
      </c>
      <c r="T3" s="1598" t="s">
        <v>1413</v>
      </c>
      <c r="U3" s="1765"/>
      <c r="V3" s="1765"/>
    </row>
    <row r="4" spans="1:22" ht="26.25" customHeight="1">
      <c r="A4" s="1848"/>
      <c r="B4" s="1849"/>
      <c r="C4" s="1780"/>
      <c r="D4" s="1781"/>
      <c r="E4" s="1781"/>
      <c r="F4" s="1780"/>
      <c r="G4" s="1780"/>
      <c r="H4" s="1780"/>
      <c r="I4" s="1144">
        <v>2.5000000000000001E-3</v>
      </c>
      <c r="J4" s="1780"/>
      <c r="K4" s="1780"/>
      <c r="L4" s="1780"/>
      <c r="M4" s="1781"/>
      <c r="N4" s="1794"/>
      <c r="O4" s="1371"/>
      <c r="P4" s="1145">
        <v>2.5000000000000001E-3</v>
      </c>
      <c r="Q4" s="1787"/>
      <c r="R4" s="1787"/>
      <c r="S4" s="1787"/>
      <c r="T4" s="1371"/>
      <c r="U4" s="1766"/>
      <c r="V4" s="1766"/>
    </row>
    <row r="5" spans="1:22" ht="14.25" customHeight="1">
      <c r="A5" s="1012"/>
      <c r="B5" s="1013"/>
      <c r="C5" s="1014">
        <v>1</v>
      </c>
      <c r="D5" s="1014">
        <f t="shared" ref="D5" si="0">C5+1</f>
        <v>2</v>
      </c>
      <c r="E5" s="1014">
        <f>D5+1</f>
        <v>3</v>
      </c>
      <c r="F5" s="1014">
        <f t="shared" ref="F5:V5" si="1">E5+1</f>
        <v>4</v>
      </c>
      <c r="G5" s="1014">
        <f t="shared" si="1"/>
        <v>5</v>
      </c>
      <c r="H5" s="1014">
        <f t="shared" si="1"/>
        <v>6</v>
      </c>
      <c r="I5" s="1014">
        <f t="shared" si="1"/>
        <v>7</v>
      </c>
      <c r="J5" s="1014">
        <f t="shared" si="1"/>
        <v>8</v>
      </c>
      <c r="K5" s="1014">
        <f t="shared" si="1"/>
        <v>9</v>
      </c>
      <c r="L5" s="1014">
        <f t="shared" si="1"/>
        <v>10</v>
      </c>
      <c r="M5" s="1014">
        <f t="shared" si="1"/>
        <v>11</v>
      </c>
      <c r="N5" s="1014">
        <f t="shared" si="1"/>
        <v>12</v>
      </c>
      <c r="O5" s="1014">
        <f t="shared" si="1"/>
        <v>13</v>
      </c>
      <c r="P5" s="1014">
        <f t="shared" si="1"/>
        <v>14</v>
      </c>
      <c r="Q5" s="1014">
        <f t="shared" si="1"/>
        <v>15</v>
      </c>
      <c r="R5" s="1014">
        <f t="shared" si="1"/>
        <v>16</v>
      </c>
      <c r="S5" s="1014">
        <f t="shared" si="1"/>
        <v>17</v>
      </c>
      <c r="T5" s="1014">
        <f t="shared" si="1"/>
        <v>18</v>
      </c>
      <c r="U5" s="1014">
        <f t="shared" si="1"/>
        <v>19</v>
      </c>
      <c r="V5" s="1014">
        <f t="shared" si="1"/>
        <v>20</v>
      </c>
    </row>
    <row r="6" spans="1:22" ht="27" customHeight="1">
      <c r="A6" s="1076"/>
      <c r="B6" s="1077"/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  <c r="Q6" s="1077"/>
      <c r="R6" s="1077"/>
      <c r="S6" s="1077"/>
      <c r="T6" s="1077"/>
      <c r="U6" s="1077"/>
      <c r="V6" s="1077"/>
    </row>
    <row r="7" spans="1:22">
      <c r="A7" s="1021">
        <v>1</v>
      </c>
      <c r="B7" s="1022" t="s">
        <v>102</v>
      </c>
      <c r="C7" s="1023">
        <f>'Table 8 2.1.12 MFP Funded'!V4</f>
        <v>0</v>
      </c>
      <c r="D7" s="1024">
        <f>'Table 3 Levels 1&amp;2'!AL8</f>
        <v>4621.8175818834352</v>
      </c>
      <c r="E7" s="1136">
        <f>C7*D7</f>
        <v>0</v>
      </c>
      <c r="F7" s="1136">
        <f>'Table 4 Level 3'!P6</f>
        <v>777.48</v>
      </c>
      <c r="G7" s="1136">
        <f>C7*F7</f>
        <v>0</v>
      </c>
      <c r="H7" s="1025">
        <f>E7+G7</f>
        <v>0</v>
      </c>
      <c r="I7" s="1146">
        <f>-(0.25%*H7)</f>
        <v>0</v>
      </c>
      <c r="J7" s="1025">
        <f>SUM(H7:I7)</f>
        <v>0</v>
      </c>
      <c r="K7" s="1025">
        <v>0</v>
      </c>
      <c r="L7" s="1025">
        <f>SUM(J7:K7)</f>
        <v>0</v>
      </c>
      <c r="M7" s="1025">
        <f>L7/12</f>
        <v>0</v>
      </c>
      <c r="N7" s="1086">
        <f>'[8]FY2012-13 Initial'!$D8</f>
        <v>2022</v>
      </c>
      <c r="O7" s="1026">
        <f>C7*N7</f>
        <v>0</v>
      </c>
      <c r="P7" s="1154">
        <f>-(0.25%*O7)</f>
        <v>0</v>
      </c>
      <c r="Q7" s="1026">
        <f>SUM(O7:P7)</f>
        <v>0</v>
      </c>
      <c r="R7" s="1026">
        <v>0</v>
      </c>
      <c r="S7" s="1026">
        <f>SUM(Q7:R7)</f>
        <v>0</v>
      </c>
      <c r="T7" s="1026">
        <f>S7/12</f>
        <v>0</v>
      </c>
      <c r="U7" s="1027">
        <f>L7+S7</f>
        <v>0</v>
      </c>
      <c r="V7" s="1027">
        <f>M7+T7</f>
        <v>0</v>
      </c>
    </row>
    <row r="8" spans="1:22">
      <c r="A8" s="1028">
        <v>2</v>
      </c>
      <c r="B8" s="1029" t="s">
        <v>103</v>
      </c>
      <c r="C8" s="1292">
        <f>'Table 8 2.1.12 MFP Funded'!V5</f>
        <v>0</v>
      </c>
      <c r="D8" s="1031">
        <f>'Table 3 Levels 1&amp;2'!AL9</f>
        <v>6131.8351665660375</v>
      </c>
      <c r="E8" s="1137">
        <f t="shared" ref="E8:E71" si="2">C8*D8</f>
        <v>0</v>
      </c>
      <c r="F8" s="1137">
        <f>'Table 4 Level 3'!P7</f>
        <v>842.32</v>
      </c>
      <c r="G8" s="1137">
        <f t="shared" ref="G8:G71" si="3">C8*F8</f>
        <v>0</v>
      </c>
      <c r="H8" s="1087">
        <f t="shared" ref="H8:H71" si="4">E8+G8</f>
        <v>0</v>
      </c>
      <c r="I8" s="1147">
        <f t="shared" ref="I8:I71" si="5">-(0.25%*H8)</f>
        <v>0</v>
      </c>
      <c r="J8" s="1087">
        <f t="shared" ref="J8:J71" si="6">SUM(H8:I8)</f>
        <v>0</v>
      </c>
      <c r="K8" s="1087">
        <v>0</v>
      </c>
      <c r="L8" s="1087">
        <f t="shared" ref="L8:L71" si="7">SUM(J8:K8)</f>
        <v>0</v>
      </c>
      <c r="M8" s="1087">
        <f t="shared" ref="M8:M71" si="8">L8/12</f>
        <v>0</v>
      </c>
      <c r="N8" s="1086">
        <f>'[8]FY2012-13 Initial'!$D9</f>
        <v>2170</v>
      </c>
      <c r="O8" s="1088">
        <f t="shared" ref="O8:O71" si="9">C8*N8</f>
        <v>0</v>
      </c>
      <c r="P8" s="1155">
        <f t="shared" ref="P8:P71" si="10">-(0.25%*O8)</f>
        <v>0</v>
      </c>
      <c r="Q8" s="1088">
        <f t="shared" ref="Q8:Q71" si="11">SUM(O8:P8)</f>
        <v>0</v>
      </c>
      <c r="R8" s="1088">
        <v>0</v>
      </c>
      <c r="S8" s="1088">
        <f t="shared" ref="S8:S71" si="12">SUM(Q8:R8)</f>
        <v>0</v>
      </c>
      <c r="T8" s="1088">
        <f t="shared" ref="T8:T71" si="13">S8/12</f>
        <v>0</v>
      </c>
      <c r="U8" s="1089">
        <f t="shared" ref="U8:V71" si="14">L8+S8</f>
        <v>0</v>
      </c>
      <c r="V8" s="1089">
        <f t="shared" si="14"/>
        <v>0</v>
      </c>
    </row>
    <row r="9" spans="1:22">
      <c r="A9" s="1028">
        <v>3</v>
      </c>
      <c r="B9" s="1029" t="s">
        <v>104</v>
      </c>
      <c r="C9" s="1292">
        <f>'Table 8 2.1.12 MFP Funded'!V6</f>
        <v>0</v>
      </c>
      <c r="D9" s="1031">
        <f>'Table 3 Levels 1&amp;2'!AL10</f>
        <v>4326.5384352059973</v>
      </c>
      <c r="E9" s="1137">
        <f t="shared" si="2"/>
        <v>0</v>
      </c>
      <c r="F9" s="1137">
        <f>'Table 4 Level 3'!P8</f>
        <v>596.84</v>
      </c>
      <c r="G9" s="1137">
        <f t="shared" si="3"/>
        <v>0</v>
      </c>
      <c r="H9" s="1087">
        <f t="shared" si="4"/>
        <v>0</v>
      </c>
      <c r="I9" s="1147">
        <f t="shared" si="5"/>
        <v>0</v>
      </c>
      <c r="J9" s="1087">
        <f t="shared" si="6"/>
        <v>0</v>
      </c>
      <c r="K9" s="1087">
        <v>0</v>
      </c>
      <c r="L9" s="1087">
        <f t="shared" si="7"/>
        <v>0</v>
      </c>
      <c r="M9" s="1087">
        <f t="shared" si="8"/>
        <v>0</v>
      </c>
      <c r="N9" s="1086">
        <f>'[8]FY2012-13 Initial'!$D10</f>
        <v>4272</v>
      </c>
      <c r="O9" s="1088">
        <f t="shared" si="9"/>
        <v>0</v>
      </c>
      <c r="P9" s="1155">
        <f t="shared" si="10"/>
        <v>0</v>
      </c>
      <c r="Q9" s="1088">
        <f t="shared" si="11"/>
        <v>0</v>
      </c>
      <c r="R9" s="1088">
        <v>0</v>
      </c>
      <c r="S9" s="1088">
        <f t="shared" si="12"/>
        <v>0</v>
      </c>
      <c r="T9" s="1088">
        <f t="shared" si="13"/>
        <v>0</v>
      </c>
      <c r="U9" s="1089">
        <f t="shared" si="14"/>
        <v>0</v>
      </c>
      <c r="V9" s="1089">
        <f t="shared" si="14"/>
        <v>0</v>
      </c>
    </row>
    <row r="10" spans="1:22">
      <c r="A10" s="1028">
        <v>4</v>
      </c>
      <c r="B10" s="1029" t="s">
        <v>105</v>
      </c>
      <c r="C10" s="1292">
        <f>'Table 8 2.1.12 MFP Funded'!V7</f>
        <v>0</v>
      </c>
      <c r="D10" s="1031">
        <f>'Table 3 Levels 1&amp;2'!AL11</f>
        <v>6066.2659652331004</v>
      </c>
      <c r="E10" s="1137">
        <f t="shared" si="2"/>
        <v>0</v>
      </c>
      <c r="F10" s="1137">
        <f>'Table 4 Level 3'!P9</f>
        <v>585.76</v>
      </c>
      <c r="G10" s="1137">
        <f t="shared" si="3"/>
        <v>0</v>
      </c>
      <c r="H10" s="1087">
        <f t="shared" si="4"/>
        <v>0</v>
      </c>
      <c r="I10" s="1147">
        <f t="shared" si="5"/>
        <v>0</v>
      </c>
      <c r="J10" s="1087">
        <f t="shared" si="6"/>
        <v>0</v>
      </c>
      <c r="K10" s="1087">
        <v>0</v>
      </c>
      <c r="L10" s="1087">
        <f t="shared" si="7"/>
        <v>0</v>
      </c>
      <c r="M10" s="1087">
        <f t="shared" si="8"/>
        <v>0</v>
      </c>
      <c r="N10" s="1086">
        <f>'[8]FY2012-13 Initial'!$D11</f>
        <v>3361</v>
      </c>
      <c r="O10" s="1088">
        <f t="shared" si="9"/>
        <v>0</v>
      </c>
      <c r="P10" s="1155">
        <f t="shared" si="10"/>
        <v>0</v>
      </c>
      <c r="Q10" s="1088">
        <f t="shared" si="11"/>
        <v>0</v>
      </c>
      <c r="R10" s="1088">
        <v>0</v>
      </c>
      <c r="S10" s="1088">
        <f t="shared" si="12"/>
        <v>0</v>
      </c>
      <c r="T10" s="1088">
        <f t="shared" si="13"/>
        <v>0</v>
      </c>
      <c r="U10" s="1089">
        <f t="shared" si="14"/>
        <v>0</v>
      </c>
      <c r="V10" s="1089">
        <f t="shared" si="14"/>
        <v>0</v>
      </c>
    </row>
    <row r="11" spans="1:22">
      <c r="A11" s="1032">
        <v>5</v>
      </c>
      <c r="B11" s="1033" t="s">
        <v>106</v>
      </c>
      <c r="C11" s="1293">
        <f>'Table 8 2.1.12 MFP Funded'!V8</f>
        <v>0</v>
      </c>
      <c r="D11" s="1035">
        <f>'Table 3 Levels 1&amp;2'!AL12</f>
        <v>4806.2126132223084</v>
      </c>
      <c r="E11" s="1138">
        <f t="shared" si="2"/>
        <v>0</v>
      </c>
      <c r="F11" s="1138">
        <f>'Table 4 Level 3'!P10</f>
        <v>555.91</v>
      </c>
      <c r="G11" s="1138">
        <f t="shared" si="3"/>
        <v>0</v>
      </c>
      <c r="H11" s="1090">
        <f t="shared" si="4"/>
        <v>0</v>
      </c>
      <c r="I11" s="1148">
        <f t="shared" si="5"/>
        <v>0</v>
      </c>
      <c r="J11" s="1090">
        <f t="shared" si="6"/>
        <v>0</v>
      </c>
      <c r="K11" s="1090">
        <v>0</v>
      </c>
      <c r="L11" s="1090">
        <f t="shared" si="7"/>
        <v>0</v>
      </c>
      <c r="M11" s="1090">
        <f t="shared" si="8"/>
        <v>0</v>
      </c>
      <c r="N11" s="1091">
        <f>'[8]FY2012-13 Initial'!$D12</f>
        <v>1146</v>
      </c>
      <c r="O11" s="1092">
        <f t="shared" si="9"/>
        <v>0</v>
      </c>
      <c r="P11" s="1156">
        <f t="shared" si="10"/>
        <v>0</v>
      </c>
      <c r="Q11" s="1092">
        <f t="shared" si="11"/>
        <v>0</v>
      </c>
      <c r="R11" s="1092">
        <v>0</v>
      </c>
      <c r="S11" s="1092">
        <f t="shared" si="12"/>
        <v>0</v>
      </c>
      <c r="T11" s="1092">
        <f t="shared" si="13"/>
        <v>0</v>
      </c>
      <c r="U11" s="1093">
        <f t="shared" si="14"/>
        <v>0</v>
      </c>
      <c r="V11" s="1093">
        <f t="shared" si="14"/>
        <v>0</v>
      </c>
    </row>
    <row r="12" spans="1:22">
      <c r="A12" s="1021">
        <v>6</v>
      </c>
      <c r="B12" s="1022" t="s">
        <v>107</v>
      </c>
      <c r="C12" s="1294">
        <f>'Table 8 2.1.12 MFP Funded'!V9</f>
        <v>0</v>
      </c>
      <c r="D12" s="1024">
        <f>'Table 3 Levels 1&amp;2'!AL13</f>
        <v>5538.0879878550813</v>
      </c>
      <c r="E12" s="1136">
        <f t="shared" si="2"/>
        <v>0</v>
      </c>
      <c r="F12" s="1136">
        <f>'Table 4 Level 3'!P11</f>
        <v>545.4799999999999</v>
      </c>
      <c r="G12" s="1136">
        <f t="shared" si="3"/>
        <v>0</v>
      </c>
      <c r="H12" s="1025">
        <f t="shared" si="4"/>
        <v>0</v>
      </c>
      <c r="I12" s="1146">
        <f t="shared" si="5"/>
        <v>0</v>
      </c>
      <c r="J12" s="1025">
        <f t="shared" si="6"/>
        <v>0</v>
      </c>
      <c r="K12" s="1025">
        <v>0</v>
      </c>
      <c r="L12" s="1025">
        <f t="shared" si="7"/>
        <v>0</v>
      </c>
      <c r="M12" s="1025">
        <f t="shared" si="8"/>
        <v>0</v>
      </c>
      <c r="N12" s="1086">
        <f>'[8]FY2012-13 Initial'!$D13</f>
        <v>2828</v>
      </c>
      <c r="O12" s="1026">
        <f t="shared" si="9"/>
        <v>0</v>
      </c>
      <c r="P12" s="1154">
        <f t="shared" si="10"/>
        <v>0</v>
      </c>
      <c r="Q12" s="1026">
        <f t="shared" si="11"/>
        <v>0</v>
      </c>
      <c r="R12" s="1026">
        <v>0</v>
      </c>
      <c r="S12" s="1026">
        <f t="shared" si="12"/>
        <v>0</v>
      </c>
      <c r="T12" s="1026">
        <f t="shared" si="13"/>
        <v>0</v>
      </c>
      <c r="U12" s="1027">
        <f t="shared" si="14"/>
        <v>0</v>
      </c>
      <c r="V12" s="1027">
        <f t="shared" si="14"/>
        <v>0</v>
      </c>
    </row>
    <row r="13" spans="1:22">
      <c r="A13" s="1028">
        <v>7</v>
      </c>
      <c r="B13" s="1029" t="s">
        <v>108</v>
      </c>
      <c r="C13" s="1292">
        <f>'Table 8 2.1.12 MFP Funded'!V10</f>
        <v>0</v>
      </c>
      <c r="D13" s="1031">
        <f>'Table 3 Levels 1&amp;2'!AL14</f>
        <v>1543.5712353471597</v>
      </c>
      <c r="E13" s="1137">
        <f t="shared" si="2"/>
        <v>0</v>
      </c>
      <c r="F13" s="1137">
        <f>'Table 4 Level 3'!P12</f>
        <v>756.91999999999985</v>
      </c>
      <c r="G13" s="1137">
        <f t="shared" si="3"/>
        <v>0</v>
      </c>
      <c r="H13" s="1087">
        <f t="shared" si="4"/>
        <v>0</v>
      </c>
      <c r="I13" s="1147">
        <f t="shared" si="5"/>
        <v>0</v>
      </c>
      <c r="J13" s="1087">
        <f t="shared" si="6"/>
        <v>0</v>
      </c>
      <c r="K13" s="1087">
        <v>0</v>
      </c>
      <c r="L13" s="1087">
        <f t="shared" si="7"/>
        <v>0</v>
      </c>
      <c r="M13" s="1087">
        <f t="shared" si="8"/>
        <v>0</v>
      </c>
      <c r="N13" s="1086">
        <f>'[8]FY2012-13 Initial'!$D14</f>
        <v>12271</v>
      </c>
      <c r="O13" s="1088">
        <f t="shared" si="9"/>
        <v>0</v>
      </c>
      <c r="P13" s="1155">
        <f t="shared" si="10"/>
        <v>0</v>
      </c>
      <c r="Q13" s="1088">
        <f t="shared" si="11"/>
        <v>0</v>
      </c>
      <c r="R13" s="1088">
        <v>0</v>
      </c>
      <c r="S13" s="1088">
        <f t="shared" si="12"/>
        <v>0</v>
      </c>
      <c r="T13" s="1088">
        <f t="shared" si="13"/>
        <v>0</v>
      </c>
      <c r="U13" s="1089">
        <f t="shared" si="14"/>
        <v>0</v>
      </c>
      <c r="V13" s="1089">
        <f t="shared" si="14"/>
        <v>0</v>
      </c>
    </row>
    <row r="14" spans="1:22">
      <c r="A14" s="1028">
        <v>8</v>
      </c>
      <c r="B14" s="1029" t="s">
        <v>109</v>
      </c>
      <c r="C14" s="1292">
        <f>'Table 8 2.1.12 MFP Funded'!V11</f>
        <v>0</v>
      </c>
      <c r="D14" s="1031">
        <f>'Table 3 Levels 1&amp;2'!AL15</f>
        <v>4033.4866571910334</v>
      </c>
      <c r="E14" s="1137">
        <f t="shared" si="2"/>
        <v>0</v>
      </c>
      <c r="F14" s="1137">
        <f>'Table 4 Level 3'!P13</f>
        <v>725.76</v>
      </c>
      <c r="G14" s="1137">
        <f t="shared" si="3"/>
        <v>0</v>
      </c>
      <c r="H14" s="1087">
        <f t="shared" si="4"/>
        <v>0</v>
      </c>
      <c r="I14" s="1147">
        <f t="shared" si="5"/>
        <v>0</v>
      </c>
      <c r="J14" s="1087">
        <f t="shared" si="6"/>
        <v>0</v>
      </c>
      <c r="K14" s="1087">
        <v>0</v>
      </c>
      <c r="L14" s="1087">
        <f t="shared" si="7"/>
        <v>0</v>
      </c>
      <c r="M14" s="1087">
        <f t="shared" si="8"/>
        <v>0</v>
      </c>
      <c r="N14" s="1086">
        <f>'[8]FY2012-13 Initial'!$D15</f>
        <v>3686</v>
      </c>
      <c r="O14" s="1088">
        <f t="shared" si="9"/>
        <v>0</v>
      </c>
      <c r="P14" s="1155">
        <f t="shared" si="10"/>
        <v>0</v>
      </c>
      <c r="Q14" s="1088">
        <f t="shared" si="11"/>
        <v>0</v>
      </c>
      <c r="R14" s="1088">
        <v>0</v>
      </c>
      <c r="S14" s="1088">
        <f t="shared" si="12"/>
        <v>0</v>
      </c>
      <c r="T14" s="1088">
        <f t="shared" si="13"/>
        <v>0</v>
      </c>
      <c r="U14" s="1089">
        <f t="shared" si="14"/>
        <v>0</v>
      </c>
      <c r="V14" s="1089">
        <f t="shared" si="14"/>
        <v>0</v>
      </c>
    </row>
    <row r="15" spans="1:22">
      <c r="A15" s="1028">
        <v>9</v>
      </c>
      <c r="B15" s="1029" t="s">
        <v>110</v>
      </c>
      <c r="C15" s="1292">
        <f>'Table 8 2.1.12 MFP Funded'!V12</f>
        <v>0</v>
      </c>
      <c r="D15" s="1031">
        <f>'Table 3 Levels 1&amp;2'!AL16</f>
        <v>4268.3217271902904</v>
      </c>
      <c r="E15" s="1137">
        <f t="shared" si="2"/>
        <v>0</v>
      </c>
      <c r="F15" s="1137">
        <f>'Table 4 Level 3'!P14</f>
        <v>744.76</v>
      </c>
      <c r="G15" s="1137">
        <f t="shared" si="3"/>
        <v>0</v>
      </c>
      <c r="H15" s="1087">
        <f t="shared" si="4"/>
        <v>0</v>
      </c>
      <c r="I15" s="1147">
        <f t="shared" si="5"/>
        <v>0</v>
      </c>
      <c r="J15" s="1087">
        <f t="shared" si="6"/>
        <v>0</v>
      </c>
      <c r="K15" s="1087">
        <v>0</v>
      </c>
      <c r="L15" s="1087">
        <f t="shared" si="7"/>
        <v>0</v>
      </c>
      <c r="M15" s="1087">
        <f t="shared" si="8"/>
        <v>0</v>
      </c>
      <c r="N15" s="1086">
        <f>'[8]FY2012-13 Initial'!$D16</f>
        <v>3866</v>
      </c>
      <c r="O15" s="1088">
        <f t="shared" si="9"/>
        <v>0</v>
      </c>
      <c r="P15" s="1155">
        <f t="shared" si="10"/>
        <v>0</v>
      </c>
      <c r="Q15" s="1088">
        <f t="shared" si="11"/>
        <v>0</v>
      </c>
      <c r="R15" s="1088">
        <v>0</v>
      </c>
      <c r="S15" s="1088">
        <f t="shared" si="12"/>
        <v>0</v>
      </c>
      <c r="T15" s="1088">
        <f t="shared" si="13"/>
        <v>0</v>
      </c>
      <c r="U15" s="1089">
        <f t="shared" si="14"/>
        <v>0</v>
      </c>
      <c r="V15" s="1089">
        <f t="shared" si="14"/>
        <v>0</v>
      </c>
    </row>
    <row r="16" spans="1:22">
      <c r="A16" s="1032">
        <v>10</v>
      </c>
      <c r="B16" s="1033" t="s">
        <v>111</v>
      </c>
      <c r="C16" s="1293">
        <f>'Table 8 2.1.12 MFP Funded'!V13</f>
        <v>0</v>
      </c>
      <c r="D16" s="1035">
        <f>'Table 3 Levels 1&amp;2'!AL17</f>
        <v>4300.0681374076885</v>
      </c>
      <c r="E16" s="1138">
        <f t="shared" si="2"/>
        <v>0</v>
      </c>
      <c r="F16" s="1138">
        <f>'Table 4 Level 3'!P15</f>
        <v>608.04000000000008</v>
      </c>
      <c r="G16" s="1138">
        <f t="shared" si="3"/>
        <v>0</v>
      </c>
      <c r="H16" s="1090">
        <f t="shared" si="4"/>
        <v>0</v>
      </c>
      <c r="I16" s="1148">
        <f t="shared" si="5"/>
        <v>0</v>
      </c>
      <c r="J16" s="1090">
        <f t="shared" si="6"/>
        <v>0</v>
      </c>
      <c r="K16" s="1090">
        <v>0</v>
      </c>
      <c r="L16" s="1090">
        <f t="shared" si="7"/>
        <v>0</v>
      </c>
      <c r="M16" s="1090">
        <f t="shared" si="8"/>
        <v>0</v>
      </c>
      <c r="N16" s="1091">
        <f>'[8]FY2012-13 Initial'!$D17</f>
        <v>3611</v>
      </c>
      <c r="O16" s="1092">
        <f t="shared" si="9"/>
        <v>0</v>
      </c>
      <c r="P16" s="1156">
        <f t="shared" si="10"/>
        <v>0</v>
      </c>
      <c r="Q16" s="1092">
        <f t="shared" si="11"/>
        <v>0</v>
      </c>
      <c r="R16" s="1092">
        <v>0</v>
      </c>
      <c r="S16" s="1092">
        <f t="shared" si="12"/>
        <v>0</v>
      </c>
      <c r="T16" s="1092">
        <f t="shared" si="13"/>
        <v>0</v>
      </c>
      <c r="U16" s="1093">
        <f t="shared" si="14"/>
        <v>0</v>
      </c>
      <c r="V16" s="1093">
        <f t="shared" si="14"/>
        <v>0</v>
      </c>
    </row>
    <row r="17" spans="1:22">
      <c r="A17" s="1021">
        <v>11</v>
      </c>
      <c r="B17" s="1022" t="s">
        <v>112</v>
      </c>
      <c r="C17" s="1294">
        <f>'Table 8 2.1.12 MFP Funded'!V14</f>
        <v>0</v>
      </c>
      <c r="D17" s="1024">
        <f>'Table 3 Levels 1&amp;2'!AL18</f>
        <v>6740.2393955908683</v>
      </c>
      <c r="E17" s="1136">
        <f t="shared" si="2"/>
        <v>0</v>
      </c>
      <c r="F17" s="1136">
        <f>'Table 4 Level 3'!P16</f>
        <v>706.55</v>
      </c>
      <c r="G17" s="1136">
        <f t="shared" si="3"/>
        <v>0</v>
      </c>
      <c r="H17" s="1025">
        <f t="shared" si="4"/>
        <v>0</v>
      </c>
      <c r="I17" s="1146">
        <f t="shared" si="5"/>
        <v>0</v>
      </c>
      <c r="J17" s="1025">
        <f t="shared" si="6"/>
        <v>0</v>
      </c>
      <c r="K17" s="1025">
        <v>0</v>
      </c>
      <c r="L17" s="1025">
        <f t="shared" si="7"/>
        <v>0</v>
      </c>
      <c r="M17" s="1025">
        <f t="shared" si="8"/>
        <v>0</v>
      </c>
      <c r="N17" s="1086">
        <f>'[8]FY2012-13 Initial'!$D18</f>
        <v>2086</v>
      </c>
      <c r="O17" s="1026">
        <f t="shared" si="9"/>
        <v>0</v>
      </c>
      <c r="P17" s="1154">
        <f t="shared" si="10"/>
        <v>0</v>
      </c>
      <c r="Q17" s="1026">
        <f t="shared" si="11"/>
        <v>0</v>
      </c>
      <c r="R17" s="1026">
        <v>0</v>
      </c>
      <c r="S17" s="1026">
        <f t="shared" si="12"/>
        <v>0</v>
      </c>
      <c r="T17" s="1026">
        <f t="shared" si="13"/>
        <v>0</v>
      </c>
      <c r="U17" s="1027">
        <f t="shared" si="14"/>
        <v>0</v>
      </c>
      <c r="V17" s="1027">
        <f t="shared" si="14"/>
        <v>0</v>
      </c>
    </row>
    <row r="18" spans="1:22">
      <c r="A18" s="1028">
        <v>12</v>
      </c>
      <c r="B18" s="1029" t="s">
        <v>113</v>
      </c>
      <c r="C18" s="1292">
        <f>'Table 8 2.1.12 MFP Funded'!V15</f>
        <v>0</v>
      </c>
      <c r="D18" s="1031">
        <f>'Table 3 Levels 1&amp;2'!AL19</f>
        <v>1781.2877551020408</v>
      </c>
      <c r="E18" s="1137">
        <f t="shared" si="2"/>
        <v>0</v>
      </c>
      <c r="F18" s="1137">
        <f>'Table 4 Level 3'!P17</f>
        <v>1063.31</v>
      </c>
      <c r="G18" s="1137">
        <f t="shared" si="3"/>
        <v>0</v>
      </c>
      <c r="H18" s="1087">
        <f t="shared" si="4"/>
        <v>0</v>
      </c>
      <c r="I18" s="1147">
        <f t="shared" si="5"/>
        <v>0</v>
      </c>
      <c r="J18" s="1087">
        <f t="shared" si="6"/>
        <v>0</v>
      </c>
      <c r="K18" s="1087">
        <v>0</v>
      </c>
      <c r="L18" s="1087">
        <f t="shared" si="7"/>
        <v>0</v>
      </c>
      <c r="M18" s="1087">
        <f t="shared" si="8"/>
        <v>0</v>
      </c>
      <c r="N18" s="1086">
        <f>'[8]FY2012-13 Initial'!$D19</f>
        <v>11799</v>
      </c>
      <c r="O18" s="1088">
        <f t="shared" si="9"/>
        <v>0</v>
      </c>
      <c r="P18" s="1155">
        <f t="shared" si="10"/>
        <v>0</v>
      </c>
      <c r="Q18" s="1088">
        <f t="shared" si="11"/>
        <v>0</v>
      </c>
      <c r="R18" s="1088">
        <v>0</v>
      </c>
      <c r="S18" s="1088">
        <f t="shared" si="12"/>
        <v>0</v>
      </c>
      <c r="T18" s="1088">
        <f t="shared" si="13"/>
        <v>0</v>
      </c>
      <c r="U18" s="1089">
        <f t="shared" si="14"/>
        <v>0</v>
      </c>
      <c r="V18" s="1089">
        <f t="shared" si="14"/>
        <v>0</v>
      </c>
    </row>
    <row r="19" spans="1:22">
      <c r="A19" s="1028">
        <v>13</v>
      </c>
      <c r="B19" s="1029" t="s">
        <v>114</v>
      </c>
      <c r="C19" s="1292">
        <f>'Table 8 2.1.12 MFP Funded'!V16</f>
        <v>0</v>
      </c>
      <c r="D19" s="1031">
        <f>'Table 3 Levels 1&amp;2'!AL20</f>
        <v>6125.5331903699798</v>
      </c>
      <c r="E19" s="1137">
        <f t="shared" si="2"/>
        <v>0</v>
      </c>
      <c r="F19" s="1137">
        <f>'Table 4 Level 3'!P18</f>
        <v>749.43000000000006</v>
      </c>
      <c r="G19" s="1137">
        <f t="shared" si="3"/>
        <v>0</v>
      </c>
      <c r="H19" s="1087">
        <f t="shared" si="4"/>
        <v>0</v>
      </c>
      <c r="I19" s="1147">
        <f t="shared" si="5"/>
        <v>0</v>
      </c>
      <c r="J19" s="1087">
        <f t="shared" si="6"/>
        <v>0</v>
      </c>
      <c r="K19" s="1087">
        <v>0</v>
      </c>
      <c r="L19" s="1087">
        <f t="shared" si="7"/>
        <v>0</v>
      </c>
      <c r="M19" s="1087">
        <f t="shared" si="8"/>
        <v>0</v>
      </c>
      <c r="N19" s="1086">
        <f>'[8]FY2012-13 Initial'!$D20</f>
        <v>2391</v>
      </c>
      <c r="O19" s="1088">
        <f t="shared" si="9"/>
        <v>0</v>
      </c>
      <c r="P19" s="1155">
        <f t="shared" si="10"/>
        <v>0</v>
      </c>
      <c r="Q19" s="1088">
        <f t="shared" si="11"/>
        <v>0</v>
      </c>
      <c r="R19" s="1088">
        <v>0</v>
      </c>
      <c r="S19" s="1088">
        <f t="shared" si="12"/>
        <v>0</v>
      </c>
      <c r="T19" s="1088">
        <f t="shared" si="13"/>
        <v>0</v>
      </c>
      <c r="U19" s="1089">
        <f t="shared" si="14"/>
        <v>0</v>
      </c>
      <c r="V19" s="1089">
        <f t="shared" si="14"/>
        <v>0</v>
      </c>
    </row>
    <row r="20" spans="1:22">
      <c r="A20" s="1028">
        <v>14</v>
      </c>
      <c r="B20" s="1029" t="s">
        <v>115</v>
      </c>
      <c r="C20" s="1292">
        <f>'Table 8 2.1.12 MFP Funded'!V17</f>
        <v>0</v>
      </c>
      <c r="D20" s="1031">
        <f>'Table 3 Levels 1&amp;2'!AL21</f>
        <v>5278.0936993421856</v>
      </c>
      <c r="E20" s="1137">
        <f t="shared" si="2"/>
        <v>0</v>
      </c>
      <c r="F20" s="1137">
        <f>'Table 4 Level 3'!P19</f>
        <v>809.9799999999999</v>
      </c>
      <c r="G20" s="1137">
        <f t="shared" si="3"/>
        <v>0</v>
      </c>
      <c r="H20" s="1087">
        <f t="shared" si="4"/>
        <v>0</v>
      </c>
      <c r="I20" s="1147">
        <f t="shared" si="5"/>
        <v>0</v>
      </c>
      <c r="J20" s="1087">
        <f t="shared" si="6"/>
        <v>0</v>
      </c>
      <c r="K20" s="1087">
        <v>0</v>
      </c>
      <c r="L20" s="1087">
        <f t="shared" si="7"/>
        <v>0</v>
      </c>
      <c r="M20" s="1087">
        <f t="shared" si="8"/>
        <v>0</v>
      </c>
      <c r="N20" s="1086">
        <f>'[8]FY2012-13 Initial'!$D21</f>
        <v>3066</v>
      </c>
      <c r="O20" s="1088">
        <f t="shared" si="9"/>
        <v>0</v>
      </c>
      <c r="P20" s="1155">
        <f t="shared" si="10"/>
        <v>0</v>
      </c>
      <c r="Q20" s="1088">
        <f t="shared" si="11"/>
        <v>0</v>
      </c>
      <c r="R20" s="1088">
        <v>0</v>
      </c>
      <c r="S20" s="1088">
        <f t="shared" si="12"/>
        <v>0</v>
      </c>
      <c r="T20" s="1088">
        <f t="shared" si="13"/>
        <v>0</v>
      </c>
      <c r="U20" s="1089">
        <f t="shared" si="14"/>
        <v>0</v>
      </c>
      <c r="V20" s="1089">
        <f t="shared" si="14"/>
        <v>0</v>
      </c>
    </row>
    <row r="21" spans="1:22">
      <c r="A21" s="1032">
        <v>15</v>
      </c>
      <c r="B21" s="1033" t="s">
        <v>116</v>
      </c>
      <c r="C21" s="1293">
        <f>'Table 8 2.1.12 MFP Funded'!V18</f>
        <v>0</v>
      </c>
      <c r="D21" s="1035">
        <f>'Table 3 Levels 1&amp;2'!AL22</f>
        <v>5428.9842692179664</v>
      </c>
      <c r="E21" s="1138">
        <f t="shared" si="2"/>
        <v>0</v>
      </c>
      <c r="F21" s="1138">
        <f>'Table 4 Level 3'!P20</f>
        <v>553.79999999999995</v>
      </c>
      <c r="G21" s="1138">
        <f t="shared" si="3"/>
        <v>0</v>
      </c>
      <c r="H21" s="1090">
        <f t="shared" si="4"/>
        <v>0</v>
      </c>
      <c r="I21" s="1148">
        <f t="shared" si="5"/>
        <v>0</v>
      </c>
      <c r="J21" s="1090">
        <f t="shared" si="6"/>
        <v>0</v>
      </c>
      <c r="K21" s="1090">
        <v>0</v>
      </c>
      <c r="L21" s="1090">
        <f t="shared" si="7"/>
        <v>0</v>
      </c>
      <c r="M21" s="1090">
        <f t="shared" si="8"/>
        <v>0</v>
      </c>
      <c r="N21" s="1091">
        <f>'[8]FY2012-13 Initial'!$D22</f>
        <v>2614</v>
      </c>
      <c r="O21" s="1092">
        <f t="shared" si="9"/>
        <v>0</v>
      </c>
      <c r="P21" s="1156">
        <f t="shared" si="10"/>
        <v>0</v>
      </c>
      <c r="Q21" s="1092">
        <f t="shared" si="11"/>
        <v>0</v>
      </c>
      <c r="R21" s="1092">
        <v>0</v>
      </c>
      <c r="S21" s="1092">
        <f t="shared" si="12"/>
        <v>0</v>
      </c>
      <c r="T21" s="1092">
        <f t="shared" si="13"/>
        <v>0</v>
      </c>
      <c r="U21" s="1093">
        <f t="shared" si="14"/>
        <v>0</v>
      </c>
      <c r="V21" s="1093">
        <f t="shared" si="14"/>
        <v>0</v>
      </c>
    </row>
    <row r="22" spans="1:22">
      <c r="A22" s="1021">
        <v>16</v>
      </c>
      <c r="B22" s="1022" t="s">
        <v>117</v>
      </c>
      <c r="C22" s="1294">
        <f>'Table 8 2.1.12 MFP Funded'!V19</f>
        <v>0</v>
      </c>
      <c r="D22" s="1024">
        <f>'Table 3 Levels 1&amp;2'!AL23</f>
        <v>1501.2470754125757</v>
      </c>
      <c r="E22" s="1136">
        <f t="shared" si="2"/>
        <v>0</v>
      </c>
      <c r="F22" s="1136">
        <f>'Table 4 Level 3'!P21</f>
        <v>686.73</v>
      </c>
      <c r="G22" s="1136">
        <f t="shared" si="3"/>
        <v>0</v>
      </c>
      <c r="H22" s="1025">
        <f t="shared" si="4"/>
        <v>0</v>
      </c>
      <c r="I22" s="1146">
        <f t="shared" si="5"/>
        <v>0</v>
      </c>
      <c r="J22" s="1025">
        <f t="shared" si="6"/>
        <v>0</v>
      </c>
      <c r="K22" s="1025">
        <v>0</v>
      </c>
      <c r="L22" s="1025">
        <f t="shared" si="7"/>
        <v>0</v>
      </c>
      <c r="M22" s="1025">
        <f t="shared" si="8"/>
        <v>0</v>
      </c>
      <c r="N22" s="1086">
        <f>'[8]FY2012-13 Initial'!$D23</f>
        <v>13903</v>
      </c>
      <c r="O22" s="1026">
        <f t="shared" si="9"/>
        <v>0</v>
      </c>
      <c r="P22" s="1154">
        <f t="shared" si="10"/>
        <v>0</v>
      </c>
      <c r="Q22" s="1026">
        <f t="shared" si="11"/>
        <v>0</v>
      </c>
      <c r="R22" s="1026">
        <v>0</v>
      </c>
      <c r="S22" s="1026">
        <f t="shared" si="12"/>
        <v>0</v>
      </c>
      <c r="T22" s="1026">
        <f t="shared" si="13"/>
        <v>0</v>
      </c>
      <c r="U22" s="1027">
        <f t="shared" si="14"/>
        <v>0</v>
      </c>
      <c r="V22" s="1027">
        <f t="shared" si="14"/>
        <v>0</v>
      </c>
    </row>
    <row r="23" spans="1:22">
      <c r="A23" s="1028">
        <v>17</v>
      </c>
      <c r="B23" s="1029" t="s">
        <v>118</v>
      </c>
      <c r="C23" s="1292">
        <f>'Table 8 2.1.12 MFP Funded'!V20</f>
        <v>0</v>
      </c>
      <c r="D23" s="1031">
        <f>'Table 3 Levels 1&amp;2'!AL24</f>
        <v>3386.5716964570697</v>
      </c>
      <c r="E23" s="1137">
        <f t="shared" si="2"/>
        <v>0</v>
      </c>
      <c r="F23" s="1137">
        <f>'Table 5B2_RSD_LA'!F7</f>
        <v>801.47762416806802</v>
      </c>
      <c r="G23" s="1137">
        <f t="shared" si="3"/>
        <v>0</v>
      </c>
      <c r="H23" s="1087">
        <f t="shared" si="4"/>
        <v>0</v>
      </c>
      <c r="I23" s="1147">
        <f t="shared" si="5"/>
        <v>0</v>
      </c>
      <c r="J23" s="1087">
        <f t="shared" si="6"/>
        <v>0</v>
      </c>
      <c r="K23" s="1087">
        <v>0</v>
      </c>
      <c r="L23" s="1087">
        <f t="shared" si="7"/>
        <v>0</v>
      </c>
      <c r="M23" s="1087">
        <f t="shared" si="8"/>
        <v>0</v>
      </c>
      <c r="N23" s="1086">
        <f>'[8]FY2012-13 Initial'!$D24</f>
        <v>5654</v>
      </c>
      <c r="O23" s="1088">
        <f t="shared" si="9"/>
        <v>0</v>
      </c>
      <c r="P23" s="1155">
        <f t="shared" si="10"/>
        <v>0</v>
      </c>
      <c r="Q23" s="1088">
        <f t="shared" si="11"/>
        <v>0</v>
      </c>
      <c r="R23" s="1088">
        <v>0</v>
      </c>
      <c r="S23" s="1088">
        <f t="shared" si="12"/>
        <v>0</v>
      </c>
      <c r="T23" s="1088">
        <f t="shared" si="13"/>
        <v>0</v>
      </c>
      <c r="U23" s="1089">
        <f t="shared" si="14"/>
        <v>0</v>
      </c>
      <c r="V23" s="1089">
        <f t="shared" si="14"/>
        <v>0</v>
      </c>
    </row>
    <row r="24" spans="1:22">
      <c r="A24" s="1028">
        <v>18</v>
      </c>
      <c r="B24" s="1029" t="s">
        <v>119</v>
      </c>
      <c r="C24" s="1292">
        <f>'Table 8 2.1.12 MFP Funded'!V21</f>
        <v>0</v>
      </c>
      <c r="D24" s="1031">
        <f>'Table 3 Levels 1&amp;2'!AL25</f>
        <v>5798.0598063231446</v>
      </c>
      <c r="E24" s="1137">
        <f t="shared" si="2"/>
        <v>0</v>
      </c>
      <c r="F24" s="1137">
        <f>'Table 4 Level 3'!P23</f>
        <v>845.94999999999993</v>
      </c>
      <c r="G24" s="1137">
        <f t="shared" si="3"/>
        <v>0</v>
      </c>
      <c r="H24" s="1087">
        <f t="shared" si="4"/>
        <v>0</v>
      </c>
      <c r="I24" s="1147">
        <f t="shared" si="5"/>
        <v>0</v>
      </c>
      <c r="J24" s="1087">
        <f t="shared" si="6"/>
        <v>0</v>
      </c>
      <c r="K24" s="1087">
        <v>0</v>
      </c>
      <c r="L24" s="1087">
        <f t="shared" si="7"/>
        <v>0</v>
      </c>
      <c r="M24" s="1087">
        <f t="shared" si="8"/>
        <v>0</v>
      </c>
      <c r="N24" s="1086">
        <f>'[8]FY2012-13 Initial'!$D25</f>
        <v>2088</v>
      </c>
      <c r="O24" s="1088">
        <f t="shared" si="9"/>
        <v>0</v>
      </c>
      <c r="P24" s="1155">
        <f t="shared" si="10"/>
        <v>0</v>
      </c>
      <c r="Q24" s="1088">
        <f t="shared" si="11"/>
        <v>0</v>
      </c>
      <c r="R24" s="1088">
        <v>0</v>
      </c>
      <c r="S24" s="1088">
        <f t="shared" si="12"/>
        <v>0</v>
      </c>
      <c r="T24" s="1088">
        <f t="shared" si="13"/>
        <v>0</v>
      </c>
      <c r="U24" s="1089">
        <f t="shared" si="14"/>
        <v>0</v>
      </c>
      <c r="V24" s="1089">
        <f t="shared" si="14"/>
        <v>0</v>
      </c>
    </row>
    <row r="25" spans="1:22">
      <c r="A25" s="1028">
        <v>19</v>
      </c>
      <c r="B25" s="1029" t="s">
        <v>120</v>
      </c>
      <c r="C25" s="1292">
        <f>'Table 8 2.1.12 MFP Funded'!V22</f>
        <v>0</v>
      </c>
      <c r="D25" s="1031">
        <f>'Table 3 Levels 1&amp;2'!AL26</f>
        <v>5219.1012787873206</v>
      </c>
      <c r="E25" s="1137">
        <f t="shared" si="2"/>
        <v>0</v>
      </c>
      <c r="F25" s="1137">
        <f>'Table 4 Level 3'!P24</f>
        <v>905.43</v>
      </c>
      <c r="G25" s="1137">
        <f t="shared" si="3"/>
        <v>0</v>
      </c>
      <c r="H25" s="1087">
        <f t="shared" si="4"/>
        <v>0</v>
      </c>
      <c r="I25" s="1147">
        <f t="shared" si="5"/>
        <v>0</v>
      </c>
      <c r="J25" s="1087">
        <f t="shared" si="6"/>
        <v>0</v>
      </c>
      <c r="K25" s="1087">
        <v>0</v>
      </c>
      <c r="L25" s="1087">
        <f t="shared" si="7"/>
        <v>0</v>
      </c>
      <c r="M25" s="1087">
        <f t="shared" si="8"/>
        <v>0</v>
      </c>
      <c r="N25" s="1086">
        <f>'[8]FY2012-13 Initial'!$D26</f>
        <v>2275</v>
      </c>
      <c r="O25" s="1088">
        <f t="shared" si="9"/>
        <v>0</v>
      </c>
      <c r="P25" s="1155">
        <f t="shared" si="10"/>
        <v>0</v>
      </c>
      <c r="Q25" s="1088">
        <f t="shared" si="11"/>
        <v>0</v>
      </c>
      <c r="R25" s="1088">
        <v>0</v>
      </c>
      <c r="S25" s="1088">
        <f t="shared" si="12"/>
        <v>0</v>
      </c>
      <c r="T25" s="1088">
        <f t="shared" si="13"/>
        <v>0</v>
      </c>
      <c r="U25" s="1089">
        <f t="shared" si="14"/>
        <v>0</v>
      </c>
      <c r="V25" s="1089">
        <f t="shared" si="14"/>
        <v>0</v>
      </c>
    </row>
    <row r="26" spans="1:22">
      <c r="A26" s="1032">
        <v>20</v>
      </c>
      <c r="B26" s="1033" t="s">
        <v>121</v>
      </c>
      <c r="C26" s="1293">
        <f>'Table 8 2.1.12 MFP Funded'!V23</f>
        <v>0</v>
      </c>
      <c r="D26" s="1035">
        <f>'Table 3 Levels 1&amp;2'!AL27</f>
        <v>5441.7799844976798</v>
      </c>
      <c r="E26" s="1138">
        <f t="shared" si="2"/>
        <v>0</v>
      </c>
      <c r="F26" s="1138">
        <f>'Table 4 Level 3'!P25</f>
        <v>586.16999999999996</v>
      </c>
      <c r="G26" s="1138">
        <f t="shared" si="3"/>
        <v>0</v>
      </c>
      <c r="H26" s="1090">
        <f t="shared" si="4"/>
        <v>0</v>
      </c>
      <c r="I26" s="1148">
        <f t="shared" si="5"/>
        <v>0</v>
      </c>
      <c r="J26" s="1090">
        <f t="shared" si="6"/>
        <v>0</v>
      </c>
      <c r="K26" s="1090">
        <v>0</v>
      </c>
      <c r="L26" s="1090">
        <f t="shared" si="7"/>
        <v>0</v>
      </c>
      <c r="M26" s="1090">
        <f t="shared" si="8"/>
        <v>0</v>
      </c>
      <c r="N26" s="1091">
        <f>'[8]FY2012-13 Initial'!$D27</f>
        <v>2236</v>
      </c>
      <c r="O26" s="1092">
        <f t="shared" si="9"/>
        <v>0</v>
      </c>
      <c r="P26" s="1156">
        <f t="shared" si="10"/>
        <v>0</v>
      </c>
      <c r="Q26" s="1092">
        <f t="shared" si="11"/>
        <v>0</v>
      </c>
      <c r="R26" s="1092">
        <v>0</v>
      </c>
      <c r="S26" s="1092">
        <f t="shared" si="12"/>
        <v>0</v>
      </c>
      <c r="T26" s="1092">
        <f t="shared" si="13"/>
        <v>0</v>
      </c>
      <c r="U26" s="1093">
        <f t="shared" si="14"/>
        <v>0</v>
      </c>
      <c r="V26" s="1093">
        <f t="shared" si="14"/>
        <v>0</v>
      </c>
    </row>
    <row r="27" spans="1:22">
      <c r="A27" s="1021">
        <v>21</v>
      </c>
      <c r="B27" s="1022" t="s">
        <v>122</v>
      </c>
      <c r="C27" s="1294">
        <f>'Table 8 2.1.12 MFP Funded'!V24</f>
        <v>0</v>
      </c>
      <c r="D27" s="1024">
        <f>'Table 3 Levels 1&amp;2'!AL28</f>
        <v>5718.7800910915075</v>
      </c>
      <c r="E27" s="1136">
        <f t="shared" si="2"/>
        <v>0</v>
      </c>
      <c r="F27" s="1136">
        <f>'Table 4 Level 3'!P26</f>
        <v>610.35</v>
      </c>
      <c r="G27" s="1136">
        <f t="shared" si="3"/>
        <v>0</v>
      </c>
      <c r="H27" s="1025">
        <f t="shared" si="4"/>
        <v>0</v>
      </c>
      <c r="I27" s="1146">
        <f t="shared" si="5"/>
        <v>0</v>
      </c>
      <c r="J27" s="1025">
        <f t="shared" si="6"/>
        <v>0</v>
      </c>
      <c r="K27" s="1025">
        <v>0</v>
      </c>
      <c r="L27" s="1025">
        <f t="shared" si="7"/>
        <v>0</v>
      </c>
      <c r="M27" s="1025">
        <f t="shared" si="8"/>
        <v>0</v>
      </c>
      <c r="N27" s="1086">
        <f>'[8]FY2012-13 Initial'!$D28</f>
        <v>1552</v>
      </c>
      <c r="O27" s="1026">
        <f t="shared" si="9"/>
        <v>0</v>
      </c>
      <c r="P27" s="1154">
        <f t="shared" si="10"/>
        <v>0</v>
      </c>
      <c r="Q27" s="1026">
        <f t="shared" si="11"/>
        <v>0</v>
      </c>
      <c r="R27" s="1026">
        <v>0</v>
      </c>
      <c r="S27" s="1026">
        <f t="shared" si="12"/>
        <v>0</v>
      </c>
      <c r="T27" s="1026">
        <f t="shared" si="13"/>
        <v>0</v>
      </c>
      <c r="U27" s="1027">
        <f t="shared" si="14"/>
        <v>0</v>
      </c>
      <c r="V27" s="1027">
        <f t="shared" si="14"/>
        <v>0</v>
      </c>
    </row>
    <row r="28" spans="1:22">
      <c r="A28" s="1028">
        <v>22</v>
      </c>
      <c r="B28" s="1029" t="s">
        <v>123</v>
      </c>
      <c r="C28" s="1292">
        <f>'Table 8 2.1.12 MFP Funded'!V25</f>
        <v>0</v>
      </c>
      <c r="D28" s="1031">
        <f>'Table 3 Levels 1&amp;2'!AL29</f>
        <v>6198.830003500153</v>
      </c>
      <c r="E28" s="1137">
        <f t="shared" si="2"/>
        <v>0</v>
      </c>
      <c r="F28" s="1137">
        <f>'Table 4 Level 3'!P27</f>
        <v>496.36</v>
      </c>
      <c r="G28" s="1137">
        <f t="shared" si="3"/>
        <v>0</v>
      </c>
      <c r="H28" s="1087">
        <f t="shared" si="4"/>
        <v>0</v>
      </c>
      <c r="I28" s="1147">
        <f t="shared" si="5"/>
        <v>0</v>
      </c>
      <c r="J28" s="1087">
        <f t="shared" si="6"/>
        <v>0</v>
      </c>
      <c r="K28" s="1087">
        <v>0</v>
      </c>
      <c r="L28" s="1087">
        <f t="shared" si="7"/>
        <v>0</v>
      </c>
      <c r="M28" s="1087">
        <f t="shared" si="8"/>
        <v>0</v>
      </c>
      <c r="N28" s="1086">
        <f>'[8]FY2012-13 Initial'!$D29</f>
        <v>784</v>
      </c>
      <c r="O28" s="1088">
        <f t="shared" si="9"/>
        <v>0</v>
      </c>
      <c r="P28" s="1155">
        <f t="shared" si="10"/>
        <v>0</v>
      </c>
      <c r="Q28" s="1088">
        <f t="shared" si="11"/>
        <v>0</v>
      </c>
      <c r="R28" s="1088">
        <v>0</v>
      </c>
      <c r="S28" s="1088">
        <f t="shared" si="12"/>
        <v>0</v>
      </c>
      <c r="T28" s="1088">
        <f t="shared" si="13"/>
        <v>0</v>
      </c>
      <c r="U28" s="1089">
        <f t="shared" si="14"/>
        <v>0</v>
      </c>
      <c r="V28" s="1089">
        <f t="shared" si="14"/>
        <v>0</v>
      </c>
    </row>
    <row r="29" spans="1:22">
      <c r="A29" s="1028">
        <v>23</v>
      </c>
      <c r="B29" s="1029" t="s">
        <v>124</v>
      </c>
      <c r="C29" s="1292">
        <f>'Table 8 2.1.12 MFP Funded'!V26</f>
        <v>0</v>
      </c>
      <c r="D29" s="1031">
        <f>'Table 3 Levels 1&amp;2'!AL30</f>
        <v>4809.0299298140199</v>
      </c>
      <c r="E29" s="1137">
        <f t="shared" si="2"/>
        <v>0</v>
      </c>
      <c r="F29" s="1137">
        <f>'Table 4 Level 3'!P28</f>
        <v>688.58</v>
      </c>
      <c r="G29" s="1137">
        <f t="shared" si="3"/>
        <v>0</v>
      </c>
      <c r="H29" s="1087">
        <f t="shared" si="4"/>
        <v>0</v>
      </c>
      <c r="I29" s="1147">
        <f t="shared" si="5"/>
        <v>0</v>
      </c>
      <c r="J29" s="1087">
        <f t="shared" si="6"/>
        <v>0</v>
      </c>
      <c r="K29" s="1087">
        <v>0</v>
      </c>
      <c r="L29" s="1087">
        <f t="shared" si="7"/>
        <v>0</v>
      </c>
      <c r="M29" s="1087">
        <f t="shared" si="8"/>
        <v>0</v>
      </c>
      <c r="N29" s="1086">
        <f>'[8]FY2012-13 Initial'!$D30</f>
        <v>2505</v>
      </c>
      <c r="O29" s="1088">
        <f t="shared" si="9"/>
        <v>0</v>
      </c>
      <c r="P29" s="1155">
        <f t="shared" si="10"/>
        <v>0</v>
      </c>
      <c r="Q29" s="1088">
        <f t="shared" si="11"/>
        <v>0</v>
      </c>
      <c r="R29" s="1088">
        <v>0</v>
      </c>
      <c r="S29" s="1088">
        <f t="shared" si="12"/>
        <v>0</v>
      </c>
      <c r="T29" s="1088">
        <f t="shared" si="13"/>
        <v>0</v>
      </c>
      <c r="U29" s="1089">
        <f t="shared" si="14"/>
        <v>0</v>
      </c>
      <c r="V29" s="1089">
        <f t="shared" si="14"/>
        <v>0</v>
      </c>
    </row>
    <row r="30" spans="1:22">
      <c r="A30" s="1028">
        <v>24</v>
      </c>
      <c r="B30" s="1029" t="s">
        <v>125</v>
      </c>
      <c r="C30" s="1292">
        <f>'Table 8 2.1.12 MFP Funded'!V27</f>
        <v>0</v>
      </c>
      <c r="D30" s="1031">
        <f>'Table 3 Levels 1&amp;2'!AL31</f>
        <v>2649.7787452556372</v>
      </c>
      <c r="E30" s="1137">
        <f t="shared" si="2"/>
        <v>0</v>
      </c>
      <c r="F30" s="1137">
        <f>'Table 4 Level 3'!P29</f>
        <v>854.24999999999989</v>
      </c>
      <c r="G30" s="1137">
        <f t="shared" si="3"/>
        <v>0</v>
      </c>
      <c r="H30" s="1087">
        <f t="shared" si="4"/>
        <v>0</v>
      </c>
      <c r="I30" s="1147">
        <f t="shared" si="5"/>
        <v>0</v>
      </c>
      <c r="J30" s="1087">
        <f t="shared" si="6"/>
        <v>0</v>
      </c>
      <c r="K30" s="1087">
        <v>0</v>
      </c>
      <c r="L30" s="1087">
        <f t="shared" si="7"/>
        <v>0</v>
      </c>
      <c r="M30" s="1087">
        <f t="shared" si="8"/>
        <v>0</v>
      </c>
      <c r="N30" s="1086">
        <f>'[8]FY2012-13 Initial'!$D31</f>
        <v>8076</v>
      </c>
      <c r="O30" s="1088">
        <f t="shared" si="9"/>
        <v>0</v>
      </c>
      <c r="P30" s="1155">
        <f t="shared" si="10"/>
        <v>0</v>
      </c>
      <c r="Q30" s="1088">
        <f t="shared" si="11"/>
        <v>0</v>
      </c>
      <c r="R30" s="1088">
        <v>0</v>
      </c>
      <c r="S30" s="1088">
        <f t="shared" si="12"/>
        <v>0</v>
      </c>
      <c r="T30" s="1088">
        <f t="shared" si="13"/>
        <v>0</v>
      </c>
      <c r="U30" s="1089">
        <f t="shared" si="14"/>
        <v>0</v>
      </c>
      <c r="V30" s="1089">
        <f t="shared" si="14"/>
        <v>0</v>
      </c>
    </row>
    <row r="31" spans="1:22">
      <c r="A31" s="1032">
        <v>25</v>
      </c>
      <c r="B31" s="1033" t="s">
        <v>126</v>
      </c>
      <c r="C31" s="1293">
        <f>'Table 8 2.1.12 MFP Funded'!V28</f>
        <v>0</v>
      </c>
      <c r="D31" s="1035">
        <f>'Table 3 Levels 1&amp;2'!AL32</f>
        <v>3848.3923674564248</v>
      </c>
      <c r="E31" s="1138">
        <f t="shared" si="2"/>
        <v>0</v>
      </c>
      <c r="F31" s="1138">
        <f>'Table 4 Level 3'!P30</f>
        <v>653.73</v>
      </c>
      <c r="G31" s="1138">
        <f t="shared" si="3"/>
        <v>0</v>
      </c>
      <c r="H31" s="1090">
        <f t="shared" si="4"/>
        <v>0</v>
      </c>
      <c r="I31" s="1148">
        <f t="shared" si="5"/>
        <v>0</v>
      </c>
      <c r="J31" s="1090">
        <f t="shared" si="6"/>
        <v>0</v>
      </c>
      <c r="K31" s="1090">
        <v>0</v>
      </c>
      <c r="L31" s="1090">
        <f t="shared" si="7"/>
        <v>0</v>
      </c>
      <c r="M31" s="1090">
        <f t="shared" si="8"/>
        <v>0</v>
      </c>
      <c r="N31" s="1091">
        <f>'[8]FY2012-13 Initial'!$D32</f>
        <v>5030</v>
      </c>
      <c r="O31" s="1092">
        <f t="shared" si="9"/>
        <v>0</v>
      </c>
      <c r="P31" s="1156">
        <f t="shared" si="10"/>
        <v>0</v>
      </c>
      <c r="Q31" s="1092">
        <f t="shared" si="11"/>
        <v>0</v>
      </c>
      <c r="R31" s="1092">
        <v>0</v>
      </c>
      <c r="S31" s="1092">
        <f t="shared" si="12"/>
        <v>0</v>
      </c>
      <c r="T31" s="1092">
        <f t="shared" si="13"/>
        <v>0</v>
      </c>
      <c r="U31" s="1093">
        <f t="shared" si="14"/>
        <v>0</v>
      </c>
      <c r="V31" s="1093">
        <f t="shared" si="14"/>
        <v>0</v>
      </c>
    </row>
    <row r="32" spans="1:22">
      <c r="A32" s="1021">
        <v>26</v>
      </c>
      <c r="B32" s="1022" t="s">
        <v>127</v>
      </c>
      <c r="C32" s="1294">
        <f>'Table 8 2.1.12 MFP Funded'!V29</f>
        <v>28</v>
      </c>
      <c r="D32" s="1024">
        <f>'Table 3 Levels 1&amp;2'!AL33</f>
        <v>3145.9192082835102</v>
      </c>
      <c r="E32" s="1136">
        <f t="shared" si="2"/>
        <v>88085.737831938284</v>
      </c>
      <c r="F32" s="1136">
        <f>'Table 4 Level 3'!P31</f>
        <v>836.83</v>
      </c>
      <c r="G32" s="1136">
        <f t="shared" si="3"/>
        <v>23431.24</v>
      </c>
      <c r="H32" s="1025">
        <f t="shared" si="4"/>
        <v>111516.97783193829</v>
      </c>
      <c r="I32" s="1146">
        <f t="shared" si="5"/>
        <v>-278.79244457984572</v>
      </c>
      <c r="J32" s="1025">
        <f t="shared" si="6"/>
        <v>111238.18538735845</v>
      </c>
      <c r="K32" s="1025">
        <v>0</v>
      </c>
      <c r="L32" s="1025">
        <f t="shared" si="7"/>
        <v>111238.18538735845</v>
      </c>
      <c r="M32" s="1025">
        <f t="shared" si="8"/>
        <v>9269.8487822798706</v>
      </c>
      <c r="N32" s="1086">
        <f>'[8]FY2012-13 Initial'!$D33</f>
        <v>4594</v>
      </c>
      <c r="O32" s="1026">
        <f t="shared" si="9"/>
        <v>128632</v>
      </c>
      <c r="P32" s="1154">
        <f t="shared" si="10"/>
        <v>-321.58</v>
      </c>
      <c r="Q32" s="1026">
        <f t="shared" si="11"/>
        <v>128310.42</v>
      </c>
      <c r="R32" s="1026">
        <v>0</v>
      </c>
      <c r="S32" s="1026">
        <f t="shared" si="12"/>
        <v>128310.42</v>
      </c>
      <c r="T32" s="1026">
        <f t="shared" si="13"/>
        <v>10692.535</v>
      </c>
      <c r="U32" s="1027">
        <f t="shared" si="14"/>
        <v>239548.60538735846</v>
      </c>
      <c r="V32" s="1027">
        <f t="shared" si="14"/>
        <v>19962.383782279871</v>
      </c>
    </row>
    <row r="33" spans="1:22">
      <c r="A33" s="1028">
        <v>27</v>
      </c>
      <c r="B33" s="1029" t="s">
        <v>128</v>
      </c>
      <c r="C33" s="1295">
        <f>'Table 8 2.1.12 MFP Funded'!V30</f>
        <v>0</v>
      </c>
      <c r="D33" s="1037">
        <f>'Table 3 Levels 1&amp;2'!AL34</f>
        <v>5653.5502977926608</v>
      </c>
      <c r="E33" s="1139">
        <f t="shared" si="2"/>
        <v>0</v>
      </c>
      <c r="F33" s="1139">
        <f>'Table 4 Level 3'!P32</f>
        <v>693.06</v>
      </c>
      <c r="G33" s="1139">
        <f t="shared" si="3"/>
        <v>0</v>
      </c>
      <c r="H33" s="1094">
        <f t="shared" si="4"/>
        <v>0</v>
      </c>
      <c r="I33" s="1149">
        <f t="shared" si="5"/>
        <v>0</v>
      </c>
      <c r="J33" s="1094">
        <f t="shared" si="6"/>
        <v>0</v>
      </c>
      <c r="K33" s="1094">
        <v>0</v>
      </c>
      <c r="L33" s="1094">
        <f t="shared" si="7"/>
        <v>0</v>
      </c>
      <c r="M33" s="1094">
        <f t="shared" si="8"/>
        <v>0</v>
      </c>
      <c r="N33" s="1086">
        <f>'[8]FY2012-13 Initial'!$D34</f>
        <v>2479</v>
      </c>
      <c r="O33" s="1088">
        <f t="shared" si="9"/>
        <v>0</v>
      </c>
      <c r="P33" s="1155">
        <f t="shared" si="10"/>
        <v>0</v>
      </c>
      <c r="Q33" s="1088">
        <f t="shared" si="11"/>
        <v>0</v>
      </c>
      <c r="R33" s="1088">
        <v>0</v>
      </c>
      <c r="S33" s="1088">
        <f t="shared" si="12"/>
        <v>0</v>
      </c>
      <c r="T33" s="1088">
        <f t="shared" si="13"/>
        <v>0</v>
      </c>
      <c r="U33" s="1089">
        <f t="shared" si="14"/>
        <v>0</v>
      </c>
      <c r="V33" s="1089">
        <f t="shared" si="14"/>
        <v>0</v>
      </c>
    </row>
    <row r="34" spans="1:22">
      <c r="A34" s="1028">
        <v>28</v>
      </c>
      <c r="B34" s="1029" t="s">
        <v>129</v>
      </c>
      <c r="C34" s="1295">
        <f>'Table 8 2.1.12 MFP Funded'!V31</f>
        <v>0</v>
      </c>
      <c r="D34" s="1037">
        <f>'Table 3 Levels 1&amp;2'!AL35</f>
        <v>3200.5356505169011</v>
      </c>
      <c r="E34" s="1139">
        <f t="shared" si="2"/>
        <v>0</v>
      </c>
      <c r="F34" s="1139">
        <f>'Table 4 Level 3'!P33</f>
        <v>694.4</v>
      </c>
      <c r="G34" s="1139">
        <f t="shared" si="3"/>
        <v>0</v>
      </c>
      <c r="H34" s="1094">
        <f t="shared" si="4"/>
        <v>0</v>
      </c>
      <c r="I34" s="1149">
        <f t="shared" si="5"/>
        <v>0</v>
      </c>
      <c r="J34" s="1094">
        <f t="shared" si="6"/>
        <v>0</v>
      </c>
      <c r="K34" s="1094">
        <v>0</v>
      </c>
      <c r="L34" s="1094">
        <f t="shared" si="7"/>
        <v>0</v>
      </c>
      <c r="M34" s="1094">
        <f t="shared" si="8"/>
        <v>0</v>
      </c>
      <c r="N34" s="1086">
        <f>'[8]FY2012-13 Initial'!$D35</f>
        <v>4560</v>
      </c>
      <c r="O34" s="1088">
        <f t="shared" si="9"/>
        <v>0</v>
      </c>
      <c r="P34" s="1155">
        <f t="shared" si="10"/>
        <v>0</v>
      </c>
      <c r="Q34" s="1088">
        <f t="shared" si="11"/>
        <v>0</v>
      </c>
      <c r="R34" s="1088">
        <v>0</v>
      </c>
      <c r="S34" s="1088">
        <f t="shared" si="12"/>
        <v>0</v>
      </c>
      <c r="T34" s="1088">
        <f t="shared" si="13"/>
        <v>0</v>
      </c>
      <c r="U34" s="1089">
        <f t="shared" si="14"/>
        <v>0</v>
      </c>
      <c r="V34" s="1089">
        <f t="shared" si="14"/>
        <v>0</v>
      </c>
    </row>
    <row r="35" spans="1:22">
      <c r="A35" s="1028">
        <v>29</v>
      </c>
      <c r="B35" s="1029" t="s">
        <v>130</v>
      </c>
      <c r="C35" s="1295">
        <f>'Table 8 2.1.12 MFP Funded'!V32</f>
        <v>0</v>
      </c>
      <c r="D35" s="1037">
        <f>'Table 3 Levels 1&amp;2'!AL36</f>
        <v>3945.0399545376122</v>
      </c>
      <c r="E35" s="1139">
        <f t="shared" si="2"/>
        <v>0</v>
      </c>
      <c r="F35" s="1139">
        <f>'Table 4 Level 3'!P34</f>
        <v>754.94999999999993</v>
      </c>
      <c r="G35" s="1139">
        <f t="shared" si="3"/>
        <v>0</v>
      </c>
      <c r="H35" s="1094">
        <f t="shared" si="4"/>
        <v>0</v>
      </c>
      <c r="I35" s="1149">
        <f t="shared" si="5"/>
        <v>0</v>
      </c>
      <c r="J35" s="1094">
        <f t="shared" si="6"/>
        <v>0</v>
      </c>
      <c r="K35" s="1094">
        <v>0</v>
      </c>
      <c r="L35" s="1094">
        <f t="shared" si="7"/>
        <v>0</v>
      </c>
      <c r="M35" s="1094">
        <f t="shared" si="8"/>
        <v>0</v>
      </c>
      <c r="N35" s="1086">
        <f>'[8]FY2012-13 Initial'!$D36</f>
        <v>3427</v>
      </c>
      <c r="O35" s="1088">
        <f t="shared" si="9"/>
        <v>0</v>
      </c>
      <c r="P35" s="1155">
        <f t="shared" si="10"/>
        <v>0</v>
      </c>
      <c r="Q35" s="1088">
        <f t="shared" si="11"/>
        <v>0</v>
      </c>
      <c r="R35" s="1088">
        <v>0</v>
      </c>
      <c r="S35" s="1088">
        <f t="shared" si="12"/>
        <v>0</v>
      </c>
      <c r="T35" s="1088">
        <f t="shared" si="13"/>
        <v>0</v>
      </c>
      <c r="U35" s="1089">
        <f t="shared" si="14"/>
        <v>0</v>
      </c>
      <c r="V35" s="1089">
        <f t="shared" si="14"/>
        <v>0</v>
      </c>
    </row>
    <row r="36" spans="1:22">
      <c r="A36" s="1032">
        <v>30</v>
      </c>
      <c r="B36" s="1033" t="s">
        <v>131</v>
      </c>
      <c r="C36" s="1296">
        <f>'Table 8 2.1.12 MFP Funded'!V33</f>
        <v>0</v>
      </c>
      <c r="D36" s="1039">
        <f>'Table 3 Levels 1&amp;2'!AL37</f>
        <v>5594.8916667625617</v>
      </c>
      <c r="E36" s="1140">
        <f t="shared" si="2"/>
        <v>0</v>
      </c>
      <c r="F36" s="1140">
        <f>'Table 4 Level 3'!P35</f>
        <v>727.17</v>
      </c>
      <c r="G36" s="1140">
        <f t="shared" si="3"/>
        <v>0</v>
      </c>
      <c r="H36" s="1095">
        <f t="shared" si="4"/>
        <v>0</v>
      </c>
      <c r="I36" s="1150">
        <f t="shared" si="5"/>
        <v>0</v>
      </c>
      <c r="J36" s="1095">
        <f t="shared" si="6"/>
        <v>0</v>
      </c>
      <c r="K36" s="1095">
        <v>0</v>
      </c>
      <c r="L36" s="1095">
        <f t="shared" si="7"/>
        <v>0</v>
      </c>
      <c r="M36" s="1095">
        <f t="shared" si="8"/>
        <v>0</v>
      </c>
      <c r="N36" s="1091">
        <f>'[8]FY2012-13 Initial'!$D37</f>
        <v>2638</v>
      </c>
      <c r="O36" s="1092">
        <f t="shared" si="9"/>
        <v>0</v>
      </c>
      <c r="P36" s="1156">
        <f t="shared" si="10"/>
        <v>0</v>
      </c>
      <c r="Q36" s="1092">
        <f t="shared" si="11"/>
        <v>0</v>
      </c>
      <c r="R36" s="1092">
        <v>0</v>
      </c>
      <c r="S36" s="1092">
        <f t="shared" si="12"/>
        <v>0</v>
      </c>
      <c r="T36" s="1092">
        <f t="shared" si="13"/>
        <v>0</v>
      </c>
      <c r="U36" s="1093">
        <f t="shared" si="14"/>
        <v>0</v>
      </c>
      <c r="V36" s="1093">
        <f t="shared" si="14"/>
        <v>0</v>
      </c>
    </row>
    <row r="37" spans="1:22">
      <c r="A37" s="1021">
        <v>31</v>
      </c>
      <c r="B37" s="1022" t="s">
        <v>132</v>
      </c>
      <c r="C37" s="1297">
        <f>'Table 8 2.1.12 MFP Funded'!V34</f>
        <v>0</v>
      </c>
      <c r="D37" s="1041">
        <f>'Table 3 Levels 1&amp;2'!AL38</f>
        <v>4159.5846806435638</v>
      </c>
      <c r="E37" s="1141">
        <f t="shared" si="2"/>
        <v>0</v>
      </c>
      <c r="F37" s="1141">
        <f>'Table 4 Level 3'!P36</f>
        <v>620.83000000000004</v>
      </c>
      <c r="G37" s="1141">
        <f t="shared" si="3"/>
        <v>0</v>
      </c>
      <c r="H37" s="1096">
        <f t="shared" si="4"/>
        <v>0</v>
      </c>
      <c r="I37" s="1151">
        <f t="shared" si="5"/>
        <v>0</v>
      </c>
      <c r="J37" s="1096">
        <f t="shared" si="6"/>
        <v>0</v>
      </c>
      <c r="K37" s="1096">
        <v>0</v>
      </c>
      <c r="L37" s="1096">
        <f t="shared" si="7"/>
        <v>0</v>
      </c>
      <c r="M37" s="1096">
        <f t="shared" si="8"/>
        <v>0</v>
      </c>
      <c r="N37" s="1086">
        <f>'[8]FY2012-13 Initial'!$D38</f>
        <v>4179</v>
      </c>
      <c r="O37" s="1026">
        <f t="shared" si="9"/>
        <v>0</v>
      </c>
      <c r="P37" s="1154">
        <f t="shared" si="10"/>
        <v>0</v>
      </c>
      <c r="Q37" s="1026">
        <f t="shared" si="11"/>
        <v>0</v>
      </c>
      <c r="R37" s="1026">
        <v>0</v>
      </c>
      <c r="S37" s="1026">
        <f t="shared" si="12"/>
        <v>0</v>
      </c>
      <c r="T37" s="1026">
        <f t="shared" si="13"/>
        <v>0</v>
      </c>
      <c r="U37" s="1027">
        <f t="shared" si="14"/>
        <v>0</v>
      </c>
      <c r="V37" s="1027">
        <f t="shared" si="14"/>
        <v>0</v>
      </c>
    </row>
    <row r="38" spans="1:22">
      <c r="A38" s="1028">
        <v>32</v>
      </c>
      <c r="B38" s="1029" t="s">
        <v>133</v>
      </c>
      <c r="C38" s="1295">
        <f>'Table 8 2.1.12 MFP Funded'!V35</f>
        <v>0</v>
      </c>
      <c r="D38" s="1037">
        <f>'Table 3 Levels 1&amp;2'!AL39</f>
        <v>5475.1436637248598</v>
      </c>
      <c r="E38" s="1139">
        <f t="shared" si="2"/>
        <v>0</v>
      </c>
      <c r="F38" s="1139">
        <f>'Table 4 Level 3'!P37</f>
        <v>559.77</v>
      </c>
      <c r="G38" s="1139">
        <f t="shared" si="3"/>
        <v>0</v>
      </c>
      <c r="H38" s="1094">
        <f t="shared" si="4"/>
        <v>0</v>
      </c>
      <c r="I38" s="1149">
        <f t="shared" si="5"/>
        <v>0</v>
      </c>
      <c r="J38" s="1094">
        <f t="shared" si="6"/>
        <v>0</v>
      </c>
      <c r="K38" s="1094">
        <v>0</v>
      </c>
      <c r="L38" s="1094">
        <f t="shared" si="7"/>
        <v>0</v>
      </c>
      <c r="M38" s="1094">
        <f t="shared" si="8"/>
        <v>0</v>
      </c>
      <c r="N38" s="1086">
        <f>'[8]FY2012-13 Initial'!$D39</f>
        <v>1640</v>
      </c>
      <c r="O38" s="1088">
        <f t="shared" si="9"/>
        <v>0</v>
      </c>
      <c r="P38" s="1155">
        <f t="shared" si="10"/>
        <v>0</v>
      </c>
      <c r="Q38" s="1088">
        <f t="shared" si="11"/>
        <v>0</v>
      </c>
      <c r="R38" s="1088">
        <v>0</v>
      </c>
      <c r="S38" s="1088">
        <f t="shared" si="12"/>
        <v>0</v>
      </c>
      <c r="T38" s="1088">
        <f t="shared" si="13"/>
        <v>0</v>
      </c>
      <c r="U38" s="1089">
        <f t="shared" si="14"/>
        <v>0</v>
      </c>
      <c r="V38" s="1089">
        <f t="shared" si="14"/>
        <v>0</v>
      </c>
    </row>
    <row r="39" spans="1:22">
      <c r="A39" s="1028">
        <v>33</v>
      </c>
      <c r="B39" s="1029" t="s">
        <v>134</v>
      </c>
      <c r="C39" s="1295">
        <f>'Table 8 2.1.12 MFP Funded'!V36</f>
        <v>0</v>
      </c>
      <c r="D39" s="1037">
        <f>'Table 3 Levels 1&amp;2'!AL40</f>
        <v>5397.5678422891451</v>
      </c>
      <c r="E39" s="1139">
        <f t="shared" si="2"/>
        <v>0</v>
      </c>
      <c r="F39" s="1139">
        <f>'Table 4 Level 3'!P38</f>
        <v>655.31000000000006</v>
      </c>
      <c r="G39" s="1139">
        <f t="shared" si="3"/>
        <v>0</v>
      </c>
      <c r="H39" s="1094">
        <f t="shared" si="4"/>
        <v>0</v>
      </c>
      <c r="I39" s="1149">
        <f t="shared" si="5"/>
        <v>0</v>
      </c>
      <c r="J39" s="1094">
        <f t="shared" si="6"/>
        <v>0</v>
      </c>
      <c r="K39" s="1094">
        <v>0</v>
      </c>
      <c r="L39" s="1094">
        <f t="shared" si="7"/>
        <v>0</v>
      </c>
      <c r="M39" s="1094">
        <f t="shared" si="8"/>
        <v>0</v>
      </c>
      <c r="N39" s="1086">
        <f>'[8]FY2012-13 Initial'!$D40</f>
        <v>1601</v>
      </c>
      <c r="O39" s="1088">
        <f t="shared" si="9"/>
        <v>0</v>
      </c>
      <c r="P39" s="1155">
        <f t="shared" si="10"/>
        <v>0</v>
      </c>
      <c r="Q39" s="1088">
        <f t="shared" si="11"/>
        <v>0</v>
      </c>
      <c r="R39" s="1088">
        <v>0</v>
      </c>
      <c r="S39" s="1088">
        <f t="shared" si="12"/>
        <v>0</v>
      </c>
      <c r="T39" s="1088">
        <f t="shared" si="13"/>
        <v>0</v>
      </c>
      <c r="U39" s="1089">
        <f t="shared" si="14"/>
        <v>0</v>
      </c>
      <c r="V39" s="1089">
        <f t="shared" si="14"/>
        <v>0</v>
      </c>
    </row>
    <row r="40" spans="1:22">
      <c r="A40" s="1028">
        <v>34</v>
      </c>
      <c r="B40" s="1029" t="s">
        <v>135</v>
      </c>
      <c r="C40" s="1295">
        <f>'Table 8 2.1.12 MFP Funded'!V37</f>
        <v>0</v>
      </c>
      <c r="D40" s="1037">
        <f>'Table 3 Levels 1&amp;2'!AL41</f>
        <v>5843.9642210290731</v>
      </c>
      <c r="E40" s="1139">
        <f t="shared" si="2"/>
        <v>0</v>
      </c>
      <c r="F40" s="1139">
        <f>'Table 4 Level 3'!P39</f>
        <v>644.11000000000013</v>
      </c>
      <c r="G40" s="1139">
        <f t="shared" si="3"/>
        <v>0</v>
      </c>
      <c r="H40" s="1094">
        <f t="shared" si="4"/>
        <v>0</v>
      </c>
      <c r="I40" s="1149">
        <f t="shared" si="5"/>
        <v>0</v>
      </c>
      <c r="J40" s="1094">
        <f t="shared" si="6"/>
        <v>0</v>
      </c>
      <c r="K40" s="1094">
        <v>0</v>
      </c>
      <c r="L40" s="1094">
        <f t="shared" si="7"/>
        <v>0</v>
      </c>
      <c r="M40" s="1094">
        <f t="shared" si="8"/>
        <v>0</v>
      </c>
      <c r="N40" s="1086">
        <f>'[8]FY2012-13 Initial'!$D41</f>
        <v>2326</v>
      </c>
      <c r="O40" s="1088">
        <f t="shared" si="9"/>
        <v>0</v>
      </c>
      <c r="P40" s="1155">
        <f t="shared" si="10"/>
        <v>0</v>
      </c>
      <c r="Q40" s="1088">
        <f t="shared" si="11"/>
        <v>0</v>
      </c>
      <c r="R40" s="1088">
        <v>0</v>
      </c>
      <c r="S40" s="1088">
        <f t="shared" si="12"/>
        <v>0</v>
      </c>
      <c r="T40" s="1088">
        <f t="shared" si="13"/>
        <v>0</v>
      </c>
      <c r="U40" s="1089">
        <f t="shared" si="14"/>
        <v>0</v>
      </c>
      <c r="V40" s="1089">
        <f t="shared" si="14"/>
        <v>0</v>
      </c>
    </row>
    <row r="41" spans="1:22">
      <c r="A41" s="1032">
        <v>35</v>
      </c>
      <c r="B41" s="1033" t="s">
        <v>136</v>
      </c>
      <c r="C41" s="1296">
        <f>'Table 8 2.1.12 MFP Funded'!V38</f>
        <v>0</v>
      </c>
      <c r="D41" s="1039">
        <f>'Table 3 Levels 1&amp;2'!AL42</f>
        <v>4830.9633412658623</v>
      </c>
      <c r="E41" s="1140">
        <f t="shared" si="2"/>
        <v>0</v>
      </c>
      <c r="F41" s="1140">
        <f>'Table 4 Level 3'!P40</f>
        <v>537.96</v>
      </c>
      <c r="G41" s="1140">
        <f t="shared" si="3"/>
        <v>0</v>
      </c>
      <c r="H41" s="1095">
        <f t="shared" si="4"/>
        <v>0</v>
      </c>
      <c r="I41" s="1150">
        <f t="shared" si="5"/>
        <v>0</v>
      </c>
      <c r="J41" s="1095">
        <f t="shared" si="6"/>
        <v>0</v>
      </c>
      <c r="K41" s="1095">
        <v>0</v>
      </c>
      <c r="L41" s="1095">
        <f t="shared" si="7"/>
        <v>0</v>
      </c>
      <c r="M41" s="1095">
        <f t="shared" si="8"/>
        <v>0</v>
      </c>
      <c r="N41" s="1091">
        <f>'[8]FY2012-13 Initial'!$D42</f>
        <v>2745</v>
      </c>
      <c r="O41" s="1092">
        <f t="shared" si="9"/>
        <v>0</v>
      </c>
      <c r="P41" s="1156">
        <f t="shared" si="10"/>
        <v>0</v>
      </c>
      <c r="Q41" s="1092">
        <f t="shared" si="11"/>
        <v>0</v>
      </c>
      <c r="R41" s="1092">
        <v>0</v>
      </c>
      <c r="S41" s="1092">
        <f t="shared" si="12"/>
        <v>0</v>
      </c>
      <c r="T41" s="1092">
        <f t="shared" si="13"/>
        <v>0</v>
      </c>
      <c r="U41" s="1093">
        <f t="shared" si="14"/>
        <v>0</v>
      </c>
      <c r="V41" s="1093">
        <f t="shared" si="14"/>
        <v>0</v>
      </c>
    </row>
    <row r="42" spans="1:22">
      <c r="A42" s="1021">
        <v>36</v>
      </c>
      <c r="B42" s="1022" t="s">
        <v>137</v>
      </c>
      <c r="C42" s="1297">
        <f>'Table 8 2.1.12 MFP Funded'!V39</f>
        <v>275</v>
      </c>
      <c r="D42" s="1041">
        <f>'Table 3 Levels 1&amp;2'!AL43</f>
        <v>3493.4615493208294</v>
      </c>
      <c r="E42" s="1141">
        <f t="shared" si="2"/>
        <v>960701.92606322805</v>
      </c>
      <c r="F42" s="1141">
        <f>'Table 5B1_RSD_Orleans'!F78</f>
        <v>746.0335616438357</v>
      </c>
      <c r="G42" s="1141">
        <f t="shared" si="3"/>
        <v>205159.2294520548</v>
      </c>
      <c r="H42" s="1096">
        <f t="shared" si="4"/>
        <v>1165861.1555152829</v>
      </c>
      <c r="I42" s="1151">
        <f t="shared" si="5"/>
        <v>-2914.6528887882073</v>
      </c>
      <c r="J42" s="1096">
        <f t="shared" si="6"/>
        <v>1162946.5026264947</v>
      </c>
      <c r="K42" s="1382">
        <v>-2567.7028599048972</v>
      </c>
      <c r="L42" s="1096">
        <f t="shared" si="7"/>
        <v>1160378.7997665899</v>
      </c>
      <c r="M42" s="1096">
        <f t="shared" si="8"/>
        <v>96698.233313882491</v>
      </c>
      <c r="N42" s="1086">
        <f>'[8]FY2012-13 Initial'!$D43</f>
        <v>4110</v>
      </c>
      <c r="O42" s="1026">
        <f t="shared" si="9"/>
        <v>1130250</v>
      </c>
      <c r="P42" s="1154">
        <f t="shared" si="10"/>
        <v>-2825.625</v>
      </c>
      <c r="Q42" s="1026">
        <f t="shared" si="11"/>
        <v>1127424.375</v>
      </c>
      <c r="R42" s="1026">
        <v>0</v>
      </c>
      <c r="S42" s="1026">
        <f t="shared" si="12"/>
        <v>1127424.375</v>
      </c>
      <c r="T42" s="1026">
        <f t="shared" si="13"/>
        <v>93952.03125</v>
      </c>
      <c r="U42" s="1027">
        <f t="shared" si="14"/>
        <v>2287803.1747665899</v>
      </c>
      <c r="V42" s="1027">
        <f t="shared" si="14"/>
        <v>190650.26456388249</v>
      </c>
    </row>
    <row r="43" spans="1:22">
      <c r="A43" s="1028">
        <v>37</v>
      </c>
      <c r="B43" s="1029" t="s">
        <v>138</v>
      </c>
      <c r="C43" s="1295">
        <f>'Table 8 2.1.12 MFP Funded'!V40</f>
        <v>0</v>
      </c>
      <c r="D43" s="1037">
        <f>'Table 3 Levels 1&amp;2'!AL44</f>
        <v>5484.3026094077886</v>
      </c>
      <c r="E43" s="1139">
        <f t="shared" si="2"/>
        <v>0</v>
      </c>
      <c r="F43" s="1139">
        <f>'Table 4 Level 3'!P42</f>
        <v>653.61</v>
      </c>
      <c r="G43" s="1139">
        <f t="shared" si="3"/>
        <v>0</v>
      </c>
      <c r="H43" s="1094">
        <f t="shared" si="4"/>
        <v>0</v>
      </c>
      <c r="I43" s="1149">
        <f t="shared" si="5"/>
        <v>0</v>
      </c>
      <c r="J43" s="1094">
        <f t="shared" si="6"/>
        <v>0</v>
      </c>
      <c r="K43" s="1094">
        <v>0</v>
      </c>
      <c r="L43" s="1094">
        <f t="shared" si="7"/>
        <v>0</v>
      </c>
      <c r="M43" s="1094">
        <f t="shared" si="8"/>
        <v>0</v>
      </c>
      <c r="N43" s="1086">
        <f>'[8]FY2012-13 Initial'!$D44</f>
        <v>2362</v>
      </c>
      <c r="O43" s="1088">
        <f t="shared" si="9"/>
        <v>0</v>
      </c>
      <c r="P43" s="1155">
        <f t="shared" si="10"/>
        <v>0</v>
      </c>
      <c r="Q43" s="1088">
        <f t="shared" si="11"/>
        <v>0</v>
      </c>
      <c r="R43" s="1088">
        <v>0</v>
      </c>
      <c r="S43" s="1088">
        <f t="shared" si="12"/>
        <v>0</v>
      </c>
      <c r="T43" s="1088">
        <f t="shared" si="13"/>
        <v>0</v>
      </c>
      <c r="U43" s="1089">
        <f t="shared" si="14"/>
        <v>0</v>
      </c>
      <c r="V43" s="1089">
        <f t="shared" si="14"/>
        <v>0</v>
      </c>
    </row>
    <row r="44" spans="1:22">
      <c r="A44" s="1028">
        <v>38</v>
      </c>
      <c r="B44" s="1029" t="s">
        <v>139</v>
      </c>
      <c r="C44" s="1295">
        <f>'Table 8 2.1.12 MFP Funded'!V41</f>
        <v>0</v>
      </c>
      <c r="D44" s="1037">
        <f>'Table 3 Levels 1&amp;2'!AL45</f>
        <v>2191.7415364583335</v>
      </c>
      <c r="E44" s="1139">
        <f t="shared" si="2"/>
        <v>0</v>
      </c>
      <c r="F44" s="1139">
        <f>'Table 4 Level 3'!P43</f>
        <v>829.92000000000007</v>
      </c>
      <c r="G44" s="1139">
        <f t="shared" si="3"/>
        <v>0</v>
      </c>
      <c r="H44" s="1094">
        <f t="shared" si="4"/>
        <v>0</v>
      </c>
      <c r="I44" s="1149">
        <f t="shared" si="5"/>
        <v>0</v>
      </c>
      <c r="J44" s="1094">
        <f t="shared" si="6"/>
        <v>0</v>
      </c>
      <c r="K44" s="1094">
        <v>0</v>
      </c>
      <c r="L44" s="1094">
        <f t="shared" si="7"/>
        <v>0</v>
      </c>
      <c r="M44" s="1094">
        <f t="shared" si="8"/>
        <v>0</v>
      </c>
      <c r="N44" s="1086">
        <f>'[8]FY2012-13 Initial'!$D45</f>
        <v>9771</v>
      </c>
      <c r="O44" s="1088">
        <f t="shared" si="9"/>
        <v>0</v>
      </c>
      <c r="P44" s="1155">
        <f t="shared" si="10"/>
        <v>0</v>
      </c>
      <c r="Q44" s="1088">
        <f t="shared" si="11"/>
        <v>0</v>
      </c>
      <c r="R44" s="1088">
        <v>0</v>
      </c>
      <c r="S44" s="1088">
        <f t="shared" si="12"/>
        <v>0</v>
      </c>
      <c r="T44" s="1088">
        <f t="shared" si="13"/>
        <v>0</v>
      </c>
      <c r="U44" s="1089">
        <f t="shared" si="14"/>
        <v>0</v>
      </c>
      <c r="V44" s="1089">
        <f t="shared" si="14"/>
        <v>0</v>
      </c>
    </row>
    <row r="45" spans="1:22">
      <c r="A45" s="1028">
        <v>39</v>
      </c>
      <c r="B45" s="1029" t="s">
        <v>140</v>
      </c>
      <c r="C45" s="1295">
        <f>'Table 8 2.1.12 MFP Funded'!V42</f>
        <v>0</v>
      </c>
      <c r="D45" s="1037">
        <f>'Table 3 Levels 1&amp;2'!AL46</f>
        <v>3686.1886996918806</v>
      </c>
      <c r="E45" s="1139">
        <f t="shared" si="2"/>
        <v>0</v>
      </c>
      <c r="F45" s="1139">
        <f>'Table 5B2_RSD_LA'!F21</f>
        <v>779.65573042776441</v>
      </c>
      <c r="G45" s="1139">
        <f t="shared" si="3"/>
        <v>0</v>
      </c>
      <c r="H45" s="1094">
        <f t="shared" si="4"/>
        <v>0</v>
      </c>
      <c r="I45" s="1149">
        <f t="shared" si="5"/>
        <v>0</v>
      </c>
      <c r="J45" s="1094">
        <f t="shared" si="6"/>
        <v>0</v>
      </c>
      <c r="K45" s="1094">
        <v>0</v>
      </c>
      <c r="L45" s="1094">
        <f t="shared" si="7"/>
        <v>0</v>
      </c>
      <c r="M45" s="1094">
        <f t="shared" si="8"/>
        <v>0</v>
      </c>
      <c r="N45" s="1086">
        <f>'[8]FY2012-13 Initial'!$D46</f>
        <v>4060</v>
      </c>
      <c r="O45" s="1088">
        <f t="shared" si="9"/>
        <v>0</v>
      </c>
      <c r="P45" s="1155">
        <f t="shared" si="10"/>
        <v>0</v>
      </c>
      <c r="Q45" s="1088">
        <f t="shared" si="11"/>
        <v>0</v>
      </c>
      <c r="R45" s="1088">
        <v>0</v>
      </c>
      <c r="S45" s="1088">
        <f t="shared" si="12"/>
        <v>0</v>
      </c>
      <c r="T45" s="1088">
        <f t="shared" si="13"/>
        <v>0</v>
      </c>
      <c r="U45" s="1089">
        <f t="shared" si="14"/>
        <v>0</v>
      </c>
      <c r="V45" s="1089">
        <f t="shared" si="14"/>
        <v>0</v>
      </c>
    </row>
    <row r="46" spans="1:22">
      <c r="A46" s="1032">
        <v>40</v>
      </c>
      <c r="B46" s="1033" t="s">
        <v>141</v>
      </c>
      <c r="C46" s="1296">
        <f>'Table 8 2.1.12 MFP Funded'!V43</f>
        <v>0</v>
      </c>
      <c r="D46" s="1039">
        <f>'Table 3 Levels 1&amp;2'!AL47</f>
        <v>4879.0185326187402</v>
      </c>
      <c r="E46" s="1140">
        <f t="shared" si="2"/>
        <v>0</v>
      </c>
      <c r="F46" s="1140">
        <f>'Table 4 Level 3'!P45</f>
        <v>700.2700000000001</v>
      </c>
      <c r="G46" s="1140">
        <f t="shared" si="3"/>
        <v>0</v>
      </c>
      <c r="H46" s="1095">
        <f t="shared" si="4"/>
        <v>0</v>
      </c>
      <c r="I46" s="1150">
        <f t="shared" si="5"/>
        <v>0</v>
      </c>
      <c r="J46" s="1095">
        <f t="shared" si="6"/>
        <v>0</v>
      </c>
      <c r="K46" s="1095">
        <v>0</v>
      </c>
      <c r="L46" s="1095">
        <f t="shared" si="7"/>
        <v>0</v>
      </c>
      <c r="M46" s="1095">
        <f t="shared" si="8"/>
        <v>0</v>
      </c>
      <c r="N46" s="1091">
        <f>'[8]FY2012-13 Initial'!$D47</f>
        <v>2531</v>
      </c>
      <c r="O46" s="1092">
        <f t="shared" si="9"/>
        <v>0</v>
      </c>
      <c r="P46" s="1156">
        <f t="shared" si="10"/>
        <v>0</v>
      </c>
      <c r="Q46" s="1092">
        <f t="shared" si="11"/>
        <v>0</v>
      </c>
      <c r="R46" s="1092">
        <v>0</v>
      </c>
      <c r="S46" s="1092">
        <f t="shared" si="12"/>
        <v>0</v>
      </c>
      <c r="T46" s="1092">
        <f t="shared" si="13"/>
        <v>0</v>
      </c>
      <c r="U46" s="1093">
        <f t="shared" si="14"/>
        <v>0</v>
      </c>
      <c r="V46" s="1093">
        <f t="shared" si="14"/>
        <v>0</v>
      </c>
    </row>
    <row r="47" spans="1:22">
      <c r="A47" s="1021">
        <v>41</v>
      </c>
      <c r="B47" s="1022" t="s">
        <v>142</v>
      </c>
      <c r="C47" s="1297">
        <f>'Table 8 2.1.12 MFP Funded'!V44</f>
        <v>0</v>
      </c>
      <c r="D47" s="1041">
        <f>'Table 3 Levels 1&amp;2'!AL48</f>
        <v>1608.4303482587065</v>
      </c>
      <c r="E47" s="1141">
        <f t="shared" si="2"/>
        <v>0</v>
      </c>
      <c r="F47" s="1141">
        <f>'Table 4 Level 3'!P46</f>
        <v>886.22</v>
      </c>
      <c r="G47" s="1141">
        <f t="shared" si="3"/>
        <v>0</v>
      </c>
      <c r="H47" s="1096">
        <f t="shared" si="4"/>
        <v>0</v>
      </c>
      <c r="I47" s="1151">
        <f t="shared" si="5"/>
        <v>0</v>
      </c>
      <c r="J47" s="1096">
        <f t="shared" si="6"/>
        <v>0</v>
      </c>
      <c r="K47" s="1096">
        <v>0</v>
      </c>
      <c r="L47" s="1096">
        <f t="shared" si="7"/>
        <v>0</v>
      </c>
      <c r="M47" s="1096">
        <f t="shared" si="8"/>
        <v>0</v>
      </c>
      <c r="N47" s="1086">
        <f>'[8]FY2012-13 Initial'!$D48</f>
        <v>11954</v>
      </c>
      <c r="O47" s="1026">
        <f t="shared" si="9"/>
        <v>0</v>
      </c>
      <c r="P47" s="1154">
        <f t="shared" si="10"/>
        <v>0</v>
      </c>
      <c r="Q47" s="1026">
        <f t="shared" si="11"/>
        <v>0</v>
      </c>
      <c r="R47" s="1026">
        <v>0</v>
      </c>
      <c r="S47" s="1026">
        <f t="shared" si="12"/>
        <v>0</v>
      </c>
      <c r="T47" s="1026">
        <f t="shared" si="13"/>
        <v>0</v>
      </c>
      <c r="U47" s="1027">
        <f t="shared" si="14"/>
        <v>0</v>
      </c>
      <c r="V47" s="1027">
        <f t="shared" si="14"/>
        <v>0</v>
      </c>
    </row>
    <row r="48" spans="1:22">
      <c r="A48" s="1028">
        <v>42</v>
      </c>
      <c r="B48" s="1029" t="s">
        <v>143</v>
      </c>
      <c r="C48" s="1295">
        <f>'Table 8 2.1.12 MFP Funded'!V45</f>
        <v>0</v>
      </c>
      <c r="D48" s="1037">
        <f>'Table 3 Levels 1&amp;2'!AL49</f>
        <v>5260.3047779801664</v>
      </c>
      <c r="E48" s="1139">
        <f t="shared" si="2"/>
        <v>0</v>
      </c>
      <c r="F48" s="1139">
        <f>'Table 4 Level 3'!P47</f>
        <v>534.28</v>
      </c>
      <c r="G48" s="1139">
        <f t="shared" si="3"/>
        <v>0</v>
      </c>
      <c r="H48" s="1094">
        <f t="shared" si="4"/>
        <v>0</v>
      </c>
      <c r="I48" s="1149">
        <f t="shared" si="5"/>
        <v>0</v>
      </c>
      <c r="J48" s="1094">
        <f t="shared" si="6"/>
        <v>0</v>
      </c>
      <c r="K48" s="1094">
        <v>0</v>
      </c>
      <c r="L48" s="1094">
        <f t="shared" si="7"/>
        <v>0</v>
      </c>
      <c r="M48" s="1094">
        <f t="shared" si="8"/>
        <v>0</v>
      </c>
      <c r="N48" s="1086">
        <f>'[8]FY2012-13 Initial'!$D49</f>
        <v>2026</v>
      </c>
      <c r="O48" s="1088">
        <f t="shared" si="9"/>
        <v>0</v>
      </c>
      <c r="P48" s="1155">
        <f t="shared" si="10"/>
        <v>0</v>
      </c>
      <c r="Q48" s="1088">
        <f t="shared" si="11"/>
        <v>0</v>
      </c>
      <c r="R48" s="1088">
        <v>0</v>
      </c>
      <c r="S48" s="1088">
        <f t="shared" si="12"/>
        <v>0</v>
      </c>
      <c r="T48" s="1088">
        <f t="shared" si="13"/>
        <v>0</v>
      </c>
      <c r="U48" s="1089">
        <f t="shared" si="14"/>
        <v>0</v>
      </c>
      <c r="V48" s="1089">
        <f t="shared" si="14"/>
        <v>0</v>
      </c>
    </row>
    <row r="49" spans="1:22">
      <c r="A49" s="1028">
        <v>43</v>
      </c>
      <c r="B49" s="1029" t="s">
        <v>144</v>
      </c>
      <c r="C49" s="1295">
        <f>'Table 8 2.1.12 MFP Funded'!V46</f>
        <v>0</v>
      </c>
      <c r="D49" s="1037">
        <f>'Table 3 Levels 1&amp;2'!AL50</f>
        <v>5587.3492327608728</v>
      </c>
      <c r="E49" s="1139">
        <f t="shared" si="2"/>
        <v>0</v>
      </c>
      <c r="F49" s="1139">
        <f>'Table 4 Level 3'!P48</f>
        <v>574.6099999999999</v>
      </c>
      <c r="G49" s="1139">
        <f t="shared" si="3"/>
        <v>0</v>
      </c>
      <c r="H49" s="1094">
        <f t="shared" si="4"/>
        <v>0</v>
      </c>
      <c r="I49" s="1149">
        <f t="shared" si="5"/>
        <v>0</v>
      </c>
      <c r="J49" s="1094">
        <f t="shared" si="6"/>
        <v>0</v>
      </c>
      <c r="K49" s="1094">
        <v>0</v>
      </c>
      <c r="L49" s="1094">
        <f t="shared" si="7"/>
        <v>0</v>
      </c>
      <c r="M49" s="1094">
        <f t="shared" si="8"/>
        <v>0</v>
      </c>
      <c r="N49" s="1086">
        <f>'[8]FY2012-13 Initial'!$D50</f>
        <v>5089</v>
      </c>
      <c r="O49" s="1088">
        <f t="shared" si="9"/>
        <v>0</v>
      </c>
      <c r="P49" s="1155">
        <f t="shared" si="10"/>
        <v>0</v>
      </c>
      <c r="Q49" s="1088">
        <f t="shared" si="11"/>
        <v>0</v>
      </c>
      <c r="R49" s="1088">
        <v>0</v>
      </c>
      <c r="S49" s="1088">
        <f t="shared" si="12"/>
        <v>0</v>
      </c>
      <c r="T49" s="1088">
        <f t="shared" si="13"/>
        <v>0</v>
      </c>
      <c r="U49" s="1089">
        <f t="shared" si="14"/>
        <v>0</v>
      </c>
      <c r="V49" s="1089">
        <f t="shared" si="14"/>
        <v>0</v>
      </c>
    </row>
    <row r="50" spans="1:22">
      <c r="A50" s="1028">
        <v>44</v>
      </c>
      <c r="B50" s="1029" t="s">
        <v>145</v>
      </c>
      <c r="C50" s="1295">
        <f>'Table 8 2.1.12 MFP Funded'!V47</f>
        <v>1</v>
      </c>
      <c r="D50" s="1037">
        <f>'Table 3 Levels 1&amp;2'!AL51</f>
        <v>4113.1787591918992</v>
      </c>
      <c r="E50" s="1139">
        <f t="shared" si="2"/>
        <v>4113.1787591918992</v>
      </c>
      <c r="F50" s="1139">
        <f>'Table 4 Level 3'!P49</f>
        <v>663.16000000000008</v>
      </c>
      <c r="G50" s="1139">
        <f t="shared" si="3"/>
        <v>663.16000000000008</v>
      </c>
      <c r="H50" s="1094">
        <f t="shared" si="4"/>
        <v>4776.338759191899</v>
      </c>
      <c r="I50" s="1149">
        <f t="shared" si="5"/>
        <v>-11.940846897979748</v>
      </c>
      <c r="J50" s="1094">
        <f t="shared" si="6"/>
        <v>4764.397912293919</v>
      </c>
      <c r="K50" s="1094">
        <v>0</v>
      </c>
      <c r="L50" s="1094">
        <f t="shared" si="7"/>
        <v>4764.397912293919</v>
      </c>
      <c r="M50" s="1094">
        <f t="shared" si="8"/>
        <v>397.03315935782661</v>
      </c>
      <c r="N50" s="1086">
        <f>'[8]FY2012-13 Initial'!$D51</f>
        <v>4166</v>
      </c>
      <c r="O50" s="1088">
        <f t="shared" si="9"/>
        <v>4166</v>
      </c>
      <c r="P50" s="1155">
        <f t="shared" si="10"/>
        <v>-10.415000000000001</v>
      </c>
      <c r="Q50" s="1088">
        <f t="shared" si="11"/>
        <v>4155.585</v>
      </c>
      <c r="R50" s="1088">
        <v>0</v>
      </c>
      <c r="S50" s="1088">
        <f t="shared" si="12"/>
        <v>4155.585</v>
      </c>
      <c r="T50" s="1088">
        <f t="shared" si="13"/>
        <v>346.29874999999998</v>
      </c>
      <c r="U50" s="1089">
        <f t="shared" si="14"/>
        <v>8919.9829122939191</v>
      </c>
      <c r="V50" s="1089">
        <f t="shared" si="14"/>
        <v>743.33190935782659</v>
      </c>
    </row>
    <row r="51" spans="1:22">
      <c r="A51" s="1032">
        <v>45</v>
      </c>
      <c r="B51" s="1033" t="s">
        <v>146</v>
      </c>
      <c r="C51" s="1296">
        <f>'Table 8 2.1.12 MFP Funded'!V48</f>
        <v>2</v>
      </c>
      <c r="D51" s="1039">
        <f>'Table 3 Levels 1&amp;2'!AL52</f>
        <v>2414.8479898164846</v>
      </c>
      <c r="E51" s="1140">
        <f t="shared" si="2"/>
        <v>4829.6959796329693</v>
      </c>
      <c r="F51" s="1140">
        <f>'Table 4 Level 3'!P50</f>
        <v>753.96000000000015</v>
      </c>
      <c r="G51" s="1140">
        <f t="shared" si="3"/>
        <v>1507.9200000000003</v>
      </c>
      <c r="H51" s="1095">
        <f t="shared" si="4"/>
        <v>6337.6159796329694</v>
      </c>
      <c r="I51" s="1150">
        <f t="shared" si="5"/>
        <v>-15.844039949082424</v>
      </c>
      <c r="J51" s="1095">
        <f t="shared" si="6"/>
        <v>6321.7719396838866</v>
      </c>
      <c r="K51" s="1095">
        <v>0</v>
      </c>
      <c r="L51" s="1095">
        <f t="shared" si="7"/>
        <v>6321.7719396838866</v>
      </c>
      <c r="M51" s="1095">
        <f t="shared" si="8"/>
        <v>526.81432830699055</v>
      </c>
      <c r="N51" s="1091">
        <f>'[8]FY2012-13 Initial'!$D52</f>
        <v>10324</v>
      </c>
      <c r="O51" s="1092">
        <f t="shared" si="9"/>
        <v>20648</v>
      </c>
      <c r="P51" s="1156">
        <f t="shared" si="10"/>
        <v>-51.620000000000005</v>
      </c>
      <c r="Q51" s="1092">
        <f t="shared" si="11"/>
        <v>20596.38</v>
      </c>
      <c r="R51" s="1092">
        <v>0</v>
      </c>
      <c r="S51" s="1092">
        <f t="shared" si="12"/>
        <v>20596.38</v>
      </c>
      <c r="T51" s="1092">
        <f t="shared" si="13"/>
        <v>1716.365</v>
      </c>
      <c r="U51" s="1093">
        <f t="shared" si="14"/>
        <v>26918.151939683888</v>
      </c>
      <c r="V51" s="1093">
        <f t="shared" si="14"/>
        <v>2243.1793283069906</v>
      </c>
    </row>
    <row r="52" spans="1:22">
      <c r="A52" s="1021">
        <v>46</v>
      </c>
      <c r="B52" s="1022" t="s">
        <v>147</v>
      </c>
      <c r="C52" s="1297">
        <f>'Table 8 2.1.12 MFP Funded'!V49</f>
        <v>0</v>
      </c>
      <c r="D52" s="1041">
        <f>'Table 3 Levels 1&amp;2'!AL53</f>
        <v>5765.0314518803261</v>
      </c>
      <c r="E52" s="1141">
        <f t="shared" si="2"/>
        <v>0</v>
      </c>
      <c r="F52" s="1141">
        <f>'Table 4 Level 3'!P51</f>
        <v>728.06</v>
      </c>
      <c r="G52" s="1141">
        <f t="shared" si="3"/>
        <v>0</v>
      </c>
      <c r="H52" s="1096">
        <f t="shared" si="4"/>
        <v>0</v>
      </c>
      <c r="I52" s="1151">
        <f t="shared" si="5"/>
        <v>0</v>
      </c>
      <c r="J52" s="1096">
        <f t="shared" si="6"/>
        <v>0</v>
      </c>
      <c r="K52" s="1096">
        <v>0</v>
      </c>
      <c r="L52" s="1096">
        <f t="shared" si="7"/>
        <v>0</v>
      </c>
      <c r="M52" s="1096">
        <f t="shared" si="8"/>
        <v>0</v>
      </c>
      <c r="N52" s="1086">
        <f>'[8]FY2012-13 Initial'!$D53</f>
        <v>973</v>
      </c>
      <c r="O52" s="1026">
        <f t="shared" si="9"/>
        <v>0</v>
      </c>
      <c r="P52" s="1154">
        <f t="shared" si="10"/>
        <v>0</v>
      </c>
      <c r="Q52" s="1026">
        <f t="shared" si="11"/>
        <v>0</v>
      </c>
      <c r="R52" s="1026">
        <v>0</v>
      </c>
      <c r="S52" s="1026">
        <f t="shared" si="12"/>
        <v>0</v>
      </c>
      <c r="T52" s="1026">
        <f t="shared" si="13"/>
        <v>0</v>
      </c>
      <c r="U52" s="1027">
        <f t="shared" si="14"/>
        <v>0</v>
      </c>
      <c r="V52" s="1027">
        <f t="shared" si="14"/>
        <v>0</v>
      </c>
    </row>
    <row r="53" spans="1:22">
      <c r="A53" s="1028">
        <v>47</v>
      </c>
      <c r="B53" s="1029" t="s">
        <v>148</v>
      </c>
      <c r="C53" s="1295">
        <f>'Table 8 2.1.12 MFP Funded'!V50</f>
        <v>0</v>
      </c>
      <c r="D53" s="1037">
        <f>'Table 3 Levels 1&amp;2'!AL54</f>
        <v>3186.1712081166847</v>
      </c>
      <c r="E53" s="1139">
        <f t="shared" si="2"/>
        <v>0</v>
      </c>
      <c r="F53" s="1139">
        <f>'Table 4 Level 3'!P52</f>
        <v>910.76</v>
      </c>
      <c r="G53" s="1139">
        <f t="shared" si="3"/>
        <v>0</v>
      </c>
      <c r="H53" s="1094">
        <f t="shared" si="4"/>
        <v>0</v>
      </c>
      <c r="I53" s="1149">
        <f t="shared" si="5"/>
        <v>0</v>
      </c>
      <c r="J53" s="1094">
        <f t="shared" si="6"/>
        <v>0</v>
      </c>
      <c r="K53" s="1094">
        <v>0</v>
      </c>
      <c r="L53" s="1094">
        <f t="shared" si="7"/>
        <v>0</v>
      </c>
      <c r="M53" s="1094">
        <f t="shared" si="8"/>
        <v>0</v>
      </c>
      <c r="N53" s="1086">
        <f>'[8]FY2012-13 Initial'!$D54</f>
        <v>8858</v>
      </c>
      <c r="O53" s="1088">
        <f t="shared" si="9"/>
        <v>0</v>
      </c>
      <c r="P53" s="1155">
        <f t="shared" si="10"/>
        <v>0</v>
      </c>
      <c r="Q53" s="1088">
        <f t="shared" si="11"/>
        <v>0</v>
      </c>
      <c r="R53" s="1088">
        <v>0</v>
      </c>
      <c r="S53" s="1088">
        <f t="shared" si="12"/>
        <v>0</v>
      </c>
      <c r="T53" s="1088">
        <f t="shared" si="13"/>
        <v>0</v>
      </c>
      <c r="U53" s="1089">
        <f t="shared" si="14"/>
        <v>0</v>
      </c>
      <c r="V53" s="1089">
        <f t="shared" si="14"/>
        <v>0</v>
      </c>
    </row>
    <row r="54" spans="1:22">
      <c r="A54" s="1028">
        <v>48</v>
      </c>
      <c r="B54" s="1029" t="s">
        <v>222</v>
      </c>
      <c r="C54" s="1295">
        <f>'Table 8 2.1.12 MFP Funded'!V51</f>
        <v>2</v>
      </c>
      <c r="D54" s="1037">
        <f>'Table 3 Levels 1&amp;2'!AL55</f>
        <v>4260.4872196136057</v>
      </c>
      <c r="E54" s="1139">
        <f t="shared" si="2"/>
        <v>8520.9744392272114</v>
      </c>
      <c r="F54" s="1139">
        <f>'Table 4 Level 3'!P53</f>
        <v>871.07</v>
      </c>
      <c r="G54" s="1139">
        <f t="shared" si="3"/>
        <v>1742.14</v>
      </c>
      <c r="H54" s="1094">
        <f t="shared" si="4"/>
        <v>10263.114439227211</v>
      </c>
      <c r="I54" s="1149">
        <f t="shared" si="5"/>
        <v>-25.657786098068026</v>
      </c>
      <c r="J54" s="1094">
        <f t="shared" si="6"/>
        <v>10237.456653129142</v>
      </c>
      <c r="K54" s="1094">
        <v>0</v>
      </c>
      <c r="L54" s="1094">
        <f t="shared" si="7"/>
        <v>10237.456653129142</v>
      </c>
      <c r="M54" s="1094">
        <f t="shared" si="8"/>
        <v>853.12138776076188</v>
      </c>
      <c r="N54" s="1086">
        <f>'[8]FY2012-13 Initial'!$D55</f>
        <v>4300</v>
      </c>
      <c r="O54" s="1088">
        <f t="shared" si="9"/>
        <v>8600</v>
      </c>
      <c r="P54" s="1155">
        <f t="shared" si="10"/>
        <v>-21.5</v>
      </c>
      <c r="Q54" s="1088">
        <f t="shared" si="11"/>
        <v>8578.5</v>
      </c>
      <c r="R54" s="1088">
        <v>0</v>
      </c>
      <c r="S54" s="1088">
        <f t="shared" si="12"/>
        <v>8578.5</v>
      </c>
      <c r="T54" s="1088">
        <f t="shared" si="13"/>
        <v>714.875</v>
      </c>
      <c r="U54" s="1089">
        <f t="shared" si="14"/>
        <v>18815.956653129142</v>
      </c>
      <c r="V54" s="1089">
        <f t="shared" si="14"/>
        <v>1567.996387760762</v>
      </c>
    </row>
    <row r="55" spans="1:22">
      <c r="A55" s="1028">
        <v>49</v>
      </c>
      <c r="B55" s="1029" t="s">
        <v>149</v>
      </c>
      <c r="C55" s="1295">
        <f>'Table 8 2.1.12 MFP Funded'!V52</f>
        <v>0</v>
      </c>
      <c r="D55" s="1037">
        <f>'Table 3 Levels 1&amp;2'!AL56</f>
        <v>4800.2172145077111</v>
      </c>
      <c r="E55" s="1139">
        <f t="shared" si="2"/>
        <v>0</v>
      </c>
      <c r="F55" s="1139">
        <f>'Table 4 Level 3'!P54</f>
        <v>574.43999999999994</v>
      </c>
      <c r="G55" s="1139">
        <f t="shared" si="3"/>
        <v>0</v>
      </c>
      <c r="H55" s="1094">
        <f t="shared" si="4"/>
        <v>0</v>
      </c>
      <c r="I55" s="1149">
        <f t="shared" si="5"/>
        <v>0</v>
      </c>
      <c r="J55" s="1094">
        <f t="shared" si="6"/>
        <v>0</v>
      </c>
      <c r="K55" s="1094">
        <v>0</v>
      </c>
      <c r="L55" s="1094">
        <f t="shared" si="7"/>
        <v>0</v>
      </c>
      <c r="M55" s="1094">
        <f t="shared" si="8"/>
        <v>0</v>
      </c>
      <c r="N55" s="1086">
        <f>'[8]FY2012-13 Initial'!$D56</f>
        <v>2326</v>
      </c>
      <c r="O55" s="1088">
        <f t="shared" si="9"/>
        <v>0</v>
      </c>
      <c r="P55" s="1155">
        <f t="shared" si="10"/>
        <v>0</v>
      </c>
      <c r="Q55" s="1088">
        <f t="shared" si="11"/>
        <v>0</v>
      </c>
      <c r="R55" s="1088">
        <v>0</v>
      </c>
      <c r="S55" s="1088">
        <f t="shared" si="12"/>
        <v>0</v>
      </c>
      <c r="T55" s="1088">
        <f t="shared" si="13"/>
        <v>0</v>
      </c>
      <c r="U55" s="1089">
        <f t="shared" si="14"/>
        <v>0</v>
      </c>
      <c r="V55" s="1089">
        <f t="shared" si="14"/>
        <v>0</v>
      </c>
    </row>
    <row r="56" spans="1:22">
      <c r="A56" s="1032">
        <v>50</v>
      </c>
      <c r="B56" s="1033" t="s">
        <v>150</v>
      </c>
      <c r="C56" s="1296">
        <f>'Table 8 2.1.12 MFP Funded'!V53</f>
        <v>0</v>
      </c>
      <c r="D56" s="1039">
        <f>'Table 3 Levels 1&amp;2'!AL57</f>
        <v>5059.523754419537</v>
      </c>
      <c r="E56" s="1140">
        <f t="shared" si="2"/>
        <v>0</v>
      </c>
      <c r="F56" s="1140">
        <f>'Table 4 Level 3'!P55</f>
        <v>634.46</v>
      </c>
      <c r="G56" s="1140">
        <f t="shared" si="3"/>
        <v>0</v>
      </c>
      <c r="H56" s="1095">
        <f t="shared" si="4"/>
        <v>0</v>
      </c>
      <c r="I56" s="1150">
        <f t="shared" si="5"/>
        <v>0</v>
      </c>
      <c r="J56" s="1095">
        <f t="shared" si="6"/>
        <v>0</v>
      </c>
      <c r="K56" s="1095">
        <v>0</v>
      </c>
      <c r="L56" s="1095">
        <f t="shared" si="7"/>
        <v>0</v>
      </c>
      <c r="M56" s="1095">
        <f t="shared" si="8"/>
        <v>0</v>
      </c>
      <c r="N56" s="1091">
        <f>'[8]FY2012-13 Initial'!$D57</f>
        <v>1905</v>
      </c>
      <c r="O56" s="1092">
        <f t="shared" si="9"/>
        <v>0</v>
      </c>
      <c r="P56" s="1156">
        <f t="shared" si="10"/>
        <v>0</v>
      </c>
      <c r="Q56" s="1092">
        <f t="shared" si="11"/>
        <v>0</v>
      </c>
      <c r="R56" s="1092">
        <v>0</v>
      </c>
      <c r="S56" s="1092">
        <f t="shared" si="12"/>
        <v>0</v>
      </c>
      <c r="T56" s="1092">
        <f t="shared" si="13"/>
        <v>0</v>
      </c>
      <c r="U56" s="1093">
        <f t="shared" si="14"/>
        <v>0</v>
      </c>
      <c r="V56" s="1093">
        <f t="shared" si="14"/>
        <v>0</v>
      </c>
    </row>
    <row r="57" spans="1:22">
      <c r="A57" s="1021">
        <v>51</v>
      </c>
      <c r="B57" s="1022" t="s">
        <v>151</v>
      </c>
      <c r="C57" s="1297">
        <f>'Table 8 2.1.12 MFP Funded'!V54</f>
        <v>0</v>
      </c>
      <c r="D57" s="1041">
        <f>'Table 3 Levels 1&amp;2'!AL58</f>
        <v>4384.0477116019692</v>
      </c>
      <c r="E57" s="1141">
        <f t="shared" si="2"/>
        <v>0</v>
      </c>
      <c r="F57" s="1141">
        <f>'Table 4 Level 3'!P56</f>
        <v>706.66</v>
      </c>
      <c r="G57" s="1141">
        <f t="shared" si="3"/>
        <v>0</v>
      </c>
      <c r="H57" s="1096">
        <f t="shared" si="4"/>
        <v>0</v>
      </c>
      <c r="I57" s="1151">
        <f t="shared" si="5"/>
        <v>0</v>
      </c>
      <c r="J57" s="1096">
        <f t="shared" si="6"/>
        <v>0</v>
      </c>
      <c r="K57" s="1096">
        <v>0</v>
      </c>
      <c r="L57" s="1096">
        <f t="shared" si="7"/>
        <v>0</v>
      </c>
      <c r="M57" s="1096">
        <f t="shared" si="8"/>
        <v>0</v>
      </c>
      <c r="N57" s="1086">
        <f>'[8]FY2012-13 Initial'!$D58</f>
        <v>3704</v>
      </c>
      <c r="O57" s="1026">
        <f t="shared" si="9"/>
        <v>0</v>
      </c>
      <c r="P57" s="1154">
        <f t="shared" si="10"/>
        <v>0</v>
      </c>
      <c r="Q57" s="1026">
        <f t="shared" si="11"/>
        <v>0</v>
      </c>
      <c r="R57" s="1026">
        <v>0</v>
      </c>
      <c r="S57" s="1026">
        <f t="shared" si="12"/>
        <v>0</v>
      </c>
      <c r="T57" s="1026">
        <f t="shared" si="13"/>
        <v>0</v>
      </c>
      <c r="U57" s="1027">
        <f t="shared" si="14"/>
        <v>0</v>
      </c>
      <c r="V57" s="1027">
        <f t="shared" si="14"/>
        <v>0</v>
      </c>
    </row>
    <row r="58" spans="1:22">
      <c r="A58" s="1028">
        <v>52</v>
      </c>
      <c r="B58" s="1029" t="s">
        <v>152</v>
      </c>
      <c r="C58" s="1295">
        <f>'Table 8 2.1.12 MFP Funded'!V55</f>
        <v>1</v>
      </c>
      <c r="D58" s="1037">
        <f>'Table 3 Levels 1&amp;2'!AL59</f>
        <v>4920.0697942988754</v>
      </c>
      <c r="E58" s="1139">
        <f t="shared" si="2"/>
        <v>4920.0697942988754</v>
      </c>
      <c r="F58" s="1139">
        <f>'Table 4 Level 3'!P57</f>
        <v>658.37</v>
      </c>
      <c r="G58" s="1139">
        <f t="shared" si="3"/>
        <v>658.37</v>
      </c>
      <c r="H58" s="1094">
        <f t="shared" si="4"/>
        <v>5578.4397942988753</v>
      </c>
      <c r="I58" s="1149">
        <f t="shared" si="5"/>
        <v>-13.946099485747188</v>
      </c>
      <c r="J58" s="1094">
        <f t="shared" si="6"/>
        <v>5564.4936948131281</v>
      </c>
      <c r="K58" s="1094">
        <v>0</v>
      </c>
      <c r="L58" s="1094">
        <f t="shared" si="7"/>
        <v>5564.4936948131281</v>
      </c>
      <c r="M58" s="1094">
        <f t="shared" si="8"/>
        <v>463.70780790109399</v>
      </c>
      <c r="N58" s="1086">
        <f>'[8]FY2012-13 Initial'!$D59</f>
        <v>3930</v>
      </c>
      <c r="O58" s="1088">
        <f t="shared" si="9"/>
        <v>3930</v>
      </c>
      <c r="P58" s="1155">
        <f t="shared" si="10"/>
        <v>-9.8250000000000011</v>
      </c>
      <c r="Q58" s="1088">
        <f t="shared" si="11"/>
        <v>3920.1750000000002</v>
      </c>
      <c r="R58" s="1088">
        <v>0</v>
      </c>
      <c r="S58" s="1088">
        <f t="shared" si="12"/>
        <v>3920.1750000000002</v>
      </c>
      <c r="T58" s="1088">
        <f t="shared" si="13"/>
        <v>326.68125000000003</v>
      </c>
      <c r="U58" s="1089">
        <f t="shared" si="14"/>
        <v>9484.6686948131282</v>
      </c>
      <c r="V58" s="1089">
        <f t="shared" si="14"/>
        <v>790.38905790109402</v>
      </c>
    </row>
    <row r="59" spans="1:22">
      <c r="A59" s="1028">
        <v>53</v>
      </c>
      <c r="B59" s="1029" t="s">
        <v>153</v>
      </c>
      <c r="C59" s="1295">
        <f>'Table 8 2.1.12 MFP Funded'!V56</f>
        <v>0</v>
      </c>
      <c r="D59" s="1037">
        <f>'Table 3 Levels 1&amp;2'!AL60</f>
        <v>4784.2719870767614</v>
      </c>
      <c r="E59" s="1139">
        <f t="shared" si="2"/>
        <v>0</v>
      </c>
      <c r="F59" s="1139">
        <f>'Table 4 Level 3'!P58</f>
        <v>689.74</v>
      </c>
      <c r="G59" s="1139">
        <f t="shared" si="3"/>
        <v>0</v>
      </c>
      <c r="H59" s="1094">
        <f t="shared" si="4"/>
        <v>0</v>
      </c>
      <c r="I59" s="1149">
        <f t="shared" si="5"/>
        <v>0</v>
      </c>
      <c r="J59" s="1094">
        <f t="shared" si="6"/>
        <v>0</v>
      </c>
      <c r="K59" s="1094">
        <v>0</v>
      </c>
      <c r="L59" s="1094">
        <f t="shared" si="7"/>
        <v>0</v>
      </c>
      <c r="M59" s="1094">
        <f t="shared" si="8"/>
        <v>0</v>
      </c>
      <c r="N59" s="1086">
        <f>'[8]FY2012-13 Initial'!$D60</f>
        <v>1405</v>
      </c>
      <c r="O59" s="1088">
        <f t="shared" si="9"/>
        <v>0</v>
      </c>
      <c r="P59" s="1155">
        <f t="shared" si="10"/>
        <v>0</v>
      </c>
      <c r="Q59" s="1088">
        <f t="shared" si="11"/>
        <v>0</v>
      </c>
      <c r="R59" s="1088">
        <v>0</v>
      </c>
      <c r="S59" s="1088">
        <f t="shared" si="12"/>
        <v>0</v>
      </c>
      <c r="T59" s="1088">
        <f t="shared" si="13"/>
        <v>0</v>
      </c>
      <c r="U59" s="1089">
        <f t="shared" si="14"/>
        <v>0</v>
      </c>
      <c r="V59" s="1089">
        <f t="shared" si="14"/>
        <v>0</v>
      </c>
    </row>
    <row r="60" spans="1:22">
      <c r="A60" s="1028">
        <v>54</v>
      </c>
      <c r="B60" s="1029" t="s">
        <v>154</v>
      </c>
      <c r="C60" s="1295">
        <f>'Table 8 2.1.12 MFP Funded'!V57</f>
        <v>0</v>
      </c>
      <c r="D60" s="1037">
        <f>'Table 3 Levels 1&amp;2'!AL61</f>
        <v>5982.5555386476462</v>
      </c>
      <c r="E60" s="1139">
        <f t="shared" si="2"/>
        <v>0</v>
      </c>
      <c r="F60" s="1139">
        <f>'Table 4 Level 3'!P59</f>
        <v>951.45</v>
      </c>
      <c r="G60" s="1139">
        <f t="shared" si="3"/>
        <v>0</v>
      </c>
      <c r="H60" s="1094">
        <f t="shared" si="4"/>
        <v>0</v>
      </c>
      <c r="I60" s="1149">
        <f t="shared" si="5"/>
        <v>0</v>
      </c>
      <c r="J60" s="1094">
        <f t="shared" si="6"/>
        <v>0</v>
      </c>
      <c r="K60" s="1094">
        <v>0</v>
      </c>
      <c r="L60" s="1094">
        <f t="shared" si="7"/>
        <v>0</v>
      </c>
      <c r="M60" s="1094">
        <f t="shared" si="8"/>
        <v>0</v>
      </c>
      <c r="N60" s="1086">
        <f>'[8]FY2012-13 Initial'!$D61</f>
        <v>3264</v>
      </c>
      <c r="O60" s="1088">
        <f t="shared" si="9"/>
        <v>0</v>
      </c>
      <c r="P60" s="1155">
        <f t="shared" si="10"/>
        <v>0</v>
      </c>
      <c r="Q60" s="1088">
        <f t="shared" si="11"/>
        <v>0</v>
      </c>
      <c r="R60" s="1088">
        <v>0</v>
      </c>
      <c r="S60" s="1088">
        <f t="shared" si="12"/>
        <v>0</v>
      </c>
      <c r="T60" s="1088">
        <f t="shared" si="13"/>
        <v>0</v>
      </c>
      <c r="U60" s="1089">
        <f t="shared" si="14"/>
        <v>0</v>
      </c>
      <c r="V60" s="1089">
        <f t="shared" si="14"/>
        <v>0</v>
      </c>
    </row>
    <row r="61" spans="1:22">
      <c r="A61" s="1032">
        <v>55</v>
      </c>
      <c r="B61" s="1033" t="s">
        <v>155</v>
      </c>
      <c r="C61" s="1296">
        <f>'Table 8 2.1.12 MFP Funded'!V58</f>
        <v>0</v>
      </c>
      <c r="D61" s="1039">
        <f>'Table 3 Levels 1&amp;2'!AL62</f>
        <v>4087.4017448818722</v>
      </c>
      <c r="E61" s="1140">
        <f t="shared" si="2"/>
        <v>0</v>
      </c>
      <c r="F61" s="1140">
        <f>'Table 4 Level 3'!P60</f>
        <v>795.14</v>
      </c>
      <c r="G61" s="1140">
        <f t="shared" si="3"/>
        <v>0</v>
      </c>
      <c r="H61" s="1095">
        <f t="shared" si="4"/>
        <v>0</v>
      </c>
      <c r="I61" s="1150">
        <f t="shared" si="5"/>
        <v>0</v>
      </c>
      <c r="J61" s="1095">
        <f t="shared" si="6"/>
        <v>0</v>
      </c>
      <c r="K61" s="1095">
        <v>0</v>
      </c>
      <c r="L61" s="1095">
        <f t="shared" si="7"/>
        <v>0</v>
      </c>
      <c r="M61" s="1095">
        <f t="shared" si="8"/>
        <v>0</v>
      </c>
      <c r="N61" s="1091">
        <f>'[8]FY2012-13 Initial'!$D62</f>
        <v>3071</v>
      </c>
      <c r="O61" s="1092">
        <f t="shared" si="9"/>
        <v>0</v>
      </c>
      <c r="P61" s="1156">
        <f t="shared" si="10"/>
        <v>0</v>
      </c>
      <c r="Q61" s="1092">
        <f t="shared" si="11"/>
        <v>0</v>
      </c>
      <c r="R61" s="1092">
        <v>0</v>
      </c>
      <c r="S61" s="1092">
        <f t="shared" si="12"/>
        <v>0</v>
      </c>
      <c r="T61" s="1092">
        <f t="shared" si="13"/>
        <v>0</v>
      </c>
      <c r="U61" s="1093">
        <f t="shared" si="14"/>
        <v>0</v>
      </c>
      <c r="V61" s="1093">
        <f t="shared" si="14"/>
        <v>0</v>
      </c>
    </row>
    <row r="62" spans="1:22">
      <c r="A62" s="1021">
        <v>56</v>
      </c>
      <c r="B62" s="1022" t="s">
        <v>156</v>
      </c>
      <c r="C62" s="1297">
        <f>'Table 8 2.1.12 MFP Funded'!V59</f>
        <v>0</v>
      </c>
      <c r="D62" s="1041">
        <f>'Table 3 Levels 1&amp;2'!AL63</f>
        <v>5052.2250942802684</v>
      </c>
      <c r="E62" s="1141">
        <f t="shared" si="2"/>
        <v>0</v>
      </c>
      <c r="F62" s="1141">
        <f>'Table 4 Level 3'!P61</f>
        <v>614.66000000000008</v>
      </c>
      <c r="G62" s="1141">
        <f t="shared" si="3"/>
        <v>0</v>
      </c>
      <c r="H62" s="1096">
        <f t="shared" si="4"/>
        <v>0</v>
      </c>
      <c r="I62" s="1151">
        <f t="shared" si="5"/>
        <v>0</v>
      </c>
      <c r="J62" s="1096">
        <f t="shared" si="6"/>
        <v>0</v>
      </c>
      <c r="K62" s="1096">
        <v>0</v>
      </c>
      <c r="L62" s="1096">
        <f t="shared" si="7"/>
        <v>0</v>
      </c>
      <c r="M62" s="1096">
        <f t="shared" si="8"/>
        <v>0</v>
      </c>
      <c r="N62" s="1086">
        <f>'[8]FY2012-13 Initial'!$D63</f>
        <v>2630</v>
      </c>
      <c r="O62" s="1026">
        <f t="shared" si="9"/>
        <v>0</v>
      </c>
      <c r="P62" s="1154">
        <f t="shared" si="10"/>
        <v>0</v>
      </c>
      <c r="Q62" s="1026">
        <f t="shared" si="11"/>
        <v>0</v>
      </c>
      <c r="R62" s="1026">
        <v>0</v>
      </c>
      <c r="S62" s="1026">
        <f t="shared" si="12"/>
        <v>0</v>
      </c>
      <c r="T62" s="1026">
        <f t="shared" si="13"/>
        <v>0</v>
      </c>
      <c r="U62" s="1027">
        <f t="shared" si="14"/>
        <v>0</v>
      </c>
      <c r="V62" s="1027">
        <f t="shared" si="14"/>
        <v>0</v>
      </c>
    </row>
    <row r="63" spans="1:22">
      <c r="A63" s="1028">
        <v>57</v>
      </c>
      <c r="B63" s="1029" t="s">
        <v>157</v>
      </c>
      <c r="C63" s="1295">
        <f>'Table 8 2.1.12 MFP Funded'!V60</f>
        <v>0</v>
      </c>
      <c r="D63" s="1037">
        <f>'Table 3 Levels 1&amp;2'!AL64</f>
        <v>4389.3863180380931</v>
      </c>
      <c r="E63" s="1139">
        <f t="shared" si="2"/>
        <v>0</v>
      </c>
      <c r="F63" s="1139">
        <f>'Table 4 Level 3'!P62</f>
        <v>764.51</v>
      </c>
      <c r="G63" s="1139">
        <f t="shared" si="3"/>
        <v>0</v>
      </c>
      <c r="H63" s="1094">
        <f t="shared" si="4"/>
        <v>0</v>
      </c>
      <c r="I63" s="1149">
        <f t="shared" si="5"/>
        <v>0</v>
      </c>
      <c r="J63" s="1094">
        <f t="shared" si="6"/>
        <v>0</v>
      </c>
      <c r="K63" s="1094">
        <v>0</v>
      </c>
      <c r="L63" s="1094">
        <f t="shared" si="7"/>
        <v>0</v>
      </c>
      <c r="M63" s="1094">
        <f t="shared" si="8"/>
        <v>0</v>
      </c>
      <c r="N63" s="1086">
        <f>'[8]FY2012-13 Initial'!$D64</f>
        <v>3053</v>
      </c>
      <c r="O63" s="1088">
        <f t="shared" si="9"/>
        <v>0</v>
      </c>
      <c r="P63" s="1155">
        <f t="shared" si="10"/>
        <v>0</v>
      </c>
      <c r="Q63" s="1088">
        <f t="shared" si="11"/>
        <v>0</v>
      </c>
      <c r="R63" s="1088">
        <v>0</v>
      </c>
      <c r="S63" s="1088">
        <f t="shared" si="12"/>
        <v>0</v>
      </c>
      <c r="T63" s="1088">
        <f t="shared" si="13"/>
        <v>0</v>
      </c>
      <c r="U63" s="1089">
        <f t="shared" si="14"/>
        <v>0</v>
      </c>
      <c r="V63" s="1089">
        <f t="shared" si="14"/>
        <v>0</v>
      </c>
    </row>
    <row r="64" spans="1:22">
      <c r="A64" s="1028">
        <v>58</v>
      </c>
      <c r="B64" s="1029" t="s">
        <v>158</v>
      </c>
      <c r="C64" s="1295">
        <f>'Table 8 2.1.12 MFP Funded'!V61</f>
        <v>0</v>
      </c>
      <c r="D64" s="1037">
        <f>'Table 3 Levels 1&amp;2'!AL65</f>
        <v>5325.8881107130073</v>
      </c>
      <c r="E64" s="1139">
        <f t="shared" si="2"/>
        <v>0</v>
      </c>
      <c r="F64" s="1139">
        <f>'Table 4 Level 3'!P63</f>
        <v>697.04</v>
      </c>
      <c r="G64" s="1139">
        <f t="shared" si="3"/>
        <v>0</v>
      </c>
      <c r="H64" s="1094">
        <f t="shared" si="4"/>
        <v>0</v>
      </c>
      <c r="I64" s="1149">
        <f t="shared" si="5"/>
        <v>0</v>
      </c>
      <c r="J64" s="1094">
        <f t="shared" si="6"/>
        <v>0</v>
      </c>
      <c r="K64" s="1094">
        <v>0</v>
      </c>
      <c r="L64" s="1094">
        <f t="shared" si="7"/>
        <v>0</v>
      </c>
      <c r="M64" s="1094">
        <f t="shared" si="8"/>
        <v>0</v>
      </c>
      <c r="N64" s="1086">
        <f>'[8]FY2012-13 Initial'!$D65</f>
        <v>1533</v>
      </c>
      <c r="O64" s="1088">
        <f t="shared" si="9"/>
        <v>0</v>
      </c>
      <c r="P64" s="1155">
        <f t="shared" si="10"/>
        <v>0</v>
      </c>
      <c r="Q64" s="1088">
        <f t="shared" si="11"/>
        <v>0</v>
      </c>
      <c r="R64" s="1088">
        <v>0</v>
      </c>
      <c r="S64" s="1088">
        <f t="shared" si="12"/>
        <v>0</v>
      </c>
      <c r="T64" s="1088">
        <f t="shared" si="13"/>
        <v>0</v>
      </c>
      <c r="U64" s="1089">
        <f t="shared" si="14"/>
        <v>0</v>
      </c>
      <c r="V64" s="1089">
        <f t="shared" si="14"/>
        <v>0</v>
      </c>
    </row>
    <row r="65" spans="1:22">
      <c r="A65" s="1028">
        <v>59</v>
      </c>
      <c r="B65" s="1029" t="s">
        <v>159</v>
      </c>
      <c r="C65" s="1295">
        <f>'Table 8 2.1.12 MFP Funded'!V62</f>
        <v>0</v>
      </c>
      <c r="D65" s="1037">
        <f>'Table 3 Levels 1&amp;2'!AL66</f>
        <v>6328.4963620482158</v>
      </c>
      <c r="E65" s="1139">
        <f t="shared" si="2"/>
        <v>0</v>
      </c>
      <c r="F65" s="1139">
        <f>'Table 4 Level 3'!P64</f>
        <v>689.52</v>
      </c>
      <c r="G65" s="1139">
        <f t="shared" si="3"/>
        <v>0</v>
      </c>
      <c r="H65" s="1094">
        <f t="shared" si="4"/>
        <v>0</v>
      </c>
      <c r="I65" s="1149">
        <f t="shared" si="5"/>
        <v>0</v>
      </c>
      <c r="J65" s="1094">
        <f t="shared" si="6"/>
        <v>0</v>
      </c>
      <c r="K65" s="1094">
        <v>0</v>
      </c>
      <c r="L65" s="1094">
        <f t="shared" si="7"/>
        <v>0</v>
      </c>
      <c r="M65" s="1094">
        <f t="shared" si="8"/>
        <v>0</v>
      </c>
      <c r="N65" s="1086">
        <f>'[8]FY2012-13 Initial'!$D66</f>
        <v>1104</v>
      </c>
      <c r="O65" s="1088">
        <f t="shared" si="9"/>
        <v>0</v>
      </c>
      <c r="P65" s="1155">
        <f t="shared" si="10"/>
        <v>0</v>
      </c>
      <c r="Q65" s="1088">
        <f t="shared" si="11"/>
        <v>0</v>
      </c>
      <c r="R65" s="1088">
        <v>0</v>
      </c>
      <c r="S65" s="1088">
        <f t="shared" si="12"/>
        <v>0</v>
      </c>
      <c r="T65" s="1088">
        <f t="shared" si="13"/>
        <v>0</v>
      </c>
      <c r="U65" s="1089">
        <f t="shared" si="14"/>
        <v>0</v>
      </c>
      <c r="V65" s="1089">
        <f t="shared" si="14"/>
        <v>0</v>
      </c>
    </row>
    <row r="66" spans="1:22">
      <c r="A66" s="1032">
        <v>60</v>
      </c>
      <c r="B66" s="1033" t="s">
        <v>160</v>
      </c>
      <c r="C66" s="1296">
        <f>'Table 8 2.1.12 MFP Funded'!V63</f>
        <v>0</v>
      </c>
      <c r="D66" s="1039">
        <f>'Table 3 Levels 1&amp;2'!AL67</f>
        <v>4825.1723230627122</v>
      </c>
      <c r="E66" s="1140">
        <f t="shared" si="2"/>
        <v>0</v>
      </c>
      <c r="F66" s="1140">
        <f>'Table 4 Level 3'!P65</f>
        <v>594.04</v>
      </c>
      <c r="G66" s="1140">
        <f t="shared" si="3"/>
        <v>0</v>
      </c>
      <c r="H66" s="1095">
        <f t="shared" si="4"/>
        <v>0</v>
      </c>
      <c r="I66" s="1150">
        <f t="shared" si="5"/>
        <v>0</v>
      </c>
      <c r="J66" s="1095">
        <f t="shared" si="6"/>
        <v>0</v>
      </c>
      <c r="K66" s="1095">
        <v>0</v>
      </c>
      <c r="L66" s="1095">
        <f t="shared" si="7"/>
        <v>0</v>
      </c>
      <c r="M66" s="1095">
        <f t="shared" si="8"/>
        <v>0</v>
      </c>
      <c r="N66" s="1091">
        <f>'[8]FY2012-13 Initial'!$D67</f>
        <v>2713</v>
      </c>
      <c r="O66" s="1092">
        <f t="shared" si="9"/>
        <v>0</v>
      </c>
      <c r="P66" s="1156">
        <f t="shared" si="10"/>
        <v>0</v>
      </c>
      <c r="Q66" s="1092">
        <f t="shared" si="11"/>
        <v>0</v>
      </c>
      <c r="R66" s="1092">
        <v>0</v>
      </c>
      <c r="S66" s="1092">
        <f t="shared" si="12"/>
        <v>0</v>
      </c>
      <c r="T66" s="1092">
        <f t="shared" si="13"/>
        <v>0</v>
      </c>
      <c r="U66" s="1093">
        <f t="shared" si="14"/>
        <v>0</v>
      </c>
      <c r="V66" s="1093">
        <f t="shared" si="14"/>
        <v>0</v>
      </c>
    </row>
    <row r="67" spans="1:22">
      <c r="A67" s="1021">
        <v>61</v>
      </c>
      <c r="B67" s="1022" t="s">
        <v>161</v>
      </c>
      <c r="C67" s="1297">
        <f>'Table 8 2.1.12 MFP Funded'!V64</f>
        <v>0</v>
      </c>
      <c r="D67" s="1041">
        <f>'Table 3 Levels 1&amp;2'!AL68</f>
        <v>3063.3110364585282</v>
      </c>
      <c r="E67" s="1141">
        <f t="shared" si="2"/>
        <v>0</v>
      </c>
      <c r="F67" s="1141">
        <f>'Table 4 Level 3'!P66</f>
        <v>833.70999999999992</v>
      </c>
      <c r="G67" s="1141">
        <f t="shared" si="3"/>
        <v>0</v>
      </c>
      <c r="H67" s="1096">
        <f t="shared" si="4"/>
        <v>0</v>
      </c>
      <c r="I67" s="1151">
        <f t="shared" si="5"/>
        <v>0</v>
      </c>
      <c r="J67" s="1096">
        <f t="shared" si="6"/>
        <v>0</v>
      </c>
      <c r="K67" s="1096">
        <v>0</v>
      </c>
      <c r="L67" s="1096">
        <f t="shared" si="7"/>
        <v>0</v>
      </c>
      <c r="M67" s="1096">
        <f t="shared" si="8"/>
        <v>0</v>
      </c>
      <c r="N67" s="1086">
        <f>'[8]FY2012-13 Initial'!$D68</f>
        <v>6344</v>
      </c>
      <c r="O67" s="1026">
        <f t="shared" si="9"/>
        <v>0</v>
      </c>
      <c r="P67" s="1154">
        <f t="shared" si="10"/>
        <v>0</v>
      </c>
      <c r="Q67" s="1026">
        <f t="shared" si="11"/>
        <v>0</v>
      </c>
      <c r="R67" s="1026">
        <v>0</v>
      </c>
      <c r="S67" s="1026">
        <f t="shared" si="12"/>
        <v>0</v>
      </c>
      <c r="T67" s="1026">
        <f t="shared" si="13"/>
        <v>0</v>
      </c>
      <c r="U67" s="1027">
        <f t="shared" si="14"/>
        <v>0</v>
      </c>
      <c r="V67" s="1027">
        <f t="shared" si="14"/>
        <v>0</v>
      </c>
    </row>
    <row r="68" spans="1:22">
      <c r="A68" s="1028">
        <v>62</v>
      </c>
      <c r="B68" s="1029" t="s">
        <v>162</v>
      </c>
      <c r="C68" s="1295">
        <f>'Table 8 2.1.12 MFP Funded'!V65</f>
        <v>0</v>
      </c>
      <c r="D68" s="1037">
        <f>'Table 3 Levels 1&amp;2'!AL69</f>
        <v>5564.645485869667</v>
      </c>
      <c r="E68" s="1139">
        <f t="shared" si="2"/>
        <v>0</v>
      </c>
      <c r="F68" s="1139">
        <f>'Table 4 Level 3'!P67</f>
        <v>516.08000000000004</v>
      </c>
      <c r="G68" s="1139">
        <f t="shared" si="3"/>
        <v>0</v>
      </c>
      <c r="H68" s="1094">
        <f t="shared" si="4"/>
        <v>0</v>
      </c>
      <c r="I68" s="1149">
        <f t="shared" si="5"/>
        <v>0</v>
      </c>
      <c r="J68" s="1094">
        <f t="shared" si="6"/>
        <v>0</v>
      </c>
      <c r="K68" s="1094">
        <v>0</v>
      </c>
      <c r="L68" s="1094">
        <f t="shared" si="7"/>
        <v>0</v>
      </c>
      <c r="M68" s="1094">
        <f t="shared" si="8"/>
        <v>0</v>
      </c>
      <c r="N68" s="1086">
        <f>'[8]FY2012-13 Initial'!$D69</f>
        <v>1678</v>
      </c>
      <c r="O68" s="1088">
        <f t="shared" si="9"/>
        <v>0</v>
      </c>
      <c r="P68" s="1155">
        <f t="shared" si="10"/>
        <v>0</v>
      </c>
      <c r="Q68" s="1088">
        <f t="shared" si="11"/>
        <v>0</v>
      </c>
      <c r="R68" s="1088">
        <v>0</v>
      </c>
      <c r="S68" s="1088">
        <f t="shared" si="12"/>
        <v>0</v>
      </c>
      <c r="T68" s="1088">
        <f t="shared" si="13"/>
        <v>0</v>
      </c>
      <c r="U68" s="1089">
        <f t="shared" si="14"/>
        <v>0</v>
      </c>
      <c r="V68" s="1089">
        <f t="shared" si="14"/>
        <v>0</v>
      </c>
    </row>
    <row r="69" spans="1:22">
      <c r="A69" s="1028">
        <v>63</v>
      </c>
      <c r="B69" s="1029" t="s">
        <v>163</v>
      </c>
      <c r="C69" s="1295">
        <f>'Table 8 2.1.12 MFP Funded'!V66</f>
        <v>0</v>
      </c>
      <c r="D69" s="1037">
        <f>'Table 3 Levels 1&amp;2'!AL70</f>
        <v>4414.1775336636538</v>
      </c>
      <c r="E69" s="1139">
        <f t="shared" si="2"/>
        <v>0</v>
      </c>
      <c r="F69" s="1139">
        <f>'Table 4 Level 3'!P68</f>
        <v>756.79</v>
      </c>
      <c r="G69" s="1139">
        <f t="shared" si="3"/>
        <v>0</v>
      </c>
      <c r="H69" s="1094">
        <f t="shared" si="4"/>
        <v>0</v>
      </c>
      <c r="I69" s="1149">
        <f t="shared" si="5"/>
        <v>0</v>
      </c>
      <c r="J69" s="1094">
        <f t="shared" si="6"/>
        <v>0</v>
      </c>
      <c r="K69" s="1094">
        <v>0</v>
      </c>
      <c r="L69" s="1094">
        <f t="shared" si="7"/>
        <v>0</v>
      </c>
      <c r="M69" s="1094">
        <f t="shared" si="8"/>
        <v>0</v>
      </c>
      <c r="N69" s="1086">
        <f>'[8]FY2012-13 Initial'!$D70</f>
        <v>6011</v>
      </c>
      <c r="O69" s="1088">
        <f t="shared" si="9"/>
        <v>0</v>
      </c>
      <c r="P69" s="1155">
        <f t="shared" si="10"/>
        <v>0</v>
      </c>
      <c r="Q69" s="1088">
        <f t="shared" si="11"/>
        <v>0</v>
      </c>
      <c r="R69" s="1088">
        <v>0</v>
      </c>
      <c r="S69" s="1088">
        <f t="shared" si="12"/>
        <v>0</v>
      </c>
      <c r="T69" s="1088">
        <f t="shared" si="13"/>
        <v>0</v>
      </c>
      <c r="U69" s="1089">
        <f t="shared" si="14"/>
        <v>0</v>
      </c>
      <c r="V69" s="1089">
        <f t="shared" si="14"/>
        <v>0</v>
      </c>
    </row>
    <row r="70" spans="1:22">
      <c r="A70" s="1028">
        <v>64</v>
      </c>
      <c r="B70" s="1029" t="s">
        <v>164</v>
      </c>
      <c r="C70" s="1295">
        <f>'Table 8 2.1.12 MFP Funded'!V67</f>
        <v>0</v>
      </c>
      <c r="D70" s="1037">
        <f>'Table 3 Levels 1&amp;2'!AL71</f>
        <v>5871.0485811924027</v>
      </c>
      <c r="E70" s="1139">
        <f t="shared" si="2"/>
        <v>0</v>
      </c>
      <c r="F70" s="1139">
        <f>'Table 4 Level 3'!P69</f>
        <v>592.66</v>
      </c>
      <c r="G70" s="1139">
        <f t="shared" si="3"/>
        <v>0</v>
      </c>
      <c r="H70" s="1094">
        <f t="shared" si="4"/>
        <v>0</v>
      </c>
      <c r="I70" s="1149">
        <f t="shared" si="5"/>
        <v>0</v>
      </c>
      <c r="J70" s="1094">
        <f t="shared" si="6"/>
        <v>0</v>
      </c>
      <c r="K70" s="1094">
        <v>0</v>
      </c>
      <c r="L70" s="1094">
        <f t="shared" si="7"/>
        <v>0</v>
      </c>
      <c r="M70" s="1094">
        <f t="shared" si="8"/>
        <v>0</v>
      </c>
      <c r="N70" s="1086">
        <f>'[8]FY2012-13 Initial'!$D71</f>
        <v>2072</v>
      </c>
      <c r="O70" s="1088">
        <f t="shared" si="9"/>
        <v>0</v>
      </c>
      <c r="P70" s="1155">
        <f t="shared" si="10"/>
        <v>0</v>
      </c>
      <c r="Q70" s="1088">
        <f t="shared" si="11"/>
        <v>0</v>
      </c>
      <c r="R70" s="1088">
        <v>0</v>
      </c>
      <c r="S70" s="1088">
        <f t="shared" si="12"/>
        <v>0</v>
      </c>
      <c r="T70" s="1088">
        <f t="shared" si="13"/>
        <v>0</v>
      </c>
      <c r="U70" s="1089">
        <f t="shared" si="14"/>
        <v>0</v>
      </c>
      <c r="V70" s="1089">
        <f t="shared" si="14"/>
        <v>0</v>
      </c>
    </row>
    <row r="71" spans="1:22">
      <c r="A71" s="1032">
        <v>65</v>
      </c>
      <c r="B71" s="1033" t="s">
        <v>165</v>
      </c>
      <c r="C71" s="1296">
        <f>'Table 8 2.1.12 MFP Funded'!V68</f>
        <v>0</v>
      </c>
      <c r="D71" s="1039">
        <f>'Table 3 Levels 1&amp;2'!AL72</f>
        <v>4602.2046951319899</v>
      </c>
      <c r="E71" s="1140">
        <f t="shared" si="2"/>
        <v>0</v>
      </c>
      <c r="F71" s="1140">
        <f>'Table 4 Level 3'!P70</f>
        <v>829.12</v>
      </c>
      <c r="G71" s="1140">
        <f t="shared" si="3"/>
        <v>0</v>
      </c>
      <c r="H71" s="1095">
        <f t="shared" si="4"/>
        <v>0</v>
      </c>
      <c r="I71" s="1150">
        <f t="shared" si="5"/>
        <v>0</v>
      </c>
      <c r="J71" s="1095">
        <f t="shared" si="6"/>
        <v>0</v>
      </c>
      <c r="K71" s="1095">
        <v>0</v>
      </c>
      <c r="L71" s="1095">
        <f t="shared" si="7"/>
        <v>0</v>
      </c>
      <c r="M71" s="1095">
        <f t="shared" si="8"/>
        <v>0</v>
      </c>
      <c r="N71" s="1091">
        <f>'[8]FY2012-13 Initial'!$D72</f>
        <v>3985</v>
      </c>
      <c r="O71" s="1092">
        <f t="shared" si="9"/>
        <v>0</v>
      </c>
      <c r="P71" s="1156">
        <f t="shared" si="10"/>
        <v>0</v>
      </c>
      <c r="Q71" s="1092">
        <f t="shared" si="11"/>
        <v>0</v>
      </c>
      <c r="R71" s="1092">
        <v>0</v>
      </c>
      <c r="S71" s="1092">
        <f t="shared" si="12"/>
        <v>0</v>
      </c>
      <c r="T71" s="1092">
        <f t="shared" si="13"/>
        <v>0</v>
      </c>
      <c r="U71" s="1093">
        <f t="shared" si="14"/>
        <v>0</v>
      </c>
      <c r="V71" s="1093">
        <f t="shared" si="14"/>
        <v>0</v>
      </c>
    </row>
    <row r="72" spans="1:22">
      <c r="A72" s="1021">
        <v>66</v>
      </c>
      <c r="B72" s="1022" t="s">
        <v>166</v>
      </c>
      <c r="C72" s="1297">
        <f>'Table 8 2.1.12 MFP Funded'!V69</f>
        <v>0</v>
      </c>
      <c r="D72" s="1041">
        <f>'Table 3 Levels 1&amp;2'!AL73</f>
        <v>6243.8912249150071</v>
      </c>
      <c r="E72" s="1141">
        <f t="shared" ref="E72:E75" si="15">C72*D72</f>
        <v>0</v>
      </c>
      <c r="F72" s="1141">
        <f>'Table 4 Level 3'!P71</f>
        <v>730.06</v>
      </c>
      <c r="G72" s="1141">
        <f t="shared" ref="G72:G75" si="16">C72*F72</f>
        <v>0</v>
      </c>
      <c r="H72" s="1096">
        <f t="shared" ref="H72:H75" si="17">E72+G72</f>
        <v>0</v>
      </c>
      <c r="I72" s="1151">
        <f t="shared" ref="I72:I75" si="18">-(0.25%*H72)</f>
        <v>0</v>
      </c>
      <c r="J72" s="1096">
        <f t="shared" ref="J72:J75" si="19">SUM(H72:I72)</f>
        <v>0</v>
      </c>
      <c r="K72" s="1096">
        <v>0</v>
      </c>
      <c r="L72" s="1096">
        <f t="shared" ref="L72:L75" si="20">SUM(J72:K72)</f>
        <v>0</v>
      </c>
      <c r="M72" s="1096">
        <f t="shared" ref="M72:M75" si="21">L72/12</f>
        <v>0</v>
      </c>
      <c r="N72" s="1086">
        <f>'[8]FY2012-13 Initial'!$D73</f>
        <v>3443</v>
      </c>
      <c r="O72" s="1026">
        <f t="shared" ref="O72:O75" si="22">C72*N72</f>
        <v>0</v>
      </c>
      <c r="P72" s="1154">
        <f t="shared" ref="P72:P75" si="23">-(0.25%*O72)</f>
        <v>0</v>
      </c>
      <c r="Q72" s="1026">
        <f t="shared" ref="Q72:Q75" si="24">SUM(O72:P72)</f>
        <v>0</v>
      </c>
      <c r="R72" s="1026">
        <v>0</v>
      </c>
      <c r="S72" s="1026">
        <f t="shared" ref="S72:S75" si="25">SUM(Q72:R72)</f>
        <v>0</v>
      </c>
      <c r="T72" s="1026">
        <f t="shared" ref="T72:T75" si="26">S72/12</f>
        <v>0</v>
      </c>
      <c r="U72" s="1027">
        <f t="shared" ref="U72:V75" si="27">L72+S72</f>
        <v>0</v>
      </c>
      <c r="V72" s="1027">
        <f t="shared" si="27"/>
        <v>0</v>
      </c>
    </row>
    <row r="73" spans="1:22">
      <c r="A73" s="1028">
        <v>67</v>
      </c>
      <c r="B73" s="1029" t="s">
        <v>33</v>
      </c>
      <c r="C73" s="1295">
        <f>'Table 8 2.1.12 MFP Funded'!V70</f>
        <v>0</v>
      </c>
      <c r="D73" s="1037">
        <f>'Table 3 Levels 1&amp;2'!AL74</f>
        <v>5049.6489898847567</v>
      </c>
      <c r="E73" s="1139">
        <f t="shared" si="15"/>
        <v>0</v>
      </c>
      <c r="F73" s="1139">
        <f>'Table 4 Level 3'!P72</f>
        <v>715.61</v>
      </c>
      <c r="G73" s="1139">
        <f t="shared" si="16"/>
        <v>0</v>
      </c>
      <c r="H73" s="1094">
        <f t="shared" si="17"/>
        <v>0</v>
      </c>
      <c r="I73" s="1149">
        <f t="shared" si="18"/>
        <v>0</v>
      </c>
      <c r="J73" s="1094">
        <f t="shared" si="19"/>
        <v>0</v>
      </c>
      <c r="K73" s="1094">
        <v>0</v>
      </c>
      <c r="L73" s="1094">
        <f t="shared" si="20"/>
        <v>0</v>
      </c>
      <c r="M73" s="1094">
        <f t="shared" si="21"/>
        <v>0</v>
      </c>
      <c r="N73" s="1086">
        <f>'[8]FY2012-13 Initial'!$D74</f>
        <v>3135</v>
      </c>
      <c r="O73" s="1088">
        <f t="shared" si="22"/>
        <v>0</v>
      </c>
      <c r="P73" s="1155">
        <f t="shared" si="23"/>
        <v>0</v>
      </c>
      <c r="Q73" s="1088">
        <f t="shared" si="24"/>
        <v>0</v>
      </c>
      <c r="R73" s="1088">
        <v>0</v>
      </c>
      <c r="S73" s="1088">
        <f t="shared" si="25"/>
        <v>0</v>
      </c>
      <c r="T73" s="1088">
        <f t="shared" si="26"/>
        <v>0</v>
      </c>
      <c r="U73" s="1089">
        <f t="shared" si="27"/>
        <v>0</v>
      </c>
      <c r="V73" s="1089">
        <f t="shared" si="27"/>
        <v>0</v>
      </c>
    </row>
    <row r="74" spans="1:22">
      <c r="A74" s="1028">
        <v>68</v>
      </c>
      <c r="B74" s="1029" t="s">
        <v>31</v>
      </c>
      <c r="C74" s="1295">
        <f>'Table 8 2.1.12 MFP Funded'!V71</f>
        <v>0</v>
      </c>
      <c r="D74" s="1037">
        <f>'Table 3 Levels 1&amp;2'!AL75</f>
        <v>5861.7500805575619</v>
      </c>
      <c r="E74" s="1139">
        <f t="shared" si="15"/>
        <v>0</v>
      </c>
      <c r="F74" s="1139">
        <f>'Table 4 Level 3'!P73</f>
        <v>798.7</v>
      </c>
      <c r="G74" s="1139">
        <f t="shared" si="16"/>
        <v>0</v>
      </c>
      <c r="H74" s="1094">
        <f t="shared" si="17"/>
        <v>0</v>
      </c>
      <c r="I74" s="1149">
        <f t="shared" si="18"/>
        <v>0</v>
      </c>
      <c r="J74" s="1094">
        <f t="shared" si="19"/>
        <v>0</v>
      </c>
      <c r="K74" s="1094">
        <v>0</v>
      </c>
      <c r="L74" s="1094">
        <f t="shared" si="20"/>
        <v>0</v>
      </c>
      <c r="M74" s="1094">
        <f t="shared" si="21"/>
        <v>0</v>
      </c>
      <c r="N74" s="1086">
        <f>'[8]FY2012-13 Initial'!$D75</f>
        <v>2587</v>
      </c>
      <c r="O74" s="1088">
        <f t="shared" si="22"/>
        <v>0</v>
      </c>
      <c r="P74" s="1155">
        <f t="shared" si="23"/>
        <v>0</v>
      </c>
      <c r="Q74" s="1088">
        <f t="shared" si="24"/>
        <v>0</v>
      </c>
      <c r="R74" s="1088">
        <v>0</v>
      </c>
      <c r="S74" s="1088">
        <f t="shared" si="25"/>
        <v>0</v>
      </c>
      <c r="T74" s="1088">
        <f t="shared" si="26"/>
        <v>0</v>
      </c>
      <c r="U74" s="1089">
        <f t="shared" si="27"/>
        <v>0</v>
      </c>
      <c r="V74" s="1089">
        <f t="shared" si="27"/>
        <v>0</v>
      </c>
    </row>
    <row r="75" spans="1:22">
      <c r="A75" s="1042">
        <v>69</v>
      </c>
      <c r="B75" s="1043" t="s">
        <v>235</v>
      </c>
      <c r="C75" s="1298">
        <f>'Table 8 2.1.12 MFP Funded'!V72</f>
        <v>0</v>
      </c>
      <c r="D75" s="1045">
        <f>'Table 3 Levels 1&amp;2'!AL76</f>
        <v>5508.3397285189958</v>
      </c>
      <c r="E75" s="1142">
        <f t="shared" si="15"/>
        <v>0</v>
      </c>
      <c r="F75" s="1142">
        <f>'Table 4 Level 3'!P74</f>
        <v>705.67</v>
      </c>
      <c r="G75" s="1142">
        <f t="shared" si="16"/>
        <v>0</v>
      </c>
      <c r="H75" s="1097">
        <f t="shared" si="17"/>
        <v>0</v>
      </c>
      <c r="I75" s="1152">
        <f t="shared" si="18"/>
        <v>0</v>
      </c>
      <c r="J75" s="1097">
        <f t="shared" si="19"/>
        <v>0</v>
      </c>
      <c r="K75" s="1097">
        <v>0</v>
      </c>
      <c r="L75" s="1097">
        <f t="shared" si="20"/>
        <v>0</v>
      </c>
      <c r="M75" s="1097">
        <f t="shared" si="21"/>
        <v>0</v>
      </c>
      <c r="N75" s="1086">
        <f>'[8]FY2012-13 Initial'!$D76</f>
        <v>2371</v>
      </c>
      <c r="O75" s="1098">
        <f t="shared" si="22"/>
        <v>0</v>
      </c>
      <c r="P75" s="1157">
        <f t="shared" si="23"/>
        <v>0</v>
      </c>
      <c r="Q75" s="1098">
        <f t="shared" si="24"/>
        <v>0</v>
      </c>
      <c r="R75" s="1098">
        <v>0</v>
      </c>
      <c r="S75" s="1098">
        <f t="shared" si="25"/>
        <v>0</v>
      </c>
      <c r="T75" s="1098">
        <f t="shared" si="26"/>
        <v>0</v>
      </c>
      <c r="U75" s="1099">
        <f t="shared" si="27"/>
        <v>0</v>
      </c>
      <c r="V75" s="1099">
        <f t="shared" si="27"/>
        <v>0</v>
      </c>
    </row>
    <row r="76" spans="1:22" ht="13.5" thickBot="1">
      <c r="A76" s="1046"/>
      <c r="B76" s="1047" t="s">
        <v>167</v>
      </c>
      <c r="C76" s="1048">
        <f>SUM(C7:C75)</f>
        <v>309</v>
      </c>
      <c r="D76" s="1049">
        <f>'Table 3 Levels 1&amp;2'!AL77</f>
        <v>4325.8670725247357</v>
      </c>
      <c r="E76" s="1143">
        <f>SUM(E7:E75)</f>
        <v>1071171.5828675171</v>
      </c>
      <c r="F76" s="1143">
        <f>'Table 4 Level 3'!P75</f>
        <v>703.90028204588873</v>
      </c>
      <c r="G76" s="1143">
        <f t="shared" ref="G76:L76" si="28">SUM(G7:G75)</f>
        <v>233162.05945205482</v>
      </c>
      <c r="H76" s="1050">
        <f t="shared" si="28"/>
        <v>1304333.6423195722</v>
      </c>
      <c r="I76" s="1153">
        <f t="shared" si="28"/>
        <v>-3260.8341057989301</v>
      </c>
      <c r="J76" s="1050">
        <f t="shared" si="28"/>
        <v>1301072.8082137734</v>
      </c>
      <c r="K76" s="1383">
        <f t="shared" si="28"/>
        <v>-2567.7028599048972</v>
      </c>
      <c r="L76" s="1050">
        <f t="shared" si="28"/>
        <v>1298505.1053538686</v>
      </c>
      <c r="M76" s="1050">
        <f>SUM(M7:M75)</f>
        <v>108208.75877948906</v>
      </c>
      <c r="N76" s="1100"/>
      <c r="O76" s="1051">
        <f t="shared" ref="O76:V76" si="29">SUM(O7:O75)</f>
        <v>1296226</v>
      </c>
      <c r="P76" s="1158">
        <f t="shared" si="29"/>
        <v>-3240.5649999999996</v>
      </c>
      <c r="Q76" s="1051">
        <f t="shared" si="29"/>
        <v>1292985.4349999998</v>
      </c>
      <c r="R76" s="1051">
        <f t="shared" si="29"/>
        <v>0</v>
      </c>
      <c r="S76" s="1051">
        <f t="shared" si="29"/>
        <v>1292985.4349999998</v>
      </c>
      <c r="T76" s="1051">
        <f t="shared" si="29"/>
        <v>107748.78625</v>
      </c>
      <c r="U76" s="1052">
        <f t="shared" si="29"/>
        <v>2591490.5403538691</v>
      </c>
      <c r="V76" s="1052">
        <f t="shared" si="29"/>
        <v>215957.54502948906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3" right="0.35" top="0.75" bottom="0.75" header="0.3" footer="0.3"/>
  <pageSetup paperSize="5" scale="63" firstPageNumber="54" orientation="portrait" useFirstPageNumber="1" r:id="rId1"/>
  <headerFooter>
    <oddHeader>&amp;L&amp;"Arial,Bold"&amp;20Table 5C1-C: FY2012-13 MFP Budget Letter
International High School of New Orleans</oddHeader>
    <oddFooter>&amp;R&amp;P</oddFooter>
  </headerFooter>
  <colBreaks count="1" manualBreakCount="1"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BE85"/>
  <sheetViews>
    <sheetView view="pageBreakPreview" zoomScaleNormal="75" zoomScaleSheetLayoutView="10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K42" sqref="AK42:BE42"/>
    </sheetView>
  </sheetViews>
  <sheetFormatPr defaultRowHeight="12.75"/>
  <cols>
    <col min="1" max="1" width="4.140625" customWidth="1"/>
    <col min="2" max="2" width="17.28515625" customWidth="1"/>
    <col min="3" max="3" width="19.140625" customWidth="1"/>
    <col min="4" max="4" width="14.85546875" customWidth="1"/>
    <col min="5" max="5" width="15.28515625" customWidth="1"/>
    <col min="6" max="6" width="15.5703125" customWidth="1"/>
    <col min="7" max="7" width="15" customWidth="1"/>
    <col min="8" max="8" width="16.140625" customWidth="1"/>
    <col min="9" max="9" width="13.28515625" customWidth="1"/>
    <col min="10" max="15" width="11.7109375" customWidth="1"/>
    <col min="16" max="16" width="11.7109375" bestFit="1" customWidth="1"/>
    <col min="17" max="17" width="12.140625" bestFit="1" customWidth="1"/>
    <col min="18" max="19" width="11.7109375" bestFit="1" customWidth="1"/>
    <col min="20" max="20" width="12.5703125" bestFit="1" customWidth="1"/>
    <col min="21" max="24" width="11.7109375" bestFit="1" customWidth="1"/>
    <col min="25" max="25" width="12.7109375" customWidth="1"/>
    <col min="26" max="27" width="11.28515625" bestFit="1" customWidth="1"/>
    <col min="28" max="28" width="11.85546875" customWidth="1"/>
    <col min="29" max="29" width="15" bestFit="1" customWidth="1"/>
    <col min="30" max="30" width="12.7109375" bestFit="1" customWidth="1"/>
    <col min="31" max="31" width="10.140625" bestFit="1" customWidth="1"/>
    <col min="32" max="32" width="15" bestFit="1" customWidth="1"/>
    <col min="33" max="33" width="7.42578125" customWidth="1"/>
    <col min="34" max="34" width="15.42578125" hidden="1" customWidth="1"/>
    <col min="35" max="35" width="14.5703125" hidden="1" customWidth="1"/>
    <col min="36" max="36" width="13.140625" hidden="1" customWidth="1"/>
    <col min="37" max="37" width="9.140625" hidden="1" customWidth="1"/>
  </cols>
  <sheetData>
    <row r="1" spans="1:36" ht="21" customHeight="1">
      <c r="D1" s="1678" t="s">
        <v>68</v>
      </c>
      <c r="E1" s="1679"/>
      <c r="F1" s="1679"/>
      <c r="G1" s="1679"/>
      <c r="H1" s="1680"/>
    </row>
    <row r="2" spans="1:36" ht="12.75" customHeight="1" thickBot="1">
      <c r="A2" s="1665" t="s">
        <v>203</v>
      </c>
      <c r="B2" s="1657" t="s">
        <v>288</v>
      </c>
      <c r="C2" s="1667" t="s">
        <v>1002</v>
      </c>
      <c r="D2" s="1670" t="s">
        <v>693</v>
      </c>
      <c r="E2" s="1670" t="s">
        <v>790</v>
      </c>
      <c r="F2" s="1670" t="s">
        <v>1443</v>
      </c>
      <c r="G2" s="1666" t="s">
        <v>289</v>
      </c>
      <c r="H2" s="1666"/>
      <c r="I2" s="1663" t="s">
        <v>1336</v>
      </c>
      <c r="J2" s="1663" t="s">
        <v>1337</v>
      </c>
      <c r="K2" s="1663" t="s">
        <v>1338</v>
      </c>
      <c r="L2" s="1663" t="s">
        <v>1339</v>
      </c>
      <c r="M2" s="1663" t="s">
        <v>1340</v>
      </c>
      <c r="N2" s="1663" t="s">
        <v>1341</v>
      </c>
      <c r="O2" s="1663" t="s">
        <v>1342</v>
      </c>
      <c r="P2" s="1663" t="s">
        <v>1343</v>
      </c>
      <c r="Q2" s="1663" t="s">
        <v>1344</v>
      </c>
      <c r="R2" s="1664" t="s">
        <v>1345</v>
      </c>
      <c r="S2" s="1664" t="s">
        <v>1346</v>
      </c>
      <c r="T2" s="1664" t="s">
        <v>1347</v>
      </c>
      <c r="U2" s="1664" t="s">
        <v>1348</v>
      </c>
      <c r="V2" s="1664" t="s">
        <v>1349</v>
      </c>
      <c r="W2" s="1664" t="s">
        <v>1350</v>
      </c>
      <c r="X2" s="1664" t="s">
        <v>1351</v>
      </c>
      <c r="Y2" s="1664" t="s">
        <v>1352</v>
      </c>
      <c r="Z2" s="1663" t="s">
        <v>1353</v>
      </c>
      <c r="AA2" s="1663" t="s">
        <v>1354</v>
      </c>
      <c r="AB2" s="1663" t="s">
        <v>1355</v>
      </c>
      <c r="AC2" s="1677" t="s">
        <v>1356</v>
      </c>
      <c r="AD2" s="1677" t="s">
        <v>1003</v>
      </c>
      <c r="AE2" s="1660" t="s">
        <v>876</v>
      </c>
      <c r="AF2" s="1677" t="s">
        <v>1357</v>
      </c>
    </row>
    <row r="3" spans="1:36" ht="28.5" customHeight="1" thickBot="1">
      <c r="A3" s="1658"/>
      <c r="B3" s="1658"/>
      <c r="C3" s="1668"/>
      <c r="D3" s="1671"/>
      <c r="E3" s="1671"/>
      <c r="F3" s="1671"/>
      <c r="G3" s="1666"/>
      <c r="H3" s="1666"/>
      <c r="I3" s="1663"/>
      <c r="J3" s="1663"/>
      <c r="K3" s="1663"/>
      <c r="L3" s="1663"/>
      <c r="M3" s="1663"/>
      <c r="N3" s="1663"/>
      <c r="O3" s="1663"/>
      <c r="P3" s="1663"/>
      <c r="Q3" s="1663"/>
      <c r="R3" s="1664"/>
      <c r="S3" s="1664"/>
      <c r="T3" s="1664"/>
      <c r="U3" s="1664"/>
      <c r="V3" s="1664"/>
      <c r="W3" s="1664"/>
      <c r="X3" s="1664"/>
      <c r="Y3" s="1664"/>
      <c r="Z3" s="1663"/>
      <c r="AA3" s="1663"/>
      <c r="AB3" s="1663"/>
      <c r="AC3" s="1677"/>
      <c r="AD3" s="1677"/>
      <c r="AE3" s="1661"/>
      <c r="AF3" s="1677"/>
      <c r="AH3" s="1651" t="s">
        <v>1334</v>
      </c>
      <c r="AI3" s="1652"/>
      <c r="AJ3" s="1653"/>
    </row>
    <row r="4" spans="1:36" ht="60" customHeight="1">
      <c r="A4" s="1658"/>
      <c r="B4" s="1658"/>
      <c r="C4" s="1668"/>
      <c r="D4" s="1671"/>
      <c r="E4" s="1671"/>
      <c r="F4" s="1671"/>
      <c r="G4" s="1666" t="s">
        <v>290</v>
      </c>
      <c r="H4" s="1666" t="s">
        <v>291</v>
      </c>
      <c r="I4" s="1663"/>
      <c r="J4" s="1663"/>
      <c r="K4" s="1663"/>
      <c r="L4" s="1663"/>
      <c r="M4" s="1663"/>
      <c r="N4" s="1663"/>
      <c r="O4" s="1663"/>
      <c r="P4" s="1663"/>
      <c r="Q4" s="1663"/>
      <c r="R4" s="1664"/>
      <c r="S4" s="1664"/>
      <c r="T4" s="1664"/>
      <c r="U4" s="1664"/>
      <c r="V4" s="1664"/>
      <c r="W4" s="1664"/>
      <c r="X4" s="1664"/>
      <c r="Y4" s="1664"/>
      <c r="Z4" s="1663"/>
      <c r="AA4" s="1663"/>
      <c r="AB4" s="1663"/>
      <c r="AC4" s="1677"/>
      <c r="AD4" s="1677"/>
      <c r="AE4" s="1661"/>
      <c r="AF4" s="1677"/>
      <c r="AI4" s="1654" t="s">
        <v>1335</v>
      </c>
    </row>
    <row r="5" spans="1:36" ht="16.5" customHeight="1">
      <c r="A5" s="1659"/>
      <c r="B5" s="1659"/>
      <c r="C5" s="1669"/>
      <c r="D5" s="1672"/>
      <c r="E5" s="1672"/>
      <c r="F5" s="1672"/>
      <c r="G5" s="1666"/>
      <c r="H5" s="1666"/>
      <c r="I5" s="1663"/>
      <c r="J5" s="1663"/>
      <c r="K5" s="1663"/>
      <c r="L5" s="1663"/>
      <c r="M5" s="1663"/>
      <c r="N5" s="1663"/>
      <c r="O5" s="1663"/>
      <c r="P5" s="1663"/>
      <c r="Q5" s="1663"/>
      <c r="R5" s="1664"/>
      <c r="S5" s="1664"/>
      <c r="T5" s="1664"/>
      <c r="U5" s="1664"/>
      <c r="V5" s="1664"/>
      <c r="W5" s="1664"/>
      <c r="X5" s="1664"/>
      <c r="Y5" s="1664"/>
      <c r="Z5" s="1663"/>
      <c r="AA5" s="1663"/>
      <c r="AB5" s="1663"/>
      <c r="AC5" s="1677"/>
      <c r="AD5" s="1677"/>
      <c r="AE5" s="1662"/>
      <c r="AF5" s="1677"/>
      <c r="AI5" s="1655"/>
    </row>
    <row r="6" spans="1:36" s="47" customFormat="1" ht="13.5" thickBot="1">
      <c r="A6" s="355"/>
      <c r="B6" s="356"/>
      <c r="C6" s="318">
        <f t="shared" ref="C6:I6" si="0">B6+1</f>
        <v>1</v>
      </c>
      <c r="D6" s="318">
        <f t="shared" si="0"/>
        <v>2</v>
      </c>
      <c r="E6" s="318">
        <f t="shared" si="0"/>
        <v>3</v>
      </c>
      <c r="F6" s="318">
        <f t="shared" si="0"/>
        <v>4</v>
      </c>
      <c r="G6" s="318">
        <f t="shared" si="0"/>
        <v>5</v>
      </c>
      <c r="H6" s="318">
        <f t="shared" si="0"/>
        <v>6</v>
      </c>
      <c r="I6" s="318">
        <f t="shared" si="0"/>
        <v>7</v>
      </c>
      <c r="J6" s="318">
        <f>I6+1</f>
        <v>8</v>
      </c>
      <c r="K6" s="318">
        <f t="shared" ref="K6:AF6" si="1">J6+1</f>
        <v>9</v>
      </c>
      <c r="L6" s="318">
        <f t="shared" si="1"/>
        <v>10</v>
      </c>
      <c r="M6" s="318">
        <f t="shared" si="1"/>
        <v>11</v>
      </c>
      <c r="N6" s="318">
        <f t="shared" si="1"/>
        <v>12</v>
      </c>
      <c r="O6" s="318">
        <f t="shared" si="1"/>
        <v>13</v>
      </c>
      <c r="P6" s="318">
        <f t="shared" si="1"/>
        <v>14</v>
      </c>
      <c r="Q6" s="318">
        <f t="shared" si="1"/>
        <v>15</v>
      </c>
      <c r="R6" s="318">
        <f t="shared" si="1"/>
        <v>16</v>
      </c>
      <c r="S6" s="318">
        <f t="shared" si="1"/>
        <v>17</v>
      </c>
      <c r="T6" s="318">
        <f t="shared" si="1"/>
        <v>18</v>
      </c>
      <c r="U6" s="318">
        <f t="shared" si="1"/>
        <v>19</v>
      </c>
      <c r="V6" s="318">
        <f t="shared" si="1"/>
        <v>20</v>
      </c>
      <c r="W6" s="318">
        <f t="shared" si="1"/>
        <v>21</v>
      </c>
      <c r="X6" s="318">
        <f t="shared" si="1"/>
        <v>22</v>
      </c>
      <c r="Y6" s="318">
        <f t="shared" si="1"/>
        <v>23</v>
      </c>
      <c r="Z6" s="318">
        <f t="shared" si="1"/>
        <v>24</v>
      </c>
      <c r="AA6" s="318">
        <f t="shared" si="1"/>
        <v>25</v>
      </c>
      <c r="AB6" s="318">
        <f t="shared" si="1"/>
        <v>26</v>
      </c>
      <c r="AC6" s="318">
        <f t="shared" si="1"/>
        <v>27</v>
      </c>
      <c r="AD6" s="318">
        <f t="shared" si="1"/>
        <v>28</v>
      </c>
      <c r="AE6" s="318">
        <f t="shared" si="1"/>
        <v>29</v>
      </c>
      <c r="AF6" s="318">
        <f t="shared" si="1"/>
        <v>30</v>
      </c>
      <c r="AI6" s="1656"/>
    </row>
    <row r="7" spans="1:36">
      <c r="A7" s="101">
        <v>1</v>
      </c>
      <c r="B7" s="311" t="s">
        <v>102</v>
      </c>
      <c r="C7" s="320">
        <f>'Table 3 Levels 1&amp;2'!AO8</f>
        <v>50486266.004191995</v>
      </c>
      <c r="D7" s="368">
        <v>38965.359999999986</v>
      </c>
      <c r="E7" s="368">
        <v>455.11080401425443</v>
      </c>
      <c r="F7" s="368">
        <f>SUM(D7:E7)</f>
        <v>39420.470804014243</v>
      </c>
      <c r="G7" s="320">
        <f t="shared" ref="G7:G70" si="2">IF(F7&gt;0,F7,0)</f>
        <v>39420.470804014243</v>
      </c>
      <c r="H7" s="368">
        <f>IF(F7&lt;0,F7,0)</f>
        <v>0</v>
      </c>
      <c r="I7" s="368"/>
      <c r="J7" s="368">
        <f>-'Table 5C1A-Madison Prep'!H7</f>
        <v>0</v>
      </c>
      <c r="K7" s="368">
        <f>-'Table 5C1B-DArbonne'!H7</f>
        <v>0</v>
      </c>
      <c r="L7" s="368">
        <f>-'Table 5C1C-Intl_VIBE'!H7</f>
        <v>0</v>
      </c>
      <c r="M7" s="368">
        <f>-'Table 5C1D-NOMMA'!H7</f>
        <v>0</v>
      </c>
      <c r="N7" s="368">
        <f>-'Table 5C1E-LFNO'!H7</f>
        <v>0</v>
      </c>
      <c r="O7" s="370">
        <f>-'Table 5C1F-Lake Charles Charter'!H7</f>
        <v>0</v>
      </c>
      <c r="P7" s="325">
        <f>-('Table 5C2 - LA Virtual Admy'!H4+'Table 5C2 - LA Virtual Admy'!I4)</f>
        <v>-124183.844383319</v>
      </c>
      <c r="Q7" s="325">
        <f>-'Table 5C3 - LA Connections EBR'!H4-'Table 5C3 - LA Connections EBR'!I4</f>
        <v>-53992.975818834348</v>
      </c>
      <c r="R7" s="325">
        <f>-'Table 5D1 - New Vision'!G7</f>
        <v>0</v>
      </c>
      <c r="S7" s="325">
        <f>-'Table 5D2 - Glencoe'!G7</f>
        <v>0</v>
      </c>
      <c r="T7" s="325">
        <f>-'Table 5D3 - International'!G7</f>
        <v>0</v>
      </c>
      <c r="U7" s="325">
        <f>-'Table 5D4 - Avoyelles'!G7</f>
        <v>0</v>
      </c>
      <c r="V7" s="325">
        <f>-'Table 5D5 - Delhi'!G7</f>
        <v>0</v>
      </c>
      <c r="W7" s="325">
        <f>-'Table 5D6 - Milestone'!G7</f>
        <v>0</v>
      </c>
      <c r="X7" s="325">
        <f>-'Table 5D7 - Max'!G7</f>
        <v>0</v>
      </c>
      <c r="Y7" s="325">
        <f>-'Table 5D8 - Belle Chasse'!I7</f>
        <v>0</v>
      </c>
      <c r="Z7" s="325">
        <f>-'Table 5A4_LSDVI'!H7</f>
        <v>-16197.892745650306</v>
      </c>
      <c r="AA7" s="325">
        <f>-'Table 5A5_SSD'!H7</f>
        <v>-10798.59516376687</v>
      </c>
      <c r="AB7" s="325">
        <f>-'Table 5F Scholarships'!E11</f>
        <v>0</v>
      </c>
      <c r="AC7" s="579">
        <f>ROUND(C7+F7+I7+J7+K7+L7+M7+N7+O7+P7+Q7+R7+S7+T7+U7+V7+W7+X7+Y7+Z7+AA7+AB7,0)</f>
        <v>50320513</v>
      </c>
      <c r="AD7" s="320">
        <f>ROUND(AC7/12,0)</f>
        <v>4193376</v>
      </c>
      <c r="AE7" s="736">
        <f>'Table 4A Stipends'!G4</f>
        <v>0</v>
      </c>
      <c r="AF7" s="320">
        <f>AC7+AE7</f>
        <v>50320513</v>
      </c>
      <c r="AH7" s="1599">
        <f>('Table 8 2.1.12 MFP Funded'!G4*'Table 3 Levels 1&amp;2'!AP8)+'Table 2_State Distrib and Adjs'!F7</f>
        <v>50320523.59314815</v>
      </c>
      <c r="AI7" s="1596">
        <f>AC7-AH7</f>
        <v>-10.593148149549961</v>
      </c>
      <c r="AJ7" s="292">
        <f>AI7/AH7</f>
        <v>-2.1051347230004513E-7</v>
      </c>
    </row>
    <row r="8" spans="1:36">
      <c r="A8" s="101">
        <v>2</v>
      </c>
      <c r="B8" s="311" t="s">
        <v>103</v>
      </c>
      <c r="C8" s="320">
        <f>'Table 3 Levels 1&amp;2'!AO9</f>
        <v>28090970.458928</v>
      </c>
      <c r="D8" s="368">
        <v>-6857.2225078297706</v>
      </c>
      <c r="E8" s="368">
        <v>1483.7499263770296</v>
      </c>
      <c r="F8" s="368">
        <f t="shared" ref="F8:F71" si="3">SUM(D8:E8)</f>
        <v>-5373.472581452741</v>
      </c>
      <c r="G8" s="320">
        <f t="shared" si="2"/>
        <v>0</v>
      </c>
      <c r="H8" s="368">
        <f t="shared" ref="H8:H71" si="4">IF(F8&lt;0,F8,0)</f>
        <v>-5373.472581452741</v>
      </c>
      <c r="I8" s="368"/>
      <c r="J8" s="368">
        <f>-'Table 5C1A-Madison Prep'!H8</f>
        <v>0</v>
      </c>
      <c r="K8" s="368">
        <f>-'Table 5C1B-DArbonne'!H8</f>
        <v>0</v>
      </c>
      <c r="L8" s="368">
        <f>-'Table 5C1C-Intl_VIBE'!H8</f>
        <v>0</v>
      </c>
      <c r="M8" s="368">
        <f>-'Table 5C1D-NOMMA'!H8</f>
        <v>0</v>
      </c>
      <c r="N8" s="368">
        <f>-'Table 5C1E-LFNO'!H8</f>
        <v>0</v>
      </c>
      <c r="O8" s="368">
        <f>-'Table 5C1F-Lake Charles Charter'!H8</f>
        <v>0</v>
      </c>
      <c r="P8" s="325">
        <f>-('Table 5C2 - LA Virtual Admy'!H5+'Table 5C2 - LA Virtual Admy'!I5)</f>
        <v>-62767.396499094342</v>
      </c>
      <c r="Q8" s="325">
        <f>-'Table 5C3 - LA Connections EBR'!H5-'Table 5C3 - LA Connections EBR'!I5</f>
        <v>-13948.310333132074</v>
      </c>
      <c r="R8" s="325">
        <f>-'Table 5D1 - New Vision'!G8</f>
        <v>0</v>
      </c>
      <c r="S8" s="325">
        <f>-'Table 5D2 - Glencoe'!G8</f>
        <v>0</v>
      </c>
      <c r="T8" s="325">
        <f>-'Table 5D3 - International'!G8</f>
        <v>0</v>
      </c>
      <c r="U8" s="325">
        <f>-'Table 5D4 - Avoyelles'!G8</f>
        <v>0</v>
      </c>
      <c r="V8" s="325">
        <f>-'Table 5D5 - Delhi'!G8</f>
        <v>0</v>
      </c>
      <c r="W8" s="325">
        <f>-'Table 5D6 - Milestone'!G8</f>
        <v>0</v>
      </c>
      <c r="X8" s="325">
        <f>-'Table 5D7 - Max'!G8</f>
        <v>0</v>
      </c>
      <c r="Y8" s="325">
        <f>-'Table 5D8 - Belle Chasse'!I8</f>
        <v>0</v>
      </c>
      <c r="Z8" s="325">
        <f>-'Table 5A4_LSDVI'!H8</f>
        <v>0</v>
      </c>
      <c r="AA8" s="325">
        <f>-'Table 5A5_SSD'!H8</f>
        <v>-6974.1551665660372</v>
      </c>
      <c r="AB8" s="325">
        <f>-'Table 5F Scholarships'!E12</f>
        <v>0</v>
      </c>
      <c r="AC8" s="579">
        <f t="shared" ref="AC8:AC71" si="5">ROUND(C8+F8+I8+J8+K8+L8+M8+N8+O8+P8+Q8+R8+S8+T8+U8+V8+W8+X8+Y8+Z8+AA8+AB8,0)</f>
        <v>28001907</v>
      </c>
      <c r="AD8" s="320">
        <f t="shared" ref="AD8:AD71" si="6">ROUND(AC8/12,0)</f>
        <v>2333492</v>
      </c>
      <c r="AE8" s="736">
        <f>'Table 4A Stipends'!G5</f>
        <v>0</v>
      </c>
      <c r="AF8" s="320">
        <f t="shared" ref="AF8:AF71" si="7">AC8+AE8</f>
        <v>28001907</v>
      </c>
      <c r="AH8" s="1599">
        <f>('Table 8 2.1.12 MFP Funded'!G5*'Table 3 Levels 1&amp;2'!AP9)+'Table 2_State Distrib and Adjs'!F8</f>
        <v>28001909.884681419</v>
      </c>
      <c r="AI8" s="1003">
        <f t="shared" ref="AI8:AI42" si="8">AC8-AH8</f>
        <v>-2.8846814185380936</v>
      </c>
      <c r="AJ8" s="292">
        <f t="shared" ref="AJ8:AJ42" si="9">AI8/AH8</f>
        <v>-1.0301730954845236E-7</v>
      </c>
    </row>
    <row r="9" spans="1:36">
      <c r="A9" s="101">
        <v>3</v>
      </c>
      <c r="B9" s="311" t="s">
        <v>104</v>
      </c>
      <c r="C9" s="320">
        <f>'Table 3 Levels 1&amp;2'!AO10</f>
        <v>99168985.724354401</v>
      </c>
      <c r="D9" s="368">
        <v>-11527.619272285694</v>
      </c>
      <c r="E9" s="368">
        <v>-39.465096807616646</v>
      </c>
      <c r="F9" s="368">
        <f t="shared" si="3"/>
        <v>-11567.084369093311</v>
      </c>
      <c r="G9" s="320">
        <f t="shared" si="2"/>
        <v>0</v>
      </c>
      <c r="H9" s="368">
        <f t="shared" si="4"/>
        <v>-11567.084369093311</v>
      </c>
      <c r="I9" s="368"/>
      <c r="J9" s="368">
        <f>-'Table 5C1A-Madison Prep'!H9</f>
        <v>0</v>
      </c>
      <c r="K9" s="368">
        <f>-'Table 5C1B-DArbonne'!H9</f>
        <v>0</v>
      </c>
      <c r="L9" s="368">
        <f>-'Table 5C1C-Intl_VIBE'!H9</f>
        <v>0</v>
      </c>
      <c r="M9" s="368">
        <f>-'Table 5C1D-NOMMA'!H9</f>
        <v>0</v>
      </c>
      <c r="N9" s="368">
        <f>-'Table 5C1E-LFNO'!H9</f>
        <v>0</v>
      </c>
      <c r="O9" s="368">
        <f>-'Table 5C1F-Lake Charles Charter'!H9</f>
        <v>0</v>
      </c>
      <c r="P9" s="325">
        <f>-('Table 5C2 - LA Virtual Admy'!H6+'Table 5C2 - LA Virtual Admy'!I6)</f>
        <v>-162471.48836179791</v>
      </c>
      <c r="Q9" s="325">
        <f>-'Table 5C3 - LA Connections EBR'!H6-'Table 5C3 - LA Connections EBR'!I6</f>
        <v>-54157.162787265974</v>
      </c>
      <c r="R9" s="325">
        <f>-'Table 5D1 - New Vision'!G9</f>
        <v>0</v>
      </c>
      <c r="S9" s="325">
        <f>-'Table 5D2 - Glencoe'!G9</f>
        <v>0</v>
      </c>
      <c r="T9" s="325">
        <f>-'Table 5D3 - International'!G9</f>
        <v>0</v>
      </c>
      <c r="U9" s="325">
        <f>-'Table 5D4 - Avoyelles'!G9</f>
        <v>0</v>
      </c>
      <c r="V9" s="325">
        <f>-'Table 5D5 - Delhi'!G9</f>
        <v>0</v>
      </c>
      <c r="W9" s="325">
        <f>-'Table 5D6 - Milestone'!G9</f>
        <v>0</v>
      </c>
      <c r="X9" s="325">
        <f>-'Table 5D7 - Max'!G9</f>
        <v>0</v>
      </c>
      <c r="Y9" s="325">
        <f>-'Table 5D8 - Belle Chasse'!I9</f>
        <v>0</v>
      </c>
      <c r="Z9" s="325">
        <f>-'Table 5A4_LSDVI'!H9</f>
        <v>-49233.784352059978</v>
      </c>
      <c r="AA9" s="325">
        <f>-'Table 5A5_SSD'!H9</f>
        <v>-29540.270611235985</v>
      </c>
      <c r="AB9" s="325">
        <f>-'Table 5F Scholarships'!E13</f>
        <v>0</v>
      </c>
      <c r="AC9" s="579">
        <f t="shared" si="5"/>
        <v>98862016</v>
      </c>
      <c r="AD9" s="320">
        <f t="shared" si="6"/>
        <v>8238501</v>
      </c>
      <c r="AE9" s="736">
        <f>'Table 4A Stipends'!G6</f>
        <v>0</v>
      </c>
      <c r="AF9" s="320">
        <f t="shared" si="7"/>
        <v>98862016</v>
      </c>
      <c r="AH9" s="1599">
        <f>('Table 8 2.1.12 MFP Funded'!G6*'Table 3 Levels 1&amp;2'!AP10)+'Table 2_State Distrib and Adjs'!F9</f>
        <v>98862023.756231084</v>
      </c>
      <c r="AI9" s="1003">
        <f t="shared" si="8"/>
        <v>-7.7562310844659805</v>
      </c>
      <c r="AJ9" s="292">
        <f t="shared" si="9"/>
        <v>-7.8455111374119738E-8</v>
      </c>
    </row>
    <row r="10" spans="1:36">
      <c r="A10" s="101">
        <v>4</v>
      </c>
      <c r="B10" s="311" t="s">
        <v>105</v>
      </c>
      <c r="C10" s="320">
        <f>'Table 3 Levels 1&amp;2'!AO11</f>
        <v>23793975.173258767</v>
      </c>
      <c r="D10" s="368">
        <v>3290.823011920671</v>
      </c>
      <c r="E10" s="368">
        <v>-16180.804766086188</v>
      </c>
      <c r="F10" s="368">
        <f t="shared" si="3"/>
        <v>-12889.981754165517</v>
      </c>
      <c r="G10" s="320">
        <f t="shared" si="2"/>
        <v>0</v>
      </c>
      <c r="H10" s="368">
        <f t="shared" si="4"/>
        <v>-12889.981754165517</v>
      </c>
      <c r="I10" s="368"/>
      <c r="J10" s="368">
        <f>-'Table 5C1A-Madison Prep'!H10</f>
        <v>0</v>
      </c>
      <c r="K10" s="368">
        <f>-'Table 5C1B-DArbonne'!H10</f>
        <v>0</v>
      </c>
      <c r="L10" s="368">
        <f>-'Table 5C1C-Intl_VIBE'!H10</f>
        <v>0</v>
      </c>
      <c r="M10" s="368">
        <f>-'Table 5C1D-NOMMA'!H10</f>
        <v>0</v>
      </c>
      <c r="N10" s="368">
        <f>-'Table 5C1E-LFNO'!H10</f>
        <v>0</v>
      </c>
      <c r="O10" s="368">
        <f>-'Table 5C1F-Lake Charles Charter'!H10</f>
        <v>0</v>
      </c>
      <c r="P10" s="325">
        <f>-('Table 5C2 - LA Virtual Admy'!H7+'Table 5C2 - LA Virtual Admy'!I7)</f>
        <v>-19956.077895699302</v>
      </c>
      <c r="Q10" s="325">
        <f>-'Table 5C3 - LA Connections EBR'!H7-'Table 5C3 - LA Connections EBR'!I7</f>
        <v>-33260.129826165503</v>
      </c>
      <c r="R10" s="325">
        <f>-'Table 5D1 - New Vision'!G10</f>
        <v>0</v>
      </c>
      <c r="S10" s="325">
        <f>-'Table 5D2 - Glencoe'!G10</f>
        <v>0</v>
      </c>
      <c r="T10" s="325">
        <f>-'Table 5D3 - International'!G10</f>
        <v>0</v>
      </c>
      <c r="U10" s="325">
        <f>-'Table 5D4 - Avoyelles'!G10</f>
        <v>0</v>
      </c>
      <c r="V10" s="325">
        <f>-'Table 5D5 - Delhi'!G10</f>
        <v>0</v>
      </c>
      <c r="W10" s="325">
        <f>-'Table 5D6 - Milestone'!G10</f>
        <v>0</v>
      </c>
      <c r="X10" s="325">
        <f>-'Table 5D7 - Max'!G10</f>
        <v>-13450.955550436145</v>
      </c>
      <c r="Y10" s="325">
        <f>-'Table 5D8 - Belle Chasse'!I10</f>
        <v>0</v>
      </c>
      <c r="Z10" s="325">
        <f>-'Table 5A4_LSDVI'!H10</f>
        <v>-6652.0259652331006</v>
      </c>
      <c r="AA10" s="325">
        <f>-'Table 5A5_SSD'!H10</f>
        <v>-19956.077895699302</v>
      </c>
      <c r="AB10" s="325">
        <f>-'Table 5F Scholarships'!E14</f>
        <v>0</v>
      </c>
      <c r="AC10" s="579">
        <f t="shared" si="5"/>
        <v>23687810</v>
      </c>
      <c r="AD10" s="320">
        <f t="shared" si="6"/>
        <v>1973984</v>
      </c>
      <c r="AE10" s="736">
        <f>'Table 4A Stipends'!G7</f>
        <v>20000</v>
      </c>
      <c r="AF10" s="320">
        <f t="shared" si="7"/>
        <v>23707810</v>
      </c>
      <c r="AH10" s="1599">
        <f>('Table 8 2.1.12 MFP Funded'!G7*'Table 3 Levels 1&amp;2'!AP11)+'Table 2_State Distrib and Adjs'!F10</f>
        <v>23687958.087108284</v>
      </c>
      <c r="AI10" s="1003">
        <f t="shared" si="8"/>
        <v>-148.087108284235</v>
      </c>
      <c r="AJ10" s="292">
        <f t="shared" si="9"/>
        <v>-6.2515776049447069E-6</v>
      </c>
    </row>
    <row r="11" spans="1:36">
      <c r="A11" s="102">
        <v>5</v>
      </c>
      <c r="B11" s="312" t="s">
        <v>106</v>
      </c>
      <c r="C11" s="329">
        <f>'Table 3 Levels 1&amp;2'!AO12</f>
        <v>34501205.989194468</v>
      </c>
      <c r="D11" s="369">
        <v>29915.438619274166</v>
      </c>
      <c r="E11" s="369">
        <v>-9208.2805652001553</v>
      </c>
      <c r="F11" s="369">
        <f t="shared" si="3"/>
        <v>20707.158054074011</v>
      </c>
      <c r="G11" s="329">
        <f t="shared" si="2"/>
        <v>20707.158054074011</v>
      </c>
      <c r="H11" s="369">
        <f t="shared" si="4"/>
        <v>0</v>
      </c>
      <c r="I11" s="369"/>
      <c r="J11" s="369">
        <f>-'Table 5C1A-Madison Prep'!H11</f>
        <v>0</v>
      </c>
      <c r="K11" s="369">
        <f>-'Table 5C1B-DArbonne'!H11</f>
        <v>0</v>
      </c>
      <c r="L11" s="369">
        <f>-'Table 5C1C-Intl_VIBE'!H11</f>
        <v>0</v>
      </c>
      <c r="M11" s="369">
        <f>-'Table 5C1D-NOMMA'!H11</f>
        <v>0</v>
      </c>
      <c r="N11" s="369">
        <f>-'Table 5C1E-LFNO'!H11</f>
        <v>0</v>
      </c>
      <c r="O11" s="369">
        <f>-'Table 5C1F-Lake Charles Charter'!H11</f>
        <v>0</v>
      </c>
      <c r="P11" s="332">
        <f>-('Table 5C2 - LA Virtual Admy'!H8+'Table 5C2 - LA Virtual Admy'!I8)</f>
        <v>-123328.82010411308</v>
      </c>
      <c r="Q11" s="332">
        <f>-'Table 5C3 - LA Connections EBR'!H8-'Table 5C3 - LA Connections EBR'!I8</f>
        <v>-21448.490452889237</v>
      </c>
      <c r="R11" s="332">
        <f>-'Table 5D1 - New Vision'!G11</f>
        <v>0</v>
      </c>
      <c r="S11" s="332">
        <f>-'Table 5D2 - Glencoe'!G11</f>
        <v>0</v>
      </c>
      <c r="T11" s="332">
        <f>-'Table 5D3 - International'!G11</f>
        <v>0</v>
      </c>
      <c r="U11" s="332">
        <f>-'Table 5D4 - Avoyelles'!G11</f>
        <v>-3584707.9583546389</v>
      </c>
      <c r="V11" s="332">
        <f>-'Table 5D5 - Delhi'!G11</f>
        <v>0</v>
      </c>
      <c r="W11" s="332">
        <f>-'Table 5D6 - Milestone'!G11</f>
        <v>0</v>
      </c>
      <c r="X11" s="332">
        <f>-'Table 5D7 - Max'!G11</f>
        <v>0</v>
      </c>
      <c r="Y11" s="332">
        <f>-'Table 5D8 - Belle Chasse'!I11</f>
        <v>0</v>
      </c>
      <c r="Z11" s="332">
        <f>-'Table 5A4_LSDVI'!H11</f>
        <v>-21448.490452889233</v>
      </c>
      <c r="AA11" s="332">
        <f>-'Table 5A5_SSD'!H11</f>
        <v>-21448.490452889233</v>
      </c>
      <c r="AB11" s="332">
        <f>-'Table 5F Scholarships'!E15</f>
        <v>0</v>
      </c>
      <c r="AC11" s="580">
        <f t="shared" si="5"/>
        <v>30749531</v>
      </c>
      <c r="AD11" s="329">
        <f t="shared" si="6"/>
        <v>2562461</v>
      </c>
      <c r="AE11" s="737">
        <f>'Table 4A Stipends'!G8</f>
        <v>0</v>
      </c>
      <c r="AF11" s="329">
        <f t="shared" si="7"/>
        <v>30749531</v>
      </c>
      <c r="AH11" s="1599">
        <f>('Table 8 2.1.12 MFP Funded'!G8*'Table 3 Levels 1&amp;2'!AP12)+'Table 2_State Distrib and Adjs'!F11</f>
        <v>30737875.330195364</v>
      </c>
      <c r="AI11" s="1003">
        <f t="shared" si="8"/>
        <v>11655.669804636389</v>
      </c>
      <c r="AJ11" s="292">
        <f t="shared" si="9"/>
        <v>3.7919568868790475E-4</v>
      </c>
    </row>
    <row r="12" spans="1:36">
      <c r="A12" s="101">
        <v>6</v>
      </c>
      <c r="B12" s="311" t="s">
        <v>107</v>
      </c>
      <c r="C12" s="320">
        <f>'Table 3 Levels 1&amp;2'!AO13</f>
        <v>36755881.3706204</v>
      </c>
      <c r="D12" s="368">
        <v>-3020.9413546285141</v>
      </c>
      <c r="E12" s="368">
        <v>-115599.71873128001</v>
      </c>
      <c r="F12" s="368">
        <f t="shared" si="3"/>
        <v>-118620.66008590852</v>
      </c>
      <c r="G12" s="320">
        <f t="shared" si="2"/>
        <v>0</v>
      </c>
      <c r="H12" s="368">
        <f t="shared" si="4"/>
        <v>-118620.66008590852</v>
      </c>
      <c r="I12" s="368"/>
      <c r="J12" s="368">
        <f>-'Table 5C1A-Madison Prep'!H12</f>
        <v>0</v>
      </c>
      <c r="K12" s="368">
        <f>-'Table 5C1B-DArbonne'!H12</f>
        <v>0</v>
      </c>
      <c r="L12" s="368">
        <f>-'Table 5C1C-Intl_VIBE'!H12</f>
        <v>0</v>
      </c>
      <c r="M12" s="368">
        <f>-'Table 5C1D-NOMMA'!H12</f>
        <v>0</v>
      </c>
      <c r="N12" s="368">
        <f>-'Table 5C1E-LFNO'!H12</f>
        <v>0</v>
      </c>
      <c r="O12" s="368">
        <f>-'Table 5C1F-Lake Charles Charter'!H12</f>
        <v>0</v>
      </c>
      <c r="P12" s="325">
        <f>-('Table 5C2 - LA Virtual Admy'!H9+'Table 5C2 - LA Virtual Admy'!I9)</f>
        <v>-91253.519817826207</v>
      </c>
      <c r="Q12" s="325">
        <f>-'Table 5C3 - LA Connections EBR'!H9-'Table 5C3 - LA Connections EBR'!I9</f>
        <v>-24334.271951420324</v>
      </c>
      <c r="R12" s="325">
        <f>-'Table 5D1 - New Vision'!G12</f>
        <v>0</v>
      </c>
      <c r="S12" s="325">
        <f>-'Table 5D2 - Glencoe'!G12</f>
        <v>0</v>
      </c>
      <c r="T12" s="325">
        <f>-'Table 5D3 - International'!G12</f>
        <v>0</v>
      </c>
      <c r="U12" s="325">
        <f>-'Table 5D4 - Avoyelles'!G12</f>
        <v>0</v>
      </c>
      <c r="V12" s="325">
        <f>-'Table 5D5 - Delhi'!G12</f>
        <v>0</v>
      </c>
      <c r="W12" s="325">
        <f>-'Table 5D6 - Milestone'!G12</f>
        <v>0</v>
      </c>
      <c r="X12" s="325">
        <f>-'Table 5D7 - Max'!G12</f>
        <v>0</v>
      </c>
      <c r="Y12" s="325">
        <f>-'Table 5D8 - Belle Chasse'!I12</f>
        <v>0</v>
      </c>
      <c r="Z12" s="325">
        <f>-'Table 5A4_LSDVI'!H12</f>
        <v>-6083.5679878550809</v>
      </c>
      <c r="AA12" s="325">
        <f>-'Table 5A5_SSD'!H12</f>
        <v>-12167.135975710162</v>
      </c>
      <c r="AB12" s="325">
        <f>-'Table 5F Scholarships'!E16</f>
        <v>0</v>
      </c>
      <c r="AC12" s="579">
        <f t="shared" si="5"/>
        <v>36503422</v>
      </c>
      <c r="AD12" s="320">
        <f t="shared" si="6"/>
        <v>3041952</v>
      </c>
      <c r="AE12" s="736">
        <f>'Table 4A Stipends'!G9</f>
        <v>0</v>
      </c>
      <c r="AF12" s="320">
        <f t="shared" si="7"/>
        <v>36503422</v>
      </c>
      <c r="AH12" s="1599">
        <f>('Table 8 2.1.12 MFP Funded'!G9*'Table 3 Levels 1&amp;2'!AP13)+'Table 2_State Distrib and Adjs'!F12</f>
        <v>36503425.988562681</v>
      </c>
      <c r="AI12" s="1003">
        <f t="shared" si="8"/>
        <v>-3.9885626807808876</v>
      </c>
      <c r="AJ12" s="292">
        <f t="shared" si="9"/>
        <v>-1.0926543393572404E-7</v>
      </c>
    </row>
    <row r="13" spans="1:36">
      <c r="A13" s="101">
        <v>7</v>
      </c>
      <c r="B13" s="311" t="s">
        <v>108</v>
      </c>
      <c r="C13" s="320">
        <f>'Table 3 Levels 1&amp;2'!AO14</f>
        <v>5101656.9479999999</v>
      </c>
      <c r="D13" s="368">
        <v>9458.4511320754718</v>
      </c>
      <c r="E13" s="368">
        <v>-1448.0961538461538</v>
      </c>
      <c r="F13" s="368">
        <f t="shared" si="3"/>
        <v>8010.3549782293176</v>
      </c>
      <c r="G13" s="320">
        <f t="shared" si="2"/>
        <v>8010.3549782293176</v>
      </c>
      <c r="H13" s="368">
        <f t="shared" si="4"/>
        <v>0</v>
      </c>
      <c r="I13" s="368"/>
      <c r="J13" s="368">
        <f>-'Table 5C1A-Madison Prep'!H13</f>
        <v>0</v>
      </c>
      <c r="K13" s="368">
        <f>-'Table 5C1B-DArbonne'!H13</f>
        <v>0</v>
      </c>
      <c r="L13" s="368">
        <f>-'Table 5C1C-Intl_VIBE'!H13</f>
        <v>0</v>
      </c>
      <c r="M13" s="368">
        <f>-'Table 5C1D-NOMMA'!H13</f>
        <v>0</v>
      </c>
      <c r="N13" s="368">
        <f>-'Table 5C1E-LFNO'!H13</f>
        <v>0</v>
      </c>
      <c r="O13" s="368">
        <f>-'Table 5C1F-Lake Charles Charter'!H13</f>
        <v>0</v>
      </c>
      <c r="P13" s="325">
        <f>-('Table 5C2 - LA Virtual Admy'!H10+'Table 5C2 - LA Virtual Admy'!I10)</f>
        <v>-11502.456176735797</v>
      </c>
      <c r="Q13" s="325">
        <f>-'Table 5C3 - LA Connections EBR'!H10-'Table 5C3 - LA Connections EBR'!I10</f>
        <v>-13802.947412082956</v>
      </c>
      <c r="R13" s="325">
        <f>-'Table 5D1 - New Vision'!G13</f>
        <v>0</v>
      </c>
      <c r="S13" s="325">
        <f>-'Table 5D2 - Glencoe'!G13</f>
        <v>0</v>
      </c>
      <c r="T13" s="325">
        <f>-'Table 5D3 - International'!G13</f>
        <v>0</v>
      </c>
      <c r="U13" s="325">
        <f>-'Table 5D4 - Avoyelles'!G13</f>
        <v>0</v>
      </c>
      <c r="V13" s="325">
        <f>-'Table 5D5 - Delhi'!G13</f>
        <v>0</v>
      </c>
      <c r="W13" s="325">
        <f>-'Table 5D6 - Milestone'!G13</f>
        <v>0</v>
      </c>
      <c r="X13" s="325">
        <f>-'Table 5D7 - Max'!G13</f>
        <v>0</v>
      </c>
      <c r="Y13" s="325">
        <f>-'Table 5D8 - Belle Chasse'!I13</f>
        <v>0</v>
      </c>
      <c r="Z13" s="325">
        <f>-'Table 5A4_LSDVI'!H13</f>
        <v>0</v>
      </c>
      <c r="AA13" s="325">
        <f>-'Table 5A5_SSD'!H13</f>
        <v>0</v>
      </c>
      <c r="AB13" s="325">
        <f>-'Table 5F Scholarships'!E17</f>
        <v>0</v>
      </c>
      <c r="AC13" s="579">
        <f t="shared" si="5"/>
        <v>5084362</v>
      </c>
      <c r="AD13" s="320">
        <f t="shared" si="6"/>
        <v>423697</v>
      </c>
      <c r="AE13" s="736">
        <f>'Table 4A Stipends'!G10</f>
        <v>0</v>
      </c>
      <c r="AF13" s="320">
        <f t="shared" si="7"/>
        <v>5084362</v>
      </c>
      <c r="AH13" s="1599">
        <f>('Table 8 2.1.12 MFP Funded'!G10*'Table 3 Levels 1&amp;2'!AP14)+'Table 2_State Distrib and Adjs'!F13</f>
        <v>5084366.0286644325</v>
      </c>
      <c r="AI13" s="1003">
        <f t="shared" si="8"/>
        <v>-4.0286644324660301</v>
      </c>
      <c r="AJ13" s="292">
        <f t="shared" si="9"/>
        <v>-7.9236317954950318E-7</v>
      </c>
    </row>
    <row r="14" spans="1:36">
      <c r="A14" s="101">
        <v>8</v>
      </c>
      <c r="B14" s="311" t="s">
        <v>109</v>
      </c>
      <c r="C14" s="320">
        <f>'Table 3 Levels 1&amp;2'!AO15</f>
        <v>98935116.1643444</v>
      </c>
      <c r="D14" s="368">
        <v>19465.534916257777</v>
      </c>
      <c r="E14" s="368">
        <v>-6860.4084949560347</v>
      </c>
      <c r="F14" s="368">
        <f t="shared" si="3"/>
        <v>12605.126421301742</v>
      </c>
      <c r="G14" s="320">
        <f t="shared" si="2"/>
        <v>12605.126421301742</v>
      </c>
      <c r="H14" s="368">
        <f t="shared" si="4"/>
        <v>0</v>
      </c>
      <c r="I14" s="368"/>
      <c r="J14" s="368">
        <f>-'Table 5C1A-Madison Prep'!H14</f>
        <v>0</v>
      </c>
      <c r="K14" s="368">
        <f>-'Table 5C1B-DArbonne'!H14</f>
        <v>0</v>
      </c>
      <c r="L14" s="368">
        <f>-'Table 5C1C-Intl_VIBE'!H14</f>
        <v>0</v>
      </c>
      <c r="M14" s="368">
        <f>-'Table 5C1D-NOMMA'!H14</f>
        <v>0</v>
      </c>
      <c r="N14" s="368">
        <f>-'Table 5C1E-LFNO'!H14</f>
        <v>0</v>
      </c>
      <c r="O14" s="368">
        <f>-'Table 5C1F-Lake Charles Charter'!H14</f>
        <v>0</v>
      </c>
      <c r="P14" s="325">
        <f>-('Table 5C2 - LA Virtual Admy'!H11+'Table 5C2 - LA Virtual Admy'!I11)</f>
        <v>-214166.0995735965</v>
      </c>
      <c r="Q14" s="325">
        <f>-'Table 5C3 - LA Connections EBR'!H11-'Table 5C3 - LA Connections EBR'!I11</f>
        <v>-104703.42645820272</v>
      </c>
      <c r="R14" s="325">
        <f>-'Table 5D1 - New Vision'!G14</f>
        <v>0</v>
      </c>
      <c r="S14" s="325">
        <f>-'Table 5D2 - Glencoe'!G14</f>
        <v>0</v>
      </c>
      <c r="T14" s="325">
        <f>-'Table 5D3 - International'!G14</f>
        <v>0</v>
      </c>
      <c r="U14" s="325">
        <f>-'Table 5D4 - Avoyelles'!G14</f>
        <v>0</v>
      </c>
      <c r="V14" s="325">
        <f>-'Table 5D5 - Delhi'!G14</f>
        <v>0</v>
      </c>
      <c r="W14" s="325">
        <f>-'Table 5D6 - Milestone'!G14</f>
        <v>0</v>
      </c>
      <c r="X14" s="325">
        <f>-'Table 5D7 - Max'!G14</f>
        <v>0</v>
      </c>
      <c r="Y14" s="325">
        <f>-'Table 5D8 - Belle Chasse'!I14</f>
        <v>0</v>
      </c>
      <c r="Z14" s="325">
        <f>-'Table 5A4_LSDVI'!H14</f>
        <v>-9518.4933143820672</v>
      </c>
      <c r="AA14" s="325">
        <f>-'Table 5A5_SSD'!H14</f>
        <v>-9518.4933143820672</v>
      </c>
      <c r="AB14" s="325">
        <f>-'Table 5F Scholarships'!E18</f>
        <v>0</v>
      </c>
      <c r="AC14" s="579">
        <f t="shared" si="5"/>
        <v>98609815</v>
      </c>
      <c r="AD14" s="320">
        <f t="shared" si="6"/>
        <v>8217485</v>
      </c>
      <c r="AE14" s="320">
        <f>'Table 4A Stipends'!G11</f>
        <v>16000</v>
      </c>
      <c r="AF14" s="320">
        <f t="shared" si="7"/>
        <v>98625815</v>
      </c>
      <c r="AH14" s="1599">
        <f>('Table 8 2.1.12 MFP Funded'!G11*'Table 3 Levels 1&amp;2'!AP15)+'Table 2_State Distrib and Adjs'!F14</f>
        <v>98609831.385158479</v>
      </c>
      <c r="AI14" s="1003">
        <f t="shared" si="8"/>
        <v>-16.385158479213715</v>
      </c>
      <c r="AJ14" s="292">
        <f t="shared" si="9"/>
        <v>-1.6616150995345686E-7</v>
      </c>
    </row>
    <row r="15" spans="1:36">
      <c r="A15" s="101">
        <v>9</v>
      </c>
      <c r="B15" s="311" t="s">
        <v>110</v>
      </c>
      <c r="C15" s="320">
        <f>'Table 3 Levels 1&amp;2'!AO16</f>
        <v>207752402.7456744</v>
      </c>
      <c r="D15" s="368">
        <v>107111.90995907958</v>
      </c>
      <c r="E15" s="368">
        <v>-685963.74700799736</v>
      </c>
      <c r="F15" s="368">
        <f t="shared" si="3"/>
        <v>-578851.83704891778</v>
      </c>
      <c r="G15" s="320">
        <f t="shared" si="2"/>
        <v>0</v>
      </c>
      <c r="H15" s="368">
        <f t="shared" si="4"/>
        <v>-578851.83704891778</v>
      </c>
      <c r="I15" s="368">
        <f>-'Table 5B2_RSD_LA'!H30</f>
        <v>-3228424.44</v>
      </c>
      <c r="J15" s="368">
        <f>-'Table 5C1A-Madison Prep'!H15</f>
        <v>0</v>
      </c>
      <c r="K15" s="368">
        <f>-'Table 5C1B-DArbonne'!H15</f>
        <v>0</v>
      </c>
      <c r="L15" s="368">
        <f>-'Table 5C1C-Intl_VIBE'!H15</f>
        <v>0</v>
      </c>
      <c r="M15" s="368">
        <f>-'Table 5C1D-NOMMA'!H15</f>
        <v>0</v>
      </c>
      <c r="N15" s="368">
        <f>-'Table 5C1E-LFNO'!H15</f>
        <v>0</v>
      </c>
      <c r="O15" s="368">
        <f>-'Table 5C1F-Lake Charles Charter'!H15</f>
        <v>-5013.0817271902906</v>
      </c>
      <c r="P15" s="325">
        <f>-('Table 5C2 - LA Virtual Admy'!H12+'Table 5C2 - LA Virtual Admy'!I12)</f>
        <v>-466216.60062869702</v>
      </c>
      <c r="Q15" s="325">
        <f>-'Table 5C3 - LA Connections EBR'!H12-'Table 5C3 - LA Connections EBR'!I12</f>
        <v>-190497.10563323105</v>
      </c>
      <c r="R15" s="325">
        <f>-'Table 5D1 - New Vision'!G15</f>
        <v>0</v>
      </c>
      <c r="S15" s="325">
        <f>-'Table 5D2 - Glencoe'!G15</f>
        <v>0</v>
      </c>
      <c r="T15" s="325">
        <f>-'Table 5D3 - International'!G15</f>
        <v>0</v>
      </c>
      <c r="U15" s="325">
        <f>-'Table 5D4 - Avoyelles'!G15</f>
        <v>0</v>
      </c>
      <c r="V15" s="325">
        <f>-'Table 5D5 - Delhi'!G15</f>
        <v>0</v>
      </c>
      <c r="W15" s="325">
        <f>-'Table 5D6 - Milestone'!G15</f>
        <v>0</v>
      </c>
      <c r="X15" s="325">
        <f>-'Table 5D7 - Max'!G15</f>
        <v>0</v>
      </c>
      <c r="Y15" s="325">
        <f>-'Table 5D8 - Belle Chasse'!I15</f>
        <v>0</v>
      </c>
      <c r="Z15" s="325">
        <f>-'Table 5A4_LSDVI'!H15</f>
        <v>-40104.653817522325</v>
      </c>
      <c r="AA15" s="325">
        <f>-'Table 5A5_SSD'!H15</f>
        <v>-35091.572090332033</v>
      </c>
      <c r="AB15" s="325">
        <f>-'Table 5F Scholarships'!E19</f>
        <v>0</v>
      </c>
      <c r="AC15" s="582">
        <f t="shared" si="5"/>
        <v>203208203</v>
      </c>
      <c r="AD15" s="320">
        <f t="shared" si="6"/>
        <v>16934017</v>
      </c>
      <c r="AE15" s="320">
        <f>'Table 4A Stipends'!G12</f>
        <v>32000</v>
      </c>
      <c r="AF15" s="368">
        <f t="shared" si="7"/>
        <v>203240203</v>
      </c>
      <c r="AH15" s="1599">
        <f>('Table 8 2.1.12 MFP Funded'!G12*'Table 3 Levels 1&amp;2'!AP16)+'Table 2_State Distrib and Adjs'!F15</f>
        <v>203208389.47218525</v>
      </c>
      <c r="AI15" s="1003">
        <f t="shared" si="8"/>
        <v>-186.47218525409698</v>
      </c>
      <c r="AJ15" s="292">
        <f t="shared" si="9"/>
        <v>-9.1764019063603133E-7</v>
      </c>
    </row>
    <row r="16" spans="1:36">
      <c r="A16" s="102">
        <v>10</v>
      </c>
      <c r="B16" s="312" t="s">
        <v>111</v>
      </c>
      <c r="C16" s="329">
        <f>'Table 3 Levels 1&amp;2'!AO17</f>
        <v>155645604.21761</v>
      </c>
      <c r="D16" s="369">
        <v>59043.257685348159</v>
      </c>
      <c r="E16" s="369">
        <v>-113234.73459139297</v>
      </c>
      <c r="F16" s="369">
        <f t="shared" si="3"/>
        <v>-54191.476906044816</v>
      </c>
      <c r="G16" s="329">
        <f t="shared" si="2"/>
        <v>0</v>
      </c>
      <c r="H16" s="369">
        <f t="shared" si="4"/>
        <v>-54191.476906044816</v>
      </c>
      <c r="I16" s="369"/>
      <c r="J16" s="58">
        <f>-'Table 5C1A-Madison Prep'!H16</f>
        <v>0</v>
      </c>
      <c r="K16" s="58">
        <f>-'Table 5C1B-DArbonne'!H16</f>
        <v>0</v>
      </c>
      <c r="L16" s="369">
        <f>-'Table 5C1C-Intl_VIBE'!H16</f>
        <v>0</v>
      </c>
      <c r="M16" s="369">
        <f>-'Table 5C1D-NOMMA'!H16</f>
        <v>0</v>
      </c>
      <c r="N16" s="369">
        <f>-'Table 5C1E-LFNO'!H16</f>
        <v>0</v>
      </c>
      <c r="O16" s="369">
        <f>-'Table 5C1F-Lake Charles Charter'!H16</f>
        <v>-3116648.6672538822</v>
      </c>
      <c r="P16" s="332">
        <f>-('Table 5C2 - LA Virtual Admy'!H13+'Table 5C2 - LA Virtual Admy'!I13)</f>
        <v>-304302.70451927668</v>
      </c>
      <c r="Q16" s="332">
        <f>-'Table 5C3 - LA Connections EBR'!H13-'Table 5C3 - LA Connections EBR'!I13</f>
        <v>-117794.59529778453</v>
      </c>
      <c r="R16" s="332">
        <f>-'Table 5D1 - New Vision'!G16</f>
        <v>0</v>
      </c>
      <c r="S16" s="332">
        <f>-'Table 5D2 - Glencoe'!G16</f>
        <v>0</v>
      </c>
      <c r="T16" s="332">
        <f>-'Table 5D3 - International'!G16</f>
        <v>0</v>
      </c>
      <c r="U16" s="332">
        <f>-'Table 5D4 - Avoyelles'!G16</f>
        <v>0</v>
      </c>
      <c r="V16" s="332">
        <f>-'Table 5D5 - Delhi'!G16</f>
        <v>0</v>
      </c>
      <c r="W16" s="332">
        <f>-'Table 5D6 - Milestone'!G16</f>
        <v>0</v>
      </c>
      <c r="X16" s="332">
        <f>-'Table 5D7 - Max'!G16</f>
        <v>0</v>
      </c>
      <c r="Y16" s="332">
        <f>-'Table 5D8 - Belle Chasse'!I16</f>
        <v>0</v>
      </c>
      <c r="Z16" s="332">
        <f>-'Table 5A4_LSDVI'!H16</f>
        <v>-44172.973236669197</v>
      </c>
      <c r="AA16" s="332">
        <f>-'Table 5A5_SSD'!H16</f>
        <v>-34356.756961853818</v>
      </c>
      <c r="AB16" s="332">
        <f>-'Table 5F Scholarships'!E20</f>
        <v>0</v>
      </c>
      <c r="AC16" s="580">
        <f t="shared" si="5"/>
        <v>151974137</v>
      </c>
      <c r="AD16" s="329">
        <f t="shared" si="6"/>
        <v>12664511</v>
      </c>
      <c r="AE16" s="329">
        <f>'Table 4A Stipends'!G13</f>
        <v>80000</v>
      </c>
      <c r="AF16" s="329">
        <f t="shared" si="7"/>
        <v>152054137</v>
      </c>
      <c r="AH16" s="1599">
        <f>('Table 8 2.1.12 MFP Funded'!G13*'Table 3 Levels 1&amp;2'!AP17)+'Table 2_State Distrib and Adjs'!F16</f>
        <v>151974258.56707239</v>
      </c>
      <c r="AI16" s="1003">
        <f t="shared" si="8"/>
        <v>-121.56707239151001</v>
      </c>
      <c r="AJ16" s="292">
        <f t="shared" si="9"/>
        <v>-7.9991883847788296E-7</v>
      </c>
    </row>
    <row r="17" spans="1:37">
      <c r="A17" s="101">
        <v>11</v>
      </c>
      <c r="B17" s="311" t="s">
        <v>112</v>
      </c>
      <c r="C17" s="320">
        <f>'Table 3 Levels 1&amp;2'!AO18</f>
        <v>11743394.40289057</v>
      </c>
      <c r="D17" s="368">
        <v>65277.612594033308</v>
      </c>
      <c r="E17" s="368">
        <v>-19414.478844038989</v>
      </c>
      <c r="F17" s="368">
        <f t="shared" si="3"/>
        <v>45863.133749994318</v>
      </c>
      <c r="G17" s="320">
        <f t="shared" si="2"/>
        <v>45863.133749994318</v>
      </c>
      <c r="H17" s="368">
        <f t="shared" si="4"/>
        <v>0</v>
      </c>
      <c r="I17" s="368"/>
      <c r="J17" s="368">
        <f>-'Table 5C1A-Madison Prep'!H17</f>
        <v>0</v>
      </c>
      <c r="K17" s="368">
        <f>-'Table 5C1B-DArbonne'!H17</f>
        <v>0</v>
      </c>
      <c r="L17" s="368">
        <f>-'Table 5C1C-Intl_VIBE'!H17</f>
        <v>0</v>
      </c>
      <c r="M17" s="368">
        <f>-'Table 5C1D-NOMMA'!H17</f>
        <v>0</v>
      </c>
      <c r="N17" s="368">
        <f>-'Table 5C1E-LFNO'!H17</f>
        <v>0</v>
      </c>
      <c r="O17" s="368">
        <f>-'Table 5C1F-Lake Charles Charter'!H17</f>
        <v>0</v>
      </c>
      <c r="P17" s="325">
        <f>-('Table 5C2 - LA Virtual Admy'!H14+'Table 5C2 - LA Virtual Admy'!I14)</f>
        <v>-22340.368186772608</v>
      </c>
      <c r="Q17" s="325">
        <f>-'Table 5C3 - LA Connections EBR'!H14-'Table 5C3 - LA Connections EBR'!I14</f>
        <v>0</v>
      </c>
      <c r="R17" s="325">
        <f>-'Table 5D1 - New Vision'!G17</f>
        <v>-14913.069834952781</v>
      </c>
      <c r="S17" s="325">
        <f>-'Table 5D2 - Glencoe'!G17</f>
        <v>0</v>
      </c>
      <c r="T17" s="325">
        <f>-'Table 5D3 - International'!G17</f>
        <v>0</v>
      </c>
      <c r="U17" s="325">
        <f>-'Table 5D4 - Avoyelles'!G17</f>
        <v>0</v>
      </c>
      <c r="V17" s="325">
        <f>-'Table 5D5 - Delhi'!G17</f>
        <v>0</v>
      </c>
      <c r="W17" s="325">
        <f>-'Table 5D6 - Milestone'!G17</f>
        <v>0</v>
      </c>
      <c r="X17" s="325">
        <f>-'Table 5D7 - Max'!G17</f>
        <v>0</v>
      </c>
      <c r="Y17" s="325">
        <f>-'Table 5D8 - Belle Chasse'!I17</f>
        <v>0</v>
      </c>
      <c r="Z17" s="325">
        <f>-'Table 5A4_LSDVI'!H17</f>
        <v>0</v>
      </c>
      <c r="AA17" s="325">
        <f>-'Table 5A5_SSD'!H17</f>
        <v>0</v>
      </c>
      <c r="AB17" s="325">
        <f>-'Table 5F Scholarships'!E21</f>
        <v>0</v>
      </c>
      <c r="AC17" s="579">
        <f t="shared" si="5"/>
        <v>11752004</v>
      </c>
      <c r="AD17" s="320">
        <f t="shared" si="6"/>
        <v>979334</v>
      </c>
      <c r="AE17" s="320">
        <f>'Table 4A Stipends'!G14</f>
        <v>0</v>
      </c>
      <c r="AF17" s="320">
        <f t="shared" si="7"/>
        <v>11752004</v>
      </c>
      <c r="AH17" s="1599">
        <f>('Table 8 2.1.12 MFP Funded'!G14*'Table 3 Levels 1&amp;2'!AP18)+'Table 2_State Distrib and Adjs'!F17</f>
        <v>11752024.199916117</v>
      </c>
      <c r="AI17" s="1003">
        <f t="shared" si="8"/>
        <v>-20.199916116893291</v>
      </c>
      <c r="AJ17" s="292">
        <f t="shared" si="9"/>
        <v>-1.7188456876252412E-6</v>
      </c>
    </row>
    <row r="18" spans="1:37">
      <c r="A18" s="101">
        <v>12</v>
      </c>
      <c r="B18" s="311" t="s">
        <v>113</v>
      </c>
      <c r="C18" s="320">
        <f>'Table 3 Levels 1&amp;2'!AO19</f>
        <v>3484419.588</v>
      </c>
      <c r="D18" s="368">
        <v>-1476.0060473235062</v>
      </c>
      <c r="E18" s="368">
        <v>-1131.8597908954703</v>
      </c>
      <c r="F18" s="368">
        <f t="shared" si="3"/>
        <v>-2607.8658382189765</v>
      </c>
      <c r="G18" s="320">
        <f t="shared" si="2"/>
        <v>0</v>
      </c>
      <c r="H18" s="368">
        <f t="shared" si="4"/>
        <v>-2607.8658382189765</v>
      </c>
      <c r="I18" s="368"/>
      <c r="J18" s="368">
        <f>-'Table 5C1A-Madison Prep'!H18</f>
        <v>0</v>
      </c>
      <c r="K18" s="368">
        <f>-'Table 5C1B-DArbonne'!H18</f>
        <v>0</v>
      </c>
      <c r="L18" s="368">
        <f>-'Table 5C1C-Intl_VIBE'!H18</f>
        <v>0</v>
      </c>
      <c r="M18" s="368">
        <f>-'Table 5C1D-NOMMA'!H18</f>
        <v>0</v>
      </c>
      <c r="N18" s="368">
        <f>-'Table 5C1E-LFNO'!H18</f>
        <v>0</v>
      </c>
      <c r="O18" s="368">
        <f>-'Table 5C1F-Lake Charles Charter'!H18</f>
        <v>0</v>
      </c>
      <c r="P18" s="325">
        <f>-('Table 5C2 - LA Virtual Admy'!H15+'Table 5C2 - LA Virtual Admy'!I15)</f>
        <v>0</v>
      </c>
      <c r="Q18" s="325">
        <f>-'Table 5C3 - LA Connections EBR'!H15-'Table 5C3 - LA Connections EBR'!I15</f>
        <v>-5689.1955102040811</v>
      </c>
      <c r="R18" s="325">
        <f>-'Table 5D1 - New Vision'!G18</f>
        <v>0</v>
      </c>
      <c r="S18" s="325">
        <f>-'Table 5D2 - Glencoe'!G18</f>
        <v>0</v>
      </c>
      <c r="T18" s="325">
        <f>-'Table 5D3 - International'!G18</f>
        <v>0</v>
      </c>
      <c r="U18" s="325">
        <f>-'Table 5D4 - Avoyelles'!G18</f>
        <v>0</v>
      </c>
      <c r="V18" s="325">
        <f>-'Table 5D5 - Delhi'!G18</f>
        <v>0</v>
      </c>
      <c r="W18" s="325">
        <f>-'Table 5D6 - Milestone'!G18</f>
        <v>0</v>
      </c>
      <c r="X18" s="325">
        <f>-'Table 5D7 - Max'!G18</f>
        <v>0</v>
      </c>
      <c r="Y18" s="325">
        <f>-'Table 5D8 - Belle Chasse'!I18</f>
        <v>0</v>
      </c>
      <c r="Z18" s="325">
        <f>-'Table 5A4_LSDVI'!H18</f>
        <v>0</v>
      </c>
      <c r="AA18" s="325">
        <f>-'Table 5A5_SSD'!H18</f>
        <v>0</v>
      </c>
      <c r="AB18" s="325">
        <f>-'Table 5F Scholarships'!E22</f>
        <v>0</v>
      </c>
      <c r="AC18" s="579">
        <f t="shared" si="5"/>
        <v>3476123</v>
      </c>
      <c r="AD18" s="320">
        <f t="shared" si="6"/>
        <v>289677</v>
      </c>
      <c r="AE18" s="320">
        <f>'Table 4A Stipends'!G15</f>
        <v>4000</v>
      </c>
      <c r="AF18" s="320">
        <f t="shared" si="7"/>
        <v>3480123</v>
      </c>
      <c r="AH18" s="1599">
        <f>('Table 8 2.1.12 MFP Funded'!G15*'Table 3 Levels 1&amp;2'!AP19)+'Table 2_State Distrib and Adjs'!F18</f>
        <v>3476122.8738548425</v>
      </c>
      <c r="AI18" s="1003">
        <f t="shared" si="8"/>
        <v>0.1261451574973762</v>
      </c>
      <c r="AJ18" s="292">
        <f t="shared" si="9"/>
        <v>3.6289038700604873E-8</v>
      </c>
    </row>
    <row r="19" spans="1:37">
      <c r="A19" s="101">
        <v>13</v>
      </c>
      <c r="B19" s="311" t="s">
        <v>114</v>
      </c>
      <c r="C19" s="320">
        <f>'Table 3 Levels 1&amp;2'!AO20</f>
        <v>10442244.713172</v>
      </c>
      <c r="D19" s="368">
        <v>0</v>
      </c>
      <c r="E19" s="368">
        <v>0</v>
      </c>
      <c r="F19" s="368">
        <f t="shared" si="3"/>
        <v>0</v>
      </c>
      <c r="G19" s="320">
        <f t="shared" si="2"/>
        <v>0</v>
      </c>
      <c r="H19" s="368">
        <f t="shared" si="4"/>
        <v>0</v>
      </c>
      <c r="I19" s="368"/>
      <c r="J19" s="368">
        <f>-'Table 5C1A-Madison Prep'!H19</f>
        <v>0</v>
      </c>
      <c r="K19" s="368">
        <f>-'Table 5C1B-DArbonne'!H19</f>
        <v>0</v>
      </c>
      <c r="L19" s="368">
        <f>-'Table 5C1C-Intl_VIBE'!H19</f>
        <v>0</v>
      </c>
      <c r="M19" s="368">
        <f>-'Table 5C1D-NOMMA'!H19</f>
        <v>0</v>
      </c>
      <c r="N19" s="368">
        <f>-'Table 5C1E-LFNO'!H19</f>
        <v>0</v>
      </c>
      <c r="O19" s="368">
        <f>-'Table 5C1F-Lake Charles Charter'!H19</f>
        <v>0</v>
      </c>
      <c r="P19" s="325">
        <f>-('Table 5C2 - LA Virtual Admy'!H16+'Table 5C2 - LA Virtual Admy'!I16)</f>
        <v>-41249.779142219879</v>
      </c>
      <c r="Q19" s="325">
        <f>-'Table 5C3 - LA Connections EBR'!H16-'Table 5C3 - LA Connections EBR'!I16</f>
        <v>-34374.815951849901</v>
      </c>
      <c r="R19" s="325">
        <f>-'Table 5D1 - New Vision'!G19</f>
        <v>0</v>
      </c>
      <c r="S19" s="325">
        <f>-'Table 5D2 - Glencoe'!G19</f>
        <v>0</v>
      </c>
      <c r="T19" s="325">
        <f>-'Table 5D3 - International'!G19</f>
        <v>0</v>
      </c>
      <c r="U19" s="325">
        <f>-'Table 5D4 - Avoyelles'!G19</f>
        <v>0</v>
      </c>
      <c r="V19" s="325">
        <f>-'Table 5D5 - Delhi'!G19</f>
        <v>0</v>
      </c>
      <c r="W19" s="325">
        <f>-'Table 5D6 - Milestone'!G19</f>
        <v>0</v>
      </c>
      <c r="X19" s="325">
        <f>-'Table 5D7 - Max'!G19</f>
        <v>0</v>
      </c>
      <c r="Y19" s="325">
        <f>-'Table 5D8 - Belle Chasse'!I19</f>
        <v>0</v>
      </c>
      <c r="Z19" s="325">
        <f>-'Table 5A4_LSDVI'!H19</f>
        <v>0</v>
      </c>
      <c r="AA19" s="325">
        <f>-'Table 5A5_SSD'!H19</f>
        <v>0</v>
      </c>
      <c r="AB19" s="325">
        <f>-'Table 5F Scholarships'!E23</f>
        <v>0</v>
      </c>
      <c r="AC19" s="579">
        <f t="shared" si="5"/>
        <v>10366620</v>
      </c>
      <c r="AD19" s="320">
        <f t="shared" si="6"/>
        <v>863885</v>
      </c>
      <c r="AE19" s="320">
        <f>'Table 4A Stipends'!G16</f>
        <v>0</v>
      </c>
      <c r="AF19" s="320">
        <f t="shared" si="7"/>
        <v>10366620</v>
      </c>
      <c r="AH19" s="1599">
        <f>('Table 8 2.1.12 MFP Funded'!G16*'Table 3 Levels 1&amp;2'!AP20)+'Table 2_State Distrib and Adjs'!F19</f>
        <v>10366626.087862657</v>
      </c>
      <c r="AI19" s="1003">
        <f t="shared" si="8"/>
        <v>-6.0878626573830843</v>
      </c>
      <c r="AJ19" s="292">
        <f t="shared" si="9"/>
        <v>-5.8725593127264528E-7</v>
      </c>
    </row>
    <row r="20" spans="1:37">
      <c r="A20" s="101">
        <v>14</v>
      </c>
      <c r="B20" s="311" t="s">
        <v>115</v>
      </c>
      <c r="C20" s="320">
        <f>'Table 3 Levels 1&amp;2'!AO21</f>
        <v>11919638.323311999</v>
      </c>
      <c r="D20" s="368">
        <v>13358.977846083169</v>
      </c>
      <c r="E20" s="368">
        <v>-27128.370775164778</v>
      </c>
      <c r="F20" s="368">
        <f t="shared" si="3"/>
        <v>-13769.392929081609</v>
      </c>
      <c r="G20" s="320">
        <f t="shared" si="2"/>
        <v>0</v>
      </c>
      <c r="H20" s="368">
        <f t="shared" si="4"/>
        <v>-13769.392929081609</v>
      </c>
      <c r="I20" s="368"/>
      <c r="J20" s="368">
        <f>-'Table 5C1A-Madison Prep'!H20</f>
        <v>0</v>
      </c>
      <c r="K20" s="368">
        <f>-'Table 5C1B-DArbonne'!H20</f>
        <v>-18264.221098026555</v>
      </c>
      <c r="L20" s="368">
        <f>-'Table 5C1C-Intl_VIBE'!H20</f>
        <v>0</v>
      </c>
      <c r="M20" s="368">
        <f>-'Table 5C1D-NOMMA'!H20</f>
        <v>0</v>
      </c>
      <c r="N20" s="368">
        <f>-'Table 5C1E-LFNO'!H20</f>
        <v>0</v>
      </c>
      <c r="O20" s="368">
        <f>-'Table 5C1F-Lake Charles Charter'!H20</f>
        <v>0</v>
      </c>
      <c r="P20" s="325">
        <f>-('Table 5C2 - LA Virtual Admy'!H17+'Table 5C2 - LA Virtual Admy'!I17)</f>
        <v>-18264.221098026555</v>
      </c>
      <c r="Q20" s="325">
        <f>-'Table 5C3 - LA Connections EBR'!H17-'Table 5C3 - LA Connections EBR'!I17</f>
        <v>-42616.515895395307</v>
      </c>
      <c r="R20" s="325">
        <f>-'Table 5D1 - New Vision'!G20</f>
        <v>0</v>
      </c>
      <c r="S20" s="325">
        <f>-'Table 5D2 - Glencoe'!G20</f>
        <v>0</v>
      </c>
      <c r="T20" s="325">
        <f>-'Table 5D3 - International'!G20</f>
        <v>0</v>
      </c>
      <c r="U20" s="325">
        <f>-'Table 5D4 - Avoyelles'!G20</f>
        <v>0</v>
      </c>
      <c r="V20" s="325">
        <f>-'Table 5D5 - Delhi'!G20</f>
        <v>0</v>
      </c>
      <c r="W20" s="325">
        <f>-'Table 5D6 - Milestone'!G20</f>
        <v>0</v>
      </c>
      <c r="X20" s="325">
        <f>-'Table 5D7 - Max'!G20</f>
        <v>0</v>
      </c>
      <c r="Y20" s="325">
        <f>-'Table 5D8 - Belle Chasse'!I20</f>
        <v>0</v>
      </c>
      <c r="Z20" s="325">
        <f>-'Table 5A4_LSDVI'!H20</f>
        <v>0</v>
      </c>
      <c r="AA20" s="325">
        <f>-'Table 5A5_SSD'!H20</f>
        <v>0</v>
      </c>
      <c r="AB20" s="325">
        <f>-'Table 5F Scholarships'!E24</f>
        <v>0</v>
      </c>
      <c r="AC20" s="579">
        <f t="shared" si="5"/>
        <v>11826724</v>
      </c>
      <c r="AD20" s="320">
        <f t="shared" si="6"/>
        <v>985560</v>
      </c>
      <c r="AE20" s="320">
        <f>'Table 4A Stipends'!G17</f>
        <v>0</v>
      </c>
      <c r="AF20" s="320">
        <f t="shared" si="7"/>
        <v>11826724</v>
      </c>
      <c r="AH20" s="1599">
        <f>('Table 8 2.1.12 MFP Funded'!G17*'Table 3 Levels 1&amp;2'!AP21)+'Table 2_State Distrib and Adjs'!F20</f>
        <v>11826729.350095352</v>
      </c>
      <c r="AI20" s="1003">
        <f t="shared" si="8"/>
        <v>-5.3500953521579504</v>
      </c>
      <c r="AJ20" s="292">
        <f t="shared" si="9"/>
        <v>-4.5237319581637466E-7</v>
      </c>
    </row>
    <row r="21" spans="1:37">
      <c r="A21" s="102">
        <v>15</v>
      </c>
      <c r="B21" s="312" t="s">
        <v>116</v>
      </c>
      <c r="C21" s="329">
        <f>'Table 3 Levels 1&amp;2'!AO22</f>
        <v>21711191.832992002</v>
      </c>
      <c r="D21" s="369">
        <v>0</v>
      </c>
      <c r="E21" s="369">
        <v>0</v>
      </c>
      <c r="F21" s="369">
        <f t="shared" si="3"/>
        <v>0</v>
      </c>
      <c r="G21" s="329">
        <f t="shared" si="2"/>
        <v>0</v>
      </c>
      <c r="H21" s="369">
        <f t="shared" si="4"/>
        <v>0</v>
      </c>
      <c r="I21" s="369"/>
      <c r="J21" s="369">
        <f>-'Table 5C1A-Madison Prep'!H21</f>
        <v>0</v>
      </c>
      <c r="K21" s="369">
        <f>-'Table 5C1B-DArbonne'!H21</f>
        <v>0</v>
      </c>
      <c r="L21" s="369">
        <f>-'Table 5C1C-Intl_VIBE'!H21</f>
        <v>0</v>
      </c>
      <c r="M21" s="369">
        <f>-'Table 5C1D-NOMMA'!H21</f>
        <v>0</v>
      </c>
      <c r="N21" s="369">
        <f>-'Table 5C1E-LFNO'!H21</f>
        <v>0</v>
      </c>
      <c r="O21" s="369">
        <f>-'Table 5C1F-Lake Charles Charter'!H21</f>
        <v>0</v>
      </c>
      <c r="P21" s="332">
        <f>-('Table 5C2 - LA Virtual Admy'!H18+'Table 5C2 - LA Virtual Admy'!I18)</f>
        <v>-23931.137076871866</v>
      </c>
      <c r="Q21" s="332">
        <f>-'Table 5C3 - LA Connections EBR'!H18-'Table 5C3 - LA Connections EBR'!I18</f>
        <v>-11965.568538435933</v>
      </c>
      <c r="R21" s="332">
        <f>-'Table 5D1 - New Vision'!G21</f>
        <v>0</v>
      </c>
      <c r="S21" s="332">
        <f>-'Table 5D2 - Glencoe'!G21</f>
        <v>0</v>
      </c>
      <c r="T21" s="332">
        <f>-'Table 5D3 - International'!G21</f>
        <v>0</v>
      </c>
      <c r="U21" s="332">
        <f>-'Table 5D4 - Avoyelles'!G21</f>
        <v>0</v>
      </c>
      <c r="V21" s="332">
        <f>-'Table 5D5 - Delhi'!G21</f>
        <v>0</v>
      </c>
      <c r="W21" s="332">
        <f>-'Table 5D6 - Milestone'!G21</f>
        <v>0</v>
      </c>
      <c r="X21" s="332">
        <f>-'Table 5D7 - Max'!G21</f>
        <v>0</v>
      </c>
      <c r="Y21" s="332">
        <f>-'Table 5D8 - Belle Chasse'!I21</f>
        <v>0</v>
      </c>
      <c r="Z21" s="332">
        <f>-'Table 5A4_LSDVI'!H21</f>
        <v>0</v>
      </c>
      <c r="AA21" s="332">
        <f>-'Table 5A5_SSD'!H21</f>
        <v>-11965.568538435933</v>
      </c>
      <c r="AB21" s="332">
        <f>-'Table 5F Scholarships'!E25</f>
        <v>0</v>
      </c>
      <c r="AC21" s="580">
        <f t="shared" si="5"/>
        <v>21663330</v>
      </c>
      <c r="AD21" s="329">
        <f t="shared" si="6"/>
        <v>1805278</v>
      </c>
      <c r="AE21" s="329">
        <f>'Table 4A Stipends'!G18</f>
        <v>0</v>
      </c>
      <c r="AF21" s="329">
        <f t="shared" si="7"/>
        <v>21663330</v>
      </c>
      <c r="AH21" s="1599">
        <f>('Table 8 2.1.12 MFP Funded'!G18*'Table 3 Levels 1&amp;2'!AP22)+'Table 2_State Distrib and Adjs'!F21</f>
        <v>21663330.291337568</v>
      </c>
      <c r="AI21" s="1003">
        <f t="shared" si="8"/>
        <v>-0.29133756831288338</v>
      </c>
      <c r="AJ21" s="292">
        <f t="shared" si="9"/>
        <v>-1.3448420182624432E-8</v>
      </c>
    </row>
    <row r="22" spans="1:37">
      <c r="A22" s="101">
        <v>16</v>
      </c>
      <c r="B22" s="311" t="s">
        <v>117</v>
      </c>
      <c r="C22" s="320">
        <f>'Table 3 Levels 1&amp;2'!AO23</f>
        <v>10472884.838</v>
      </c>
      <c r="D22" s="368">
        <v>-22117.081259085589</v>
      </c>
      <c r="E22" s="368">
        <v>-5699.219845478463</v>
      </c>
      <c r="F22" s="368">
        <f t="shared" si="3"/>
        <v>-27816.301104564052</v>
      </c>
      <c r="G22" s="320">
        <f t="shared" si="2"/>
        <v>0</v>
      </c>
      <c r="H22" s="368">
        <f t="shared" si="4"/>
        <v>-27816.301104564052</v>
      </c>
      <c r="I22" s="368"/>
      <c r="J22" s="368">
        <f>-'Table 5C1A-Madison Prep'!H22</f>
        <v>0</v>
      </c>
      <c r="K22" s="368">
        <f>-'Table 5C1B-DArbonne'!H22</f>
        <v>0</v>
      </c>
      <c r="L22" s="368">
        <f>-'Table 5C1C-Intl_VIBE'!H22</f>
        <v>0</v>
      </c>
      <c r="M22" s="368">
        <f>-'Table 5C1D-NOMMA'!H22</f>
        <v>0</v>
      </c>
      <c r="N22" s="368">
        <f>-'Table 5C1E-LFNO'!H22</f>
        <v>0</v>
      </c>
      <c r="O22" s="368">
        <f>-'Table 5C1F-Lake Charles Charter'!H22</f>
        <v>0</v>
      </c>
      <c r="P22" s="325">
        <f>-('Table 5C2 - LA Virtual Admy'!H19+'Table 5C2 - LA Virtual Admy'!I19)</f>
        <v>-28443.701980363483</v>
      </c>
      <c r="Q22" s="325">
        <f>-'Table 5C3 - LA Connections EBR'!H19-'Table 5C3 - LA Connections EBR'!I19</f>
        <v>-2187.9770754125757</v>
      </c>
      <c r="R22" s="325">
        <f>-'Table 5D1 - New Vision'!G22</f>
        <v>0</v>
      </c>
      <c r="S22" s="325">
        <f>-'Table 5D2 - Glencoe'!G22</f>
        <v>0</v>
      </c>
      <c r="T22" s="325">
        <f>-'Table 5D3 - International'!G22</f>
        <v>0</v>
      </c>
      <c r="U22" s="325">
        <f>-'Table 5D4 - Avoyelles'!G22</f>
        <v>0</v>
      </c>
      <c r="V22" s="325">
        <f>-'Table 5D5 - Delhi'!G22</f>
        <v>0</v>
      </c>
      <c r="W22" s="325">
        <f>-'Table 5D6 - Milestone'!G22</f>
        <v>0</v>
      </c>
      <c r="X22" s="325">
        <f>-'Table 5D7 - Max'!G22</f>
        <v>0</v>
      </c>
      <c r="Y22" s="325">
        <f>-'Table 5D8 - Belle Chasse'!I22</f>
        <v>0</v>
      </c>
      <c r="Z22" s="325">
        <f>-'Table 5A4_LSDVI'!H22</f>
        <v>0</v>
      </c>
      <c r="AA22" s="325">
        <f>-'Table 5A5_SSD'!H22</f>
        <v>0</v>
      </c>
      <c r="AB22" s="325">
        <f>-'Table 5F Scholarships'!E26</f>
        <v>0</v>
      </c>
      <c r="AC22" s="579">
        <f t="shared" si="5"/>
        <v>10414437</v>
      </c>
      <c r="AD22" s="320">
        <f t="shared" si="6"/>
        <v>867870</v>
      </c>
      <c r="AE22" s="320">
        <f>'Table 4A Stipends'!G19</f>
        <v>10000</v>
      </c>
      <c r="AF22" s="320">
        <f t="shared" si="7"/>
        <v>10424437</v>
      </c>
      <c r="AH22" s="1599">
        <f>('Table 8 2.1.12 MFP Funded'!G19*'Table 3 Levels 1&amp;2'!AP23)+'Table 2_State Distrib and Adjs'!F22</f>
        <v>10414439.669602351</v>
      </c>
      <c r="AI22" s="1003">
        <f t="shared" si="8"/>
        <v>-2.6696023512631655</v>
      </c>
      <c r="AJ22" s="292">
        <f t="shared" si="9"/>
        <v>-2.56336628369474E-7</v>
      </c>
    </row>
    <row r="23" spans="1:37">
      <c r="A23" s="101">
        <v>17</v>
      </c>
      <c r="B23" s="311" t="s">
        <v>118</v>
      </c>
      <c r="C23" s="320">
        <f>'Table 3 Levels 1&amp;2'!AO24</f>
        <v>183217780.48914701</v>
      </c>
      <c r="D23" s="368">
        <v>-47632.868546129554</v>
      </c>
      <c r="E23" s="368">
        <v>-93515.353256418137</v>
      </c>
      <c r="F23" s="368">
        <f t="shared" si="3"/>
        <v>-141148.22180254769</v>
      </c>
      <c r="G23" s="320">
        <f t="shared" si="2"/>
        <v>0</v>
      </c>
      <c r="H23" s="368">
        <f t="shared" si="4"/>
        <v>-141148.22180254769</v>
      </c>
      <c r="I23" s="368">
        <f>-'Table 5B2_RSD_LA'!H18</f>
        <v>-12606029.648745883</v>
      </c>
      <c r="J23" s="368">
        <f>-'Table 5C1A-Madison Prep'!H23</f>
        <v>-791541.32159815112</v>
      </c>
      <c r="K23" s="368">
        <f>-'Table 5C1B-DArbonne'!H23</f>
        <v>0</v>
      </c>
      <c r="L23" s="368">
        <f>-'Table 5C1C-Intl_VIBE'!H23</f>
        <v>0</v>
      </c>
      <c r="M23" s="368">
        <f>-'Table 5C1D-NOMMA'!H23</f>
        <v>0</v>
      </c>
      <c r="N23" s="368">
        <f>-'Table 5C1E-LFNO'!H23</f>
        <v>0</v>
      </c>
      <c r="O23" s="368">
        <f>-'Table 5C1F-Lake Charles Charter'!H23</f>
        <v>0</v>
      </c>
      <c r="P23" s="325">
        <f>-('Table 5C2 - LA Virtual Admy'!H20+'Table 5C2 - LA Virtual Admy'!I20)</f>
        <v>-322479.79768813559</v>
      </c>
      <c r="Q23" s="325">
        <f>-'Table 5C3 - LA Connections EBR'!H20-'Table 5C3 - LA Connections EBR'!I20</f>
        <v>-167521.97282500551</v>
      </c>
      <c r="R23" s="325">
        <f>-'Table 5D1 - New Vision'!G23</f>
        <v>0</v>
      </c>
      <c r="S23" s="325">
        <f>-'Table 5D2 - Glencoe'!G23</f>
        <v>0</v>
      </c>
      <c r="T23" s="325">
        <f>-'Table 5D3 - International'!G23</f>
        <v>0</v>
      </c>
      <c r="U23" s="325">
        <f>-'Table 5D4 - Avoyelles'!G23</f>
        <v>0</v>
      </c>
      <c r="V23" s="325">
        <f>-'Table 5D5 - Delhi'!G23</f>
        <v>0</v>
      </c>
      <c r="W23" s="325">
        <f>-'Table 5D6 - Milestone'!G23</f>
        <v>0</v>
      </c>
      <c r="X23" s="325">
        <f>-'Table 5D7 - Max'!G23</f>
        <v>0</v>
      </c>
      <c r="Y23" s="325">
        <f>-'Table 5D8 - Belle Chasse'!I23</f>
        <v>0</v>
      </c>
      <c r="Z23" s="325">
        <f>-'Table 5A4_LSDVI'!H23</f>
        <v>-201026.36739000661</v>
      </c>
      <c r="AA23" s="325">
        <f>-'Table 5A5_SSD'!H23</f>
        <v>-71196.838450627343</v>
      </c>
      <c r="AB23" s="325">
        <f>-'Table 5F Scholarships'!E27</f>
        <v>0</v>
      </c>
      <c r="AC23" s="582">
        <f t="shared" si="5"/>
        <v>168916836</v>
      </c>
      <c r="AD23" s="320">
        <f t="shared" si="6"/>
        <v>14076403</v>
      </c>
      <c r="AE23" s="320">
        <f>'Table 4A Stipends'!G20</f>
        <v>54000</v>
      </c>
      <c r="AF23" s="368">
        <f t="shared" si="7"/>
        <v>168970836</v>
      </c>
      <c r="AH23" s="1599">
        <f>(('Table 8 2.1.12 MFP Funded'!G20-640)*'Table 3 Levels 1&amp;2'!AP24)+'Table 2_State Distrib and Adjs'!F23</f>
        <v>168917562.19114316</v>
      </c>
      <c r="AI23" s="1003">
        <f t="shared" si="8"/>
        <v>-726.19114315509796</v>
      </c>
      <c r="AJ23" s="292">
        <f t="shared" si="9"/>
        <v>-4.2990860970001278E-6</v>
      </c>
      <c r="AK23" t="s">
        <v>1333</v>
      </c>
    </row>
    <row r="24" spans="1:37">
      <c r="A24" s="101">
        <v>18</v>
      </c>
      <c r="B24" s="311" t="s">
        <v>119</v>
      </c>
      <c r="C24" s="320">
        <f>'Table 3 Levels 1&amp;2'!AO25</f>
        <v>7604117.3686814159</v>
      </c>
      <c r="D24" s="368">
        <v>-3330.429231440758</v>
      </c>
      <c r="E24" s="368">
        <v>50881.31949760954</v>
      </c>
      <c r="F24" s="368">
        <f t="shared" si="3"/>
        <v>47550.890266168783</v>
      </c>
      <c r="G24" s="320">
        <f t="shared" si="2"/>
        <v>47550.890266168783</v>
      </c>
      <c r="H24" s="368">
        <f t="shared" si="4"/>
        <v>0</v>
      </c>
      <c r="I24" s="368"/>
      <c r="J24" s="368">
        <f>-'Table 5C1A-Madison Prep'!H24</f>
        <v>0</v>
      </c>
      <c r="K24" s="368">
        <f>-'Table 5C1B-DArbonne'!H24</f>
        <v>0</v>
      </c>
      <c r="L24" s="368">
        <f>-'Table 5C1C-Intl_VIBE'!H24</f>
        <v>0</v>
      </c>
      <c r="M24" s="368">
        <f>-'Table 5C1D-NOMMA'!H24</f>
        <v>0</v>
      </c>
      <c r="N24" s="368">
        <f>-'Table 5C1E-LFNO'!H24</f>
        <v>0</v>
      </c>
      <c r="O24" s="368">
        <f>-'Table 5C1F-Lake Charles Charter'!H24</f>
        <v>0</v>
      </c>
      <c r="P24" s="325">
        <f>-('Table 5C2 - LA Virtual Admy'!H21+'Table 5C2 - LA Virtual Admy'!I21)</f>
        <v>-6644.0098063231444</v>
      </c>
      <c r="Q24" s="325">
        <f>-'Table 5C3 - LA Connections EBR'!H21-'Table 5C3 - LA Connections EBR'!I21</f>
        <v>0</v>
      </c>
      <c r="R24" s="325">
        <f>-'Table 5D1 - New Vision'!G24</f>
        <v>0</v>
      </c>
      <c r="S24" s="325">
        <f>-'Table 5D2 - Glencoe'!G24</f>
        <v>0</v>
      </c>
      <c r="T24" s="325">
        <f>-'Table 5D3 - International'!G24</f>
        <v>0</v>
      </c>
      <c r="U24" s="325">
        <f>-'Table 5D4 - Avoyelles'!G24</f>
        <v>0</v>
      </c>
      <c r="V24" s="325">
        <f>-'Table 5D5 - Delhi'!G24</f>
        <v>-63250.833504646769</v>
      </c>
      <c r="W24" s="325">
        <f>-'Table 5D6 - Milestone'!G24</f>
        <v>0</v>
      </c>
      <c r="X24" s="325">
        <f>-'Table 5D7 - Max'!G24</f>
        <v>0</v>
      </c>
      <c r="Y24" s="325">
        <f>-'Table 5D8 - Belle Chasse'!I24</f>
        <v>0</v>
      </c>
      <c r="Z24" s="325">
        <f>-'Table 5A4_LSDVI'!H24</f>
        <v>0</v>
      </c>
      <c r="AA24" s="325">
        <f>-'Table 5A5_SSD'!H24</f>
        <v>0</v>
      </c>
      <c r="AB24" s="325">
        <f>-'Table 5F Scholarships'!E28</f>
        <v>0</v>
      </c>
      <c r="AC24" s="582">
        <f t="shared" si="5"/>
        <v>7581773</v>
      </c>
      <c r="AD24" s="320">
        <f t="shared" si="6"/>
        <v>631814</v>
      </c>
      <c r="AE24" s="320">
        <f>'Table 4A Stipends'!G21</f>
        <v>8000</v>
      </c>
      <c r="AF24" s="368">
        <f t="shared" si="7"/>
        <v>7589773</v>
      </c>
      <c r="AH24" s="1599">
        <f>('Table 8 2.1.12 MFP Funded'!G21*'Table 3 Levels 1&amp;2'!AP25)+'Table 2_State Distrib and Adjs'!F24</f>
        <v>7578615.6030039201</v>
      </c>
      <c r="AI24" s="1003">
        <f t="shared" si="8"/>
        <v>3157.3969960799441</v>
      </c>
      <c r="AJ24" s="292">
        <f t="shared" si="9"/>
        <v>4.166192298799867E-4</v>
      </c>
    </row>
    <row r="25" spans="1:37">
      <c r="A25" s="101">
        <v>19</v>
      </c>
      <c r="B25" s="311" t="s">
        <v>120</v>
      </c>
      <c r="C25" s="320">
        <f>'Table 3 Levels 1&amp;2'!AO26</f>
        <v>11978768.294307999</v>
      </c>
      <c r="D25" s="368">
        <v>18357.993118527462</v>
      </c>
      <c r="E25" s="368">
        <v>-43538.03164668387</v>
      </c>
      <c r="F25" s="368">
        <f t="shared" si="3"/>
        <v>-25180.038528156409</v>
      </c>
      <c r="G25" s="320">
        <f t="shared" si="2"/>
        <v>0</v>
      </c>
      <c r="H25" s="368">
        <f t="shared" si="4"/>
        <v>-25180.038528156409</v>
      </c>
      <c r="I25" s="368"/>
      <c r="J25" s="368">
        <f>-'Table 5C1A-Madison Prep'!H25</f>
        <v>0</v>
      </c>
      <c r="K25" s="368">
        <f>-'Table 5C1B-DArbonne'!H25</f>
        <v>0</v>
      </c>
      <c r="L25" s="368">
        <f>-'Table 5C1C-Intl_VIBE'!H25</f>
        <v>0</v>
      </c>
      <c r="M25" s="368">
        <f>-'Table 5C1D-NOMMA'!H25</f>
        <v>0</v>
      </c>
      <c r="N25" s="368">
        <f>-'Table 5C1E-LFNO'!H25</f>
        <v>0</v>
      </c>
      <c r="O25" s="368">
        <f>-'Table 5C1F-Lake Charles Charter'!H25</f>
        <v>0</v>
      </c>
      <c r="P25" s="325">
        <f>-('Table 5C2 - LA Virtual Admy'!H22+'Table 5C2 - LA Virtual Admy'!I22)</f>
        <v>-48996.250230298559</v>
      </c>
      <c r="Q25" s="325">
        <f>-'Table 5C3 - LA Connections EBR'!H22-'Table 5C3 - LA Connections EBR'!I22</f>
        <v>-6124.5312787873199</v>
      </c>
      <c r="R25" s="325">
        <f>-'Table 5D1 - New Vision'!G25</f>
        <v>0</v>
      </c>
      <c r="S25" s="325">
        <f>-'Table 5D2 - Glencoe'!G25</f>
        <v>0</v>
      </c>
      <c r="T25" s="325">
        <f>-'Table 5D3 - International'!G25</f>
        <v>0</v>
      </c>
      <c r="U25" s="325">
        <f>-'Table 5D4 - Avoyelles'!G25</f>
        <v>0</v>
      </c>
      <c r="V25" s="325">
        <f>-'Table 5D5 - Delhi'!G25</f>
        <v>0</v>
      </c>
      <c r="W25" s="325">
        <f>-'Table 5D6 - Milestone'!G25</f>
        <v>0</v>
      </c>
      <c r="X25" s="325">
        <f>-'Table 5D7 - Max'!G25</f>
        <v>0</v>
      </c>
      <c r="Y25" s="325">
        <f>-'Table 5D8 - Belle Chasse'!I25</f>
        <v>0</v>
      </c>
      <c r="Z25" s="325">
        <f>-'Table 5A4_LSDVI'!H25</f>
        <v>-24498.125115149283</v>
      </c>
      <c r="AA25" s="325">
        <f>-'Table 5A5_SSD'!H25</f>
        <v>-85743.437903022495</v>
      </c>
      <c r="AB25" s="325">
        <f>-'Table 5F Scholarships'!E29</f>
        <v>0</v>
      </c>
      <c r="AC25" s="582">
        <f t="shared" si="5"/>
        <v>11788226</v>
      </c>
      <c r="AD25" s="320">
        <f t="shared" si="6"/>
        <v>982352</v>
      </c>
      <c r="AE25" s="320">
        <f>'Table 4A Stipends'!G22</f>
        <v>0</v>
      </c>
      <c r="AF25" s="368">
        <f t="shared" si="7"/>
        <v>11788226</v>
      </c>
      <c r="AH25" s="1599">
        <f>('Table 8 2.1.12 MFP Funded'!G22*'Table 3 Levels 1&amp;2'!AP26)+'Table 2_State Distrib and Adjs'!F25</f>
        <v>11788237.15969277</v>
      </c>
      <c r="AI25" s="1003">
        <f t="shared" si="8"/>
        <v>-11.159692769870162</v>
      </c>
      <c r="AJ25" s="292">
        <f t="shared" si="9"/>
        <v>-9.466803745710364E-7</v>
      </c>
    </row>
    <row r="26" spans="1:37">
      <c r="A26" s="102">
        <v>20</v>
      </c>
      <c r="B26" s="312" t="s">
        <v>121</v>
      </c>
      <c r="C26" s="329">
        <f>'Table 3 Levels 1&amp;2'!AO27</f>
        <v>35076113.406792</v>
      </c>
      <c r="D26" s="369">
        <v>0</v>
      </c>
      <c r="E26" s="369">
        <v>0</v>
      </c>
      <c r="F26" s="369">
        <f t="shared" si="3"/>
        <v>0</v>
      </c>
      <c r="G26" s="329">
        <f t="shared" si="2"/>
        <v>0</v>
      </c>
      <c r="H26" s="369">
        <f t="shared" si="4"/>
        <v>0</v>
      </c>
      <c r="I26" s="369"/>
      <c r="J26" s="369">
        <f>-'Table 5C1A-Madison Prep'!H26</f>
        <v>0</v>
      </c>
      <c r="K26" s="369">
        <f>-'Table 5C1B-DArbonne'!H26</f>
        <v>0</v>
      </c>
      <c r="L26" s="369">
        <f>-'Table 5C1C-Intl_VIBE'!H26</f>
        <v>0</v>
      </c>
      <c r="M26" s="369">
        <f>-'Table 5C1D-NOMMA'!H26</f>
        <v>0</v>
      </c>
      <c r="N26" s="369">
        <f>-'Table 5C1E-LFNO'!H26</f>
        <v>0</v>
      </c>
      <c r="O26" s="369">
        <f>-'Table 5C1F-Lake Charles Charter'!H26</f>
        <v>0</v>
      </c>
      <c r="P26" s="332">
        <f>-('Table 5C2 - LA Virtual Admy'!H23+'Table 5C2 - LA Virtual Admy'!I23)</f>
        <v>-48223.599875981439</v>
      </c>
      <c r="Q26" s="332">
        <f>-'Table 5C3 - LA Connections EBR'!H23-'Table 5C3 - LA Connections EBR'!I23</f>
        <v>-6027.9499844976799</v>
      </c>
      <c r="R26" s="332">
        <f>-'Table 5D1 - New Vision'!G26</f>
        <v>0</v>
      </c>
      <c r="S26" s="332">
        <f>-'Table 5D2 - Glencoe'!G26</f>
        <v>0</v>
      </c>
      <c r="T26" s="332">
        <f>-'Table 5D3 - International'!G26</f>
        <v>0</v>
      </c>
      <c r="U26" s="332">
        <f>-'Table 5D4 - Avoyelles'!G26</f>
        <v>0</v>
      </c>
      <c r="V26" s="332">
        <f>-'Table 5D5 - Delhi'!G26</f>
        <v>0</v>
      </c>
      <c r="W26" s="332">
        <f>-'Table 5D6 - Milestone'!G26</f>
        <v>0</v>
      </c>
      <c r="X26" s="332">
        <f>-'Table 5D7 - Max'!G26</f>
        <v>0</v>
      </c>
      <c r="Y26" s="332">
        <f>-'Table 5D8 - Belle Chasse'!I26</f>
        <v>0</v>
      </c>
      <c r="Z26" s="332">
        <f>-'Table 5A4_LSDVI'!H26</f>
        <v>-24111.79993799072</v>
      </c>
      <c r="AA26" s="332">
        <f>-'Table 5A5_SSD'!H26</f>
        <v>-24111.79993799072</v>
      </c>
      <c r="AB26" s="332">
        <f>-'Table 5F Scholarships'!E30</f>
        <v>0</v>
      </c>
      <c r="AC26" s="583">
        <f t="shared" si="5"/>
        <v>34973638</v>
      </c>
      <c r="AD26" s="329">
        <f t="shared" si="6"/>
        <v>2914470</v>
      </c>
      <c r="AE26" s="329">
        <f>'Table 4A Stipends'!G23</f>
        <v>0</v>
      </c>
      <c r="AF26" s="369">
        <f t="shared" si="7"/>
        <v>34973638</v>
      </c>
      <c r="AH26" s="1599">
        <f>('Table 8 2.1.12 MFP Funded'!G23*'Table 3 Levels 1&amp;2'!AP27)+'Table 2_State Distrib and Adjs'!F26</f>
        <v>34973639.798282728</v>
      </c>
      <c r="AI26" s="1003">
        <f t="shared" si="8"/>
        <v>-1.798282727599144</v>
      </c>
      <c r="AJ26" s="292">
        <f t="shared" si="9"/>
        <v>-5.1418232073386973E-8</v>
      </c>
    </row>
    <row r="27" spans="1:37">
      <c r="A27" s="101">
        <v>21</v>
      </c>
      <c r="B27" s="311" t="s">
        <v>122</v>
      </c>
      <c r="C27" s="320">
        <f>'Table 3 Levels 1&amp;2'!AO28</f>
        <v>19219915.395076312</v>
      </c>
      <c r="D27" s="368">
        <v>18633.63105771839</v>
      </c>
      <c r="E27" s="368">
        <v>0</v>
      </c>
      <c r="F27" s="368">
        <f t="shared" si="3"/>
        <v>18633.63105771839</v>
      </c>
      <c r="G27" s="320">
        <f t="shared" si="2"/>
        <v>18633.63105771839</v>
      </c>
      <c r="H27" s="368">
        <f t="shared" si="4"/>
        <v>0</v>
      </c>
      <c r="I27" s="368"/>
      <c r="J27" s="368">
        <f>-'Table 5C1A-Madison Prep'!H27</f>
        <v>0</v>
      </c>
      <c r="K27" s="368">
        <f>-'Table 5C1B-DArbonne'!H27</f>
        <v>0</v>
      </c>
      <c r="L27" s="368">
        <f>-'Table 5C1C-Intl_VIBE'!H27</f>
        <v>0</v>
      </c>
      <c r="M27" s="368">
        <f>-'Table 5C1D-NOMMA'!H27</f>
        <v>0</v>
      </c>
      <c r="N27" s="368">
        <f>-'Table 5C1E-LFNO'!H27</f>
        <v>0</v>
      </c>
      <c r="O27" s="368">
        <f>-'Table 5C1F-Lake Charles Charter'!H27</f>
        <v>0</v>
      </c>
      <c r="P27" s="325">
        <f>-('Table 5C2 - LA Virtual Admy'!H24+'Table 5C2 - LA Virtual Admy'!I24)</f>
        <v>-18987.390273274523</v>
      </c>
      <c r="Q27" s="325">
        <f>-'Table 5C3 - LA Connections EBR'!H24-'Table 5C3 - LA Connections EBR'!I24</f>
        <v>-56962.170819823565</v>
      </c>
      <c r="R27" s="325">
        <f>-'Table 5D1 - New Vision'!G27</f>
        <v>0</v>
      </c>
      <c r="S27" s="325">
        <f>-'Table 5D2 - Glencoe'!G27</f>
        <v>0</v>
      </c>
      <c r="T27" s="325">
        <f>-'Table 5D3 - International'!G27</f>
        <v>0</v>
      </c>
      <c r="U27" s="325">
        <f>-'Table 5D4 - Avoyelles'!G27</f>
        <v>0</v>
      </c>
      <c r="V27" s="325">
        <f>-'Table 5D5 - Delhi'!G27</f>
        <v>-543384.91626527451</v>
      </c>
      <c r="W27" s="325">
        <f>-'Table 5D6 - Milestone'!G27</f>
        <v>0</v>
      </c>
      <c r="X27" s="325">
        <f>-'Table 5D7 - Max'!G27</f>
        <v>0</v>
      </c>
      <c r="Y27" s="325">
        <f>-'Table 5D8 - Belle Chasse'!I27</f>
        <v>0</v>
      </c>
      <c r="Z27" s="325">
        <f>-'Table 5A4_LSDVI'!H27</f>
        <v>0</v>
      </c>
      <c r="AA27" s="325">
        <f>-'Table 5A5_SSD'!H27</f>
        <v>-6329.1300910915079</v>
      </c>
      <c r="AB27" s="325">
        <f>-'Table 5F Scholarships'!E31</f>
        <v>0</v>
      </c>
      <c r="AC27" s="582">
        <f t="shared" si="5"/>
        <v>18612885</v>
      </c>
      <c r="AD27" s="320">
        <f t="shared" si="6"/>
        <v>1551074</v>
      </c>
      <c r="AE27" s="320">
        <f>'Table 4A Stipends'!G24</f>
        <v>0</v>
      </c>
      <c r="AF27" s="368">
        <f t="shared" si="7"/>
        <v>18612885</v>
      </c>
      <c r="AH27" s="1599">
        <f>('Table 8 2.1.12 MFP Funded'!G24*'Table 3 Levels 1&amp;2'!AP28)+'Table 2_State Distrib and Adjs'!F27</f>
        <v>18605898.749798402</v>
      </c>
      <c r="AI27" s="1003">
        <f t="shared" si="8"/>
        <v>6986.2502015978098</v>
      </c>
      <c r="AJ27" s="292">
        <f t="shared" si="9"/>
        <v>3.7548576908565123E-4</v>
      </c>
    </row>
    <row r="28" spans="1:37">
      <c r="A28" s="101">
        <v>22</v>
      </c>
      <c r="B28" s="311" t="s">
        <v>123</v>
      </c>
      <c r="C28" s="320">
        <f>'Table 3 Levels 1&amp;2'!AO29</f>
        <v>21966422.041484002</v>
      </c>
      <c r="D28" s="368">
        <v>22200.776597304604</v>
      </c>
      <c r="E28" s="368">
        <v>2348.1635514570426</v>
      </c>
      <c r="F28" s="368">
        <f t="shared" si="3"/>
        <v>24548.940148761649</v>
      </c>
      <c r="G28" s="320">
        <f t="shared" si="2"/>
        <v>24548.940148761649</v>
      </c>
      <c r="H28" s="368">
        <f t="shared" si="4"/>
        <v>0</v>
      </c>
      <c r="I28" s="368"/>
      <c r="J28" s="368">
        <f>-'Table 5C1A-Madison Prep'!H28</f>
        <v>0</v>
      </c>
      <c r="K28" s="368">
        <f>-'Table 5C1B-DArbonne'!H28</f>
        <v>0</v>
      </c>
      <c r="L28" s="368">
        <f>-'Table 5C1C-Intl_VIBE'!H28</f>
        <v>0</v>
      </c>
      <c r="M28" s="368">
        <f>-'Table 5C1D-NOMMA'!H28</f>
        <v>0</v>
      </c>
      <c r="N28" s="368">
        <f>-'Table 5C1E-LFNO'!H28</f>
        <v>0</v>
      </c>
      <c r="O28" s="368">
        <f>-'Table 5C1F-Lake Charles Charter'!H28</f>
        <v>0</v>
      </c>
      <c r="P28" s="325">
        <f>-('Table 5C2 - LA Virtual Admy'!H25+'Table 5C2 - LA Virtual Admy'!I25)</f>
        <v>-13390.380007000305</v>
      </c>
      <c r="Q28" s="325">
        <f>-'Table 5C3 - LA Connections EBR'!H25-'Table 5C3 - LA Connections EBR'!I25</f>
        <v>-53561.520028001221</v>
      </c>
      <c r="R28" s="325">
        <f>-'Table 5D1 - New Vision'!G28</f>
        <v>0</v>
      </c>
      <c r="S28" s="325">
        <f>-'Table 5D2 - Glencoe'!G28</f>
        <v>0</v>
      </c>
      <c r="T28" s="325">
        <f>-'Table 5D3 - International'!G28</f>
        <v>0</v>
      </c>
      <c r="U28" s="325">
        <f>-'Table 5D4 - Avoyelles'!G28</f>
        <v>0</v>
      </c>
      <c r="V28" s="325">
        <f>-'Table 5D5 - Delhi'!G28</f>
        <v>0</v>
      </c>
      <c r="W28" s="325">
        <f>-'Table 5D6 - Milestone'!G28</f>
        <v>0</v>
      </c>
      <c r="X28" s="325">
        <f>-'Table 5D7 - Max'!G28</f>
        <v>0</v>
      </c>
      <c r="Y28" s="325">
        <f>-'Table 5D8 - Belle Chasse'!I28</f>
        <v>0</v>
      </c>
      <c r="Z28" s="325">
        <f>-'Table 5A4_LSDVI'!H28</f>
        <v>0</v>
      </c>
      <c r="AA28" s="325">
        <f>-'Table 5A5_SSD'!H28</f>
        <v>-26780.760014000611</v>
      </c>
      <c r="AB28" s="325">
        <f>-'Table 5F Scholarships'!E32</f>
        <v>0</v>
      </c>
      <c r="AC28" s="582">
        <f t="shared" si="5"/>
        <v>21897238</v>
      </c>
      <c r="AD28" s="320">
        <f t="shared" si="6"/>
        <v>1824770</v>
      </c>
      <c r="AE28" s="320">
        <f>'Table 4A Stipends'!G25</f>
        <v>0</v>
      </c>
      <c r="AF28" s="368">
        <f t="shared" si="7"/>
        <v>21897238</v>
      </c>
      <c r="AH28" s="1599">
        <f>('Table 8 2.1.12 MFP Funded'!G25*'Table 3 Levels 1&amp;2'!AP29)+'Table 2_State Distrib and Adjs'!F28</f>
        <v>21897240.4395478</v>
      </c>
      <c r="AI28" s="1003">
        <f t="shared" si="8"/>
        <v>-2.4395477995276451</v>
      </c>
      <c r="AJ28" s="292">
        <f t="shared" si="9"/>
        <v>-1.114089150303007E-7</v>
      </c>
    </row>
    <row r="29" spans="1:37">
      <c r="A29" s="101">
        <v>23</v>
      </c>
      <c r="B29" s="311" t="s">
        <v>124</v>
      </c>
      <c r="C29" s="320">
        <f>'Table 3 Levels 1&amp;2'!AO30</f>
        <v>73478072.15730764</v>
      </c>
      <c r="D29" s="368">
        <v>-8266.5055843195296</v>
      </c>
      <c r="E29" s="368">
        <v>7872.6680110532106</v>
      </c>
      <c r="F29" s="368">
        <f t="shared" si="3"/>
        <v>-393.83757326631894</v>
      </c>
      <c r="G29" s="320">
        <f t="shared" si="2"/>
        <v>0</v>
      </c>
      <c r="H29" s="368">
        <f t="shared" si="4"/>
        <v>-393.83757326631894</v>
      </c>
      <c r="I29" s="368"/>
      <c r="J29" s="368">
        <f>-'Table 5C1A-Madison Prep'!H29</f>
        <v>0</v>
      </c>
      <c r="K29" s="368">
        <f>-'Table 5C1B-DArbonne'!H29</f>
        <v>0</v>
      </c>
      <c r="L29" s="368">
        <f>-'Table 5C1C-Intl_VIBE'!H29</f>
        <v>0</v>
      </c>
      <c r="M29" s="368">
        <f>-'Table 5C1D-NOMMA'!H29</f>
        <v>0</v>
      </c>
      <c r="N29" s="368">
        <f>-'Table 5C1E-LFNO'!H29</f>
        <v>0</v>
      </c>
      <c r="O29" s="368">
        <f>-'Table 5C1F-Lake Charles Charter'!H29</f>
        <v>0</v>
      </c>
      <c r="P29" s="325">
        <f>-('Table 5C2 - LA Virtual Admy'!H26+'Table 5C2 - LA Virtual Admy'!I26)</f>
        <v>-54976.099298140194</v>
      </c>
      <c r="Q29" s="325">
        <f>-'Table 5C3 - LA Connections EBR'!H26-'Table 5C3 - LA Connections EBR'!I26</f>
        <v>-60473.709227954219</v>
      </c>
      <c r="R29" s="325">
        <f>-'Table 5D1 - New Vision'!G29</f>
        <v>0</v>
      </c>
      <c r="S29" s="325">
        <f>-'Table 5D2 - Glencoe'!G29</f>
        <v>-421779.81800913141</v>
      </c>
      <c r="T29" s="325">
        <f>-'Table 5D3 - International'!G29</f>
        <v>0</v>
      </c>
      <c r="U29" s="325">
        <f>-'Table 5D4 - Avoyelles'!G29</f>
        <v>0</v>
      </c>
      <c r="V29" s="325">
        <f>-'Table 5D5 - Delhi'!G29</f>
        <v>0</v>
      </c>
      <c r="W29" s="325">
        <f>-'Table 5D6 - Milestone'!G29</f>
        <v>0</v>
      </c>
      <c r="X29" s="325">
        <f>-'Table 5D7 - Max'!G29</f>
        <v>0</v>
      </c>
      <c r="Y29" s="325">
        <f>-'Table 5D8 - Belle Chasse'!I29</f>
        <v>0</v>
      </c>
      <c r="Z29" s="325">
        <f>-'Table 5A4_LSDVI'!H29</f>
        <v>-10995.21985962804</v>
      </c>
      <c r="AA29" s="325">
        <f>-'Table 5A5_SSD'!H29</f>
        <v>-38483.26950869814</v>
      </c>
      <c r="AB29" s="325">
        <f>-'Table 5F Scholarships'!E33</f>
        <v>0</v>
      </c>
      <c r="AC29" s="582">
        <f t="shared" si="5"/>
        <v>72890970</v>
      </c>
      <c r="AD29" s="320">
        <f t="shared" si="6"/>
        <v>6074248</v>
      </c>
      <c r="AE29" s="320">
        <f>'Table 4A Stipends'!G26</f>
        <v>30000</v>
      </c>
      <c r="AF29" s="368">
        <f t="shared" si="7"/>
        <v>72920970</v>
      </c>
      <c r="AH29" s="1599">
        <f>('Table 8 2.1.12 MFP Funded'!G26*'Table 3 Levels 1&amp;2'!AP30)+'Table 2_State Distrib and Adjs'!F29</f>
        <v>72884004.960492283</v>
      </c>
      <c r="AI29" s="1003">
        <f t="shared" si="8"/>
        <v>6965.0395077168941</v>
      </c>
      <c r="AJ29" s="292">
        <f t="shared" si="9"/>
        <v>9.5563347698749315E-5</v>
      </c>
    </row>
    <row r="30" spans="1:37">
      <c r="A30" s="101">
        <v>24</v>
      </c>
      <c r="B30" s="311" t="s">
        <v>125</v>
      </c>
      <c r="C30" s="320">
        <f>'Table 3 Levels 1&amp;2'!AO31</f>
        <v>15693690.5</v>
      </c>
      <c r="D30" s="368">
        <v>7015.528571428571</v>
      </c>
      <c r="E30" s="368">
        <v>-13400.027353947906</v>
      </c>
      <c r="F30" s="368">
        <f t="shared" si="3"/>
        <v>-6384.4987825193348</v>
      </c>
      <c r="G30" s="320">
        <f t="shared" si="2"/>
        <v>0</v>
      </c>
      <c r="H30" s="368">
        <f t="shared" si="4"/>
        <v>-6384.4987825193348</v>
      </c>
      <c r="I30" s="368"/>
      <c r="J30" s="368">
        <f>-'Table 5C1A-Madison Prep'!H30</f>
        <v>0</v>
      </c>
      <c r="K30" s="368">
        <f>-'Table 5C1B-DArbonne'!H30</f>
        <v>0</v>
      </c>
      <c r="L30" s="368">
        <f>-'Table 5C1C-Intl_VIBE'!H30</f>
        <v>0</v>
      </c>
      <c r="M30" s="368">
        <f>-'Table 5C1D-NOMMA'!H30</f>
        <v>0</v>
      </c>
      <c r="N30" s="368">
        <f>-'Table 5C1E-LFNO'!H30</f>
        <v>0</v>
      </c>
      <c r="O30" s="368">
        <f>-'Table 5C1F-Lake Charles Charter'!H30</f>
        <v>0</v>
      </c>
      <c r="P30" s="325">
        <f>-('Table 5C2 - LA Virtual Admy'!H27+'Table 5C2 - LA Virtual Admy'!I27)</f>
        <v>-31536.258707300731</v>
      </c>
      <c r="Q30" s="325">
        <f>-'Table 5C3 - LA Connections EBR'!H27-'Table 5C3 - LA Connections EBR'!I27</f>
        <v>-3504.0287452556367</v>
      </c>
      <c r="R30" s="325">
        <f>-'Table 5D1 - New Vision'!G30</f>
        <v>0</v>
      </c>
      <c r="S30" s="325">
        <f>-'Table 5D2 - Glencoe'!G30</f>
        <v>0</v>
      </c>
      <c r="T30" s="325">
        <f>-'Table 5D3 - International'!G30</f>
        <v>0</v>
      </c>
      <c r="U30" s="325">
        <f>-'Table 5D4 - Avoyelles'!G30</f>
        <v>0</v>
      </c>
      <c r="V30" s="325">
        <f>-'Table 5D5 - Delhi'!G30</f>
        <v>0</v>
      </c>
      <c r="W30" s="325">
        <f>-'Table 5D6 - Milestone'!G30</f>
        <v>0</v>
      </c>
      <c r="X30" s="325">
        <f>-'Table 5D7 - Max'!G30</f>
        <v>0</v>
      </c>
      <c r="Y30" s="325">
        <f>-'Table 5D8 - Belle Chasse'!I30</f>
        <v>0</v>
      </c>
      <c r="Z30" s="325">
        <f>-'Table 5A4_LSDVI'!H30</f>
        <v>-24528.201216789461</v>
      </c>
      <c r="AA30" s="325">
        <f>-'Table 5A5_SSD'!H30</f>
        <v>-3504.0287452556372</v>
      </c>
      <c r="AB30" s="325">
        <f>-'Table 5F Scholarships'!E34</f>
        <v>0</v>
      </c>
      <c r="AC30" s="582">
        <f t="shared" si="5"/>
        <v>15624233</v>
      </c>
      <c r="AD30" s="320">
        <f t="shared" si="6"/>
        <v>1302019</v>
      </c>
      <c r="AE30" s="320">
        <f>'Table 4A Stipends'!G27</f>
        <v>0</v>
      </c>
      <c r="AF30" s="368">
        <f t="shared" si="7"/>
        <v>15624233</v>
      </c>
      <c r="AH30" s="1599">
        <f>('Table 8 2.1.12 MFP Funded'!G27*'Table 3 Levels 1&amp;2'!AP31)+'Table 2_State Distrib and Adjs'!F30</f>
        <v>15624236.916823642</v>
      </c>
      <c r="AI30" s="1003">
        <f t="shared" si="8"/>
        <v>-3.9168236423283815</v>
      </c>
      <c r="AJ30" s="292">
        <f t="shared" si="9"/>
        <v>-2.5068895608660928E-7</v>
      </c>
    </row>
    <row r="31" spans="1:37">
      <c r="A31" s="102">
        <v>25</v>
      </c>
      <c r="B31" s="312" t="s">
        <v>126</v>
      </c>
      <c r="C31" s="329">
        <f>'Table 3 Levels 1&amp;2'!AO32</f>
        <v>10021593.643958</v>
      </c>
      <c r="D31" s="369">
        <v>2415.3308293177524</v>
      </c>
      <c r="E31" s="369">
        <v>-1734.0965425660552</v>
      </c>
      <c r="F31" s="369">
        <f t="shared" si="3"/>
        <v>681.23428675169725</v>
      </c>
      <c r="G31" s="329">
        <f t="shared" si="2"/>
        <v>681.23428675169725</v>
      </c>
      <c r="H31" s="369">
        <f t="shared" si="4"/>
        <v>0</v>
      </c>
      <c r="I31" s="369"/>
      <c r="J31" s="369">
        <f>-'Table 5C1A-Madison Prep'!H31</f>
        <v>0</v>
      </c>
      <c r="K31" s="369">
        <f>-'Table 5C1B-DArbonne'!H31</f>
        <v>0</v>
      </c>
      <c r="L31" s="369">
        <f>-'Table 5C1C-Intl_VIBE'!H31</f>
        <v>0</v>
      </c>
      <c r="M31" s="369">
        <f>-'Table 5C1D-NOMMA'!H31</f>
        <v>0</v>
      </c>
      <c r="N31" s="369">
        <f>-'Table 5C1E-LFNO'!H31</f>
        <v>0</v>
      </c>
      <c r="O31" s="369">
        <f>-'Table 5C1F-Lake Charles Charter'!H31</f>
        <v>0</v>
      </c>
      <c r="P31" s="332">
        <f>-('Table 5C2 - LA Virtual Admy'!H28+'Table 5C2 - LA Virtual Admy'!I28)</f>
        <v>-9004.2447349128488</v>
      </c>
      <c r="Q31" s="332">
        <f>-'Table 5C3 - LA Connections EBR'!H28-'Table 5C3 - LA Connections EBR'!I28</f>
        <v>0</v>
      </c>
      <c r="R31" s="332">
        <f>-'Table 5D1 - New Vision'!G31</f>
        <v>0</v>
      </c>
      <c r="S31" s="332">
        <f>-'Table 5D2 - Glencoe'!G31</f>
        <v>0</v>
      </c>
      <c r="T31" s="332">
        <f>-'Table 5D3 - International'!G31</f>
        <v>0</v>
      </c>
      <c r="U31" s="332">
        <f>-'Table 5D4 - Avoyelles'!G31</f>
        <v>0</v>
      </c>
      <c r="V31" s="332">
        <f>-'Table 5D5 - Delhi'!G31</f>
        <v>0</v>
      </c>
      <c r="W31" s="332">
        <f>-'Table 5D6 - Milestone'!G31</f>
        <v>0</v>
      </c>
      <c r="X31" s="332">
        <f>-'Table 5D7 - Max'!G31</f>
        <v>0</v>
      </c>
      <c r="Y31" s="332">
        <f>-'Table 5D8 - Belle Chasse'!I31</f>
        <v>0</v>
      </c>
      <c r="Z31" s="332">
        <f>-'Table 5A4_LSDVI'!H31</f>
        <v>0</v>
      </c>
      <c r="AA31" s="332">
        <f>-'Table 5A5_SSD'!H31</f>
        <v>0</v>
      </c>
      <c r="AB31" s="332">
        <f>-'Table 5F Scholarships'!E35</f>
        <v>0</v>
      </c>
      <c r="AC31" s="583">
        <f t="shared" si="5"/>
        <v>10013271</v>
      </c>
      <c r="AD31" s="329">
        <f t="shared" si="6"/>
        <v>834439</v>
      </c>
      <c r="AE31" s="329">
        <f>'Table 4A Stipends'!G28</f>
        <v>0</v>
      </c>
      <c r="AF31" s="369">
        <f t="shared" si="7"/>
        <v>10013271</v>
      </c>
      <c r="AH31" s="1599">
        <f>('Table 8 2.1.12 MFP Funded'!G28*'Table 3 Levels 1&amp;2'!AP32)+'Table 2_State Distrib and Adjs'!F31</f>
        <v>10013270.750981538</v>
      </c>
      <c r="AI31" s="1003">
        <f t="shared" si="8"/>
        <v>0.2490184623748064</v>
      </c>
      <c r="AJ31" s="292">
        <f t="shared" si="9"/>
        <v>2.4868843414665153E-8</v>
      </c>
    </row>
    <row r="32" spans="1:37">
      <c r="A32" s="101">
        <v>26</v>
      </c>
      <c r="B32" s="311" t="s">
        <v>127</v>
      </c>
      <c r="C32" s="320">
        <f>'Table 3 Levels 1&amp;2'!AO33</f>
        <v>176566962.57102656</v>
      </c>
      <c r="D32" s="368">
        <v>176369.33643101272</v>
      </c>
      <c r="E32" s="368">
        <v>-742136.01550546859</v>
      </c>
      <c r="F32" s="368">
        <f t="shared" si="3"/>
        <v>-565766.67907445587</v>
      </c>
      <c r="G32" s="320">
        <f t="shared" si="2"/>
        <v>0</v>
      </c>
      <c r="H32" s="368">
        <f t="shared" si="4"/>
        <v>-565766.67907445587</v>
      </c>
      <c r="I32" s="368"/>
      <c r="J32" s="1391">
        <f>-'Table 5C1A-Madison Prep'!H32</f>
        <v>0</v>
      </c>
      <c r="K32" s="49">
        <f>-'Table 5C1B-DArbonne'!H32</f>
        <v>0</v>
      </c>
      <c r="L32" s="368">
        <f>-'Table 5C1C-Intl_VIBE'!H32</f>
        <v>-111516.97783193829</v>
      </c>
      <c r="M32" s="368">
        <f>-'Table 5C1D-NOMMA'!H32</f>
        <v>-175240.96516447444</v>
      </c>
      <c r="N32" s="368">
        <f>-'Table 5C1E-LFNO'!H32</f>
        <v>-47792.99049940212</v>
      </c>
      <c r="O32" s="368">
        <f>-'Table 5C1F-Lake Charles Charter'!H32</f>
        <v>0</v>
      </c>
      <c r="P32" s="325">
        <f>-('Table 5C2 - LA Virtual Admy'!H29+'Table 5C2 - LA Virtual Admy'!I29)</f>
        <v>-406240.41924491804</v>
      </c>
      <c r="Q32" s="325">
        <f>-'Table 5C3 - LA Connections EBR'!H29-'Table 5C3 - LA Connections EBR'!I29</f>
        <v>-155327.21912305692</v>
      </c>
      <c r="R32" s="325">
        <f>-'Table 5D1 - New Vision'!G32</f>
        <v>0</v>
      </c>
      <c r="S32" s="325">
        <f>-'Table 5D2 - Glencoe'!G32</f>
        <v>0</v>
      </c>
      <c r="T32" s="325">
        <f>-'Table 5D3 - International'!G32</f>
        <v>-745120.76760838134</v>
      </c>
      <c r="U32" s="325">
        <f>-'Table 5D4 - Avoyelles'!G32</f>
        <v>0</v>
      </c>
      <c r="V32" s="325">
        <f>-'Table 5D5 - Delhi'!G32</f>
        <v>0</v>
      </c>
      <c r="W32" s="325">
        <f>-'Table 5D6 - Milestone'!G32</f>
        <v>-258062.80062382633</v>
      </c>
      <c r="X32" s="325">
        <f>-'Table 5D7 - Max'!G32</f>
        <v>0</v>
      </c>
      <c r="Y32" s="325">
        <f>-'Table 5D8 - Belle Chasse'!I32</f>
        <v>-975835.76385357091</v>
      </c>
      <c r="Z32" s="325">
        <f>-'Table 5A4_LSDVI'!H32</f>
        <v>-23896.49524970106</v>
      </c>
      <c r="AA32" s="325">
        <f>-'Table 5A5_SSD'!H32</f>
        <v>-107534.22862365478</v>
      </c>
      <c r="AB32" s="325">
        <f>-'Table 5F Scholarships'!E36</f>
        <v>0</v>
      </c>
      <c r="AC32" s="582">
        <f t="shared" si="5"/>
        <v>172994627</v>
      </c>
      <c r="AD32" s="320">
        <f t="shared" si="6"/>
        <v>14416219</v>
      </c>
      <c r="AE32" s="320">
        <f>'Table 4A Stipends'!G29</f>
        <v>74000</v>
      </c>
      <c r="AF32" s="368">
        <f t="shared" si="7"/>
        <v>173068627</v>
      </c>
      <c r="AH32" s="1599">
        <f>('Table 8 2.1.12 MFP Funded'!G29*'Table 3 Levels 1&amp;2'!AP33)+'Table 2_State Distrib and Adjs'!F32</f>
        <v>172951377.56535938</v>
      </c>
      <c r="AI32" s="1003">
        <f t="shared" si="8"/>
        <v>43249.434640616179</v>
      </c>
      <c r="AJ32" s="292">
        <f t="shared" si="9"/>
        <v>2.5006701449528467E-4</v>
      </c>
    </row>
    <row r="33" spans="1:57">
      <c r="A33" s="101">
        <v>27</v>
      </c>
      <c r="B33" s="311" t="s">
        <v>128</v>
      </c>
      <c r="C33" s="320">
        <f>'Table 3 Levels 1&amp;2'!AO34</f>
        <v>35629107.845807999</v>
      </c>
      <c r="D33" s="368">
        <v>9554.7068843409943</v>
      </c>
      <c r="E33" s="368">
        <v>0</v>
      </c>
      <c r="F33" s="368">
        <f t="shared" si="3"/>
        <v>9554.7068843409943</v>
      </c>
      <c r="G33" s="320">
        <f t="shared" si="2"/>
        <v>9554.7068843409943</v>
      </c>
      <c r="H33" s="368">
        <f t="shared" si="4"/>
        <v>0</v>
      </c>
      <c r="I33" s="368"/>
      <c r="J33" s="368">
        <f>-'Table 5C1A-Madison Prep'!H33</f>
        <v>0</v>
      </c>
      <c r="K33" s="368">
        <f>-'Table 5C1B-DArbonne'!H33</f>
        <v>0</v>
      </c>
      <c r="L33" s="368">
        <f>-'Table 5C1C-Intl_VIBE'!H33</f>
        <v>0</v>
      </c>
      <c r="M33" s="368">
        <f>-'Table 5C1D-NOMMA'!H33</f>
        <v>0</v>
      </c>
      <c r="N33" s="368">
        <f>-'Table 5C1E-LFNO'!H33</f>
        <v>0</v>
      </c>
      <c r="O33" s="368">
        <f>-'Table 5C1F-Lake Charles Charter'!H33</f>
        <v>-25386.441191170641</v>
      </c>
      <c r="P33" s="325">
        <f>-('Table 5C2 - LA Virtual Admy'!H30+'Table 5C2 - LA Virtual Admy'!I30)</f>
        <v>-50772.882382341282</v>
      </c>
      <c r="Q33" s="325">
        <f>-'Table 5C3 - LA Connections EBR'!H30-'Table 5C3 - LA Connections EBR'!I30</f>
        <v>-19039.830893377981</v>
      </c>
      <c r="R33" s="325">
        <f>-'Table 5D1 - New Vision'!G33</f>
        <v>0</v>
      </c>
      <c r="S33" s="325">
        <f>-'Table 5D2 - Glencoe'!G33</f>
        <v>0</v>
      </c>
      <c r="T33" s="325">
        <f>-'Table 5D3 - International'!G33</f>
        <v>0</v>
      </c>
      <c r="U33" s="325">
        <f>-'Table 5D4 - Avoyelles'!G33</f>
        <v>0</v>
      </c>
      <c r="V33" s="325">
        <f>-'Table 5D5 - Delhi'!G33</f>
        <v>0</v>
      </c>
      <c r="W33" s="325">
        <f>-'Table 5D6 - Milestone'!G33</f>
        <v>0</v>
      </c>
      <c r="X33" s="325">
        <f>-'Table 5D7 - Max'!G33</f>
        <v>0</v>
      </c>
      <c r="Y33" s="325">
        <f>-'Table 5D8 - Belle Chasse'!I33</f>
        <v>0</v>
      </c>
      <c r="Z33" s="325">
        <f>-'Table 5A4_LSDVI'!H33</f>
        <v>-6346.6102977926603</v>
      </c>
      <c r="AA33" s="325">
        <f>-'Table 5A5_SSD'!H33</f>
        <v>-6346.6102977926603</v>
      </c>
      <c r="AB33" s="325">
        <f>-'Table 5F Scholarships'!E37</f>
        <v>0</v>
      </c>
      <c r="AC33" s="582">
        <f t="shared" si="5"/>
        <v>35530770</v>
      </c>
      <c r="AD33" s="320">
        <f t="shared" si="6"/>
        <v>2960898</v>
      </c>
      <c r="AE33" s="320">
        <f>'Table 4A Stipends'!G30</f>
        <v>0</v>
      </c>
      <c r="AF33" s="368">
        <f t="shared" si="7"/>
        <v>35530770</v>
      </c>
      <c r="AH33" s="1599">
        <f>('Table 8 2.1.12 MFP Funded'!G30*'Table 3 Levels 1&amp;2'!AP34)+'Table 2_State Distrib and Adjs'!F33</f>
        <v>35530772.486183837</v>
      </c>
      <c r="AI33" s="1003">
        <f t="shared" si="8"/>
        <v>-2.48618383705616</v>
      </c>
      <c r="AJ33" s="292">
        <f t="shared" si="9"/>
        <v>-6.9972693051436299E-8</v>
      </c>
    </row>
    <row r="34" spans="1:57">
      <c r="A34" s="101">
        <v>28</v>
      </c>
      <c r="B34" s="311" t="s">
        <v>129</v>
      </c>
      <c r="C34" s="320">
        <f>'Table 3 Levels 1&amp;2'!AO35</f>
        <v>115475573.66581</v>
      </c>
      <c r="D34" s="368">
        <v>-2011.0942700645537</v>
      </c>
      <c r="E34" s="368">
        <v>-342739.05116589542</v>
      </c>
      <c r="F34" s="368">
        <f t="shared" si="3"/>
        <v>-344750.14543595997</v>
      </c>
      <c r="G34" s="320">
        <f t="shared" si="2"/>
        <v>0</v>
      </c>
      <c r="H34" s="368">
        <f t="shared" si="4"/>
        <v>-344750.14543595997</v>
      </c>
      <c r="I34" s="368"/>
      <c r="J34" s="368">
        <f>-'Table 5C1A-Madison Prep'!H34</f>
        <v>0</v>
      </c>
      <c r="K34" s="368">
        <f>-'Table 5C1B-DArbonne'!H34</f>
        <v>0</v>
      </c>
      <c r="L34" s="368">
        <f>-'Table 5C1C-Intl_VIBE'!H34</f>
        <v>0</v>
      </c>
      <c r="M34" s="368">
        <f>-'Table 5C1D-NOMMA'!H34</f>
        <v>0</v>
      </c>
      <c r="N34" s="368">
        <f>-'Table 5C1E-LFNO'!H34</f>
        <v>0</v>
      </c>
      <c r="O34" s="368">
        <f>-'Table 5C1F-Lake Charles Charter'!H34</f>
        <v>0</v>
      </c>
      <c r="P34" s="325">
        <f>-('Table 5C2 - LA Virtual Admy'!H31+'Table 5C2 - LA Virtual Admy'!I31)</f>
        <v>-206431.58947739578</v>
      </c>
      <c r="Q34" s="325">
        <f>-'Table 5C3 - LA Connections EBR'!H31-'Table 5C3 - LA Connections EBR'!I31</f>
        <v>-89583.519961888727</v>
      </c>
      <c r="R34" s="325">
        <f>-'Table 5D1 - New Vision'!G34</f>
        <v>0</v>
      </c>
      <c r="S34" s="325">
        <f>-'Table 5D2 - Glencoe'!G34</f>
        <v>-3798.9392849225151</v>
      </c>
      <c r="T34" s="325">
        <f>-'Table 5D3 - International'!G34</f>
        <v>0</v>
      </c>
      <c r="U34" s="325">
        <f>-'Table 5D4 - Avoyelles'!G34</f>
        <v>0</v>
      </c>
      <c r="V34" s="325">
        <f>-'Table 5D5 - Delhi'!G34</f>
        <v>0</v>
      </c>
      <c r="W34" s="325">
        <f>-'Table 5D6 - Milestone'!G34</f>
        <v>0</v>
      </c>
      <c r="X34" s="325">
        <f>-'Table 5D7 - Max'!G34</f>
        <v>0</v>
      </c>
      <c r="Y34" s="325">
        <f>-'Table 5D8 - Belle Chasse'!I34</f>
        <v>0</v>
      </c>
      <c r="Z34" s="325">
        <f>-'Table 5A4_LSDVI'!H34</f>
        <v>-3894.9356505169012</v>
      </c>
      <c r="AA34" s="325">
        <f>-'Table 5A5_SSD'!H34</f>
        <v>-27264.549553618308</v>
      </c>
      <c r="AB34" s="325">
        <f>-'Table 5F Scholarships'!E38</f>
        <v>0</v>
      </c>
      <c r="AC34" s="582">
        <f t="shared" si="5"/>
        <v>114799850</v>
      </c>
      <c r="AD34" s="320">
        <f t="shared" si="6"/>
        <v>9566654</v>
      </c>
      <c r="AE34" s="320">
        <f>'Table 4A Stipends'!G31</f>
        <v>140000</v>
      </c>
      <c r="AF34" s="368">
        <f t="shared" si="7"/>
        <v>114939850</v>
      </c>
      <c r="AH34" s="1599">
        <f>('Table 8 2.1.12 MFP Funded'!G31*'Table 3 Levels 1&amp;2'!AP35)+'Table 2_State Distrib and Adjs'!F34</f>
        <v>114799769.39505468</v>
      </c>
      <c r="AI34" s="1003">
        <f t="shared" si="8"/>
        <v>80.604945316910744</v>
      </c>
      <c r="AJ34" s="292">
        <f t="shared" si="9"/>
        <v>7.0213508042449978E-7</v>
      </c>
    </row>
    <row r="35" spans="1:57">
      <c r="A35" s="101">
        <v>29</v>
      </c>
      <c r="B35" s="311" t="s">
        <v>130</v>
      </c>
      <c r="C35" s="320">
        <f>'Table 3 Levels 1&amp;2'!AO36</f>
        <v>63847348.751467213</v>
      </c>
      <c r="D35" s="368">
        <v>4974.9192949596327</v>
      </c>
      <c r="E35" s="368">
        <v>-17790.037273519818</v>
      </c>
      <c r="F35" s="368">
        <f t="shared" si="3"/>
        <v>-12815.117978560185</v>
      </c>
      <c r="G35" s="320">
        <f t="shared" si="2"/>
        <v>0</v>
      </c>
      <c r="H35" s="368">
        <f t="shared" si="4"/>
        <v>-12815.117978560185</v>
      </c>
      <c r="I35" s="368"/>
      <c r="J35" s="368">
        <f>-'Table 5C1A-Madison Prep'!H35</f>
        <v>0</v>
      </c>
      <c r="K35" s="368">
        <f>-'Table 5C1B-DArbonne'!H35</f>
        <v>0</v>
      </c>
      <c r="L35" s="368">
        <f>-'Table 5C1C-Intl_VIBE'!H35</f>
        <v>0</v>
      </c>
      <c r="M35" s="368">
        <f>-'Table 5C1D-NOMMA'!H35</f>
        <v>0</v>
      </c>
      <c r="N35" s="368">
        <f>-'Table 5C1E-LFNO'!H35</f>
        <v>0</v>
      </c>
      <c r="O35" s="368">
        <f>-'Table 5C1F-Lake Charles Charter'!H35</f>
        <v>0</v>
      </c>
      <c r="P35" s="325">
        <f>-('Table 5C2 - LA Virtual Admy'!H32+'Table 5C2 - LA Virtual Admy'!I32)</f>
        <v>-84599.819181677027</v>
      </c>
      <c r="Q35" s="325">
        <f>-'Table 5C3 - LA Connections EBR'!H32-'Table 5C3 - LA Connections EBR'!I32</f>
        <v>-23499.949772688058</v>
      </c>
      <c r="R35" s="325">
        <f>-'Table 5D1 - New Vision'!G35</f>
        <v>0</v>
      </c>
      <c r="S35" s="325">
        <f>-'Table 5D2 - Glencoe'!G35</f>
        <v>0</v>
      </c>
      <c r="T35" s="325">
        <f>-'Table 5D3 - International'!G35</f>
        <v>0</v>
      </c>
      <c r="U35" s="325">
        <f>-'Table 5D4 - Avoyelles'!G35</f>
        <v>0</v>
      </c>
      <c r="V35" s="325">
        <f>-'Table 5D5 - Delhi'!G35</f>
        <v>0</v>
      </c>
      <c r="W35" s="325">
        <f>-'Table 5D6 - Milestone'!G35</f>
        <v>0</v>
      </c>
      <c r="X35" s="325">
        <f>-'Table 5D7 - Max'!G35</f>
        <v>-239421.09175517439</v>
      </c>
      <c r="Y35" s="325">
        <f>-'Table 5D8 - Belle Chasse'!I35</f>
        <v>0</v>
      </c>
      <c r="Z35" s="325">
        <f>-'Table 5A4_LSDVI'!H35</f>
        <v>0</v>
      </c>
      <c r="AA35" s="325">
        <f>-'Table 5A5_SSD'!H35</f>
        <v>-14099.969863612836</v>
      </c>
      <c r="AB35" s="325">
        <f>-'Table 5F Scholarships'!E39</f>
        <v>0</v>
      </c>
      <c r="AC35" s="582">
        <f t="shared" si="5"/>
        <v>63472913</v>
      </c>
      <c r="AD35" s="320">
        <f t="shared" si="6"/>
        <v>5289409</v>
      </c>
      <c r="AE35" s="320">
        <f>'Table 4A Stipends'!G32</f>
        <v>40000</v>
      </c>
      <c r="AF35" s="368">
        <f t="shared" si="7"/>
        <v>63512913</v>
      </c>
      <c r="AH35" s="1599">
        <f>('Table 8 2.1.12 MFP Funded'!G32*'Table 3 Levels 1&amp;2'!AP36)+'Table 2_State Distrib and Adjs'!F35</f>
        <v>63467972.96790538</v>
      </c>
      <c r="AI35" s="1003">
        <f t="shared" si="8"/>
        <v>4940.0320946201682</v>
      </c>
      <c r="AJ35" s="292">
        <f t="shared" si="9"/>
        <v>7.783503810840554E-5</v>
      </c>
    </row>
    <row r="36" spans="1:57">
      <c r="A36" s="102">
        <v>30</v>
      </c>
      <c r="B36" s="312" t="s">
        <v>131</v>
      </c>
      <c r="C36" s="329">
        <f>'Table 3 Levels 1&amp;2'!AO37</f>
        <v>15400251.3522336</v>
      </c>
      <c r="D36" s="369">
        <v>6453.3732389773941</v>
      </c>
      <c r="E36" s="369">
        <v>0</v>
      </c>
      <c r="F36" s="369">
        <f t="shared" si="3"/>
        <v>6453.3732389773941</v>
      </c>
      <c r="G36" s="329">
        <f t="shared" si="2"/>
        <v>6453.3732389773941</v>
      </c>
      <c r="H36" s="369">
        <f t="shared" si="4"/>
        <v>0</v>
      </c>
      <c r="I36" s="369"/>
      <c r="J36" s="369">
        <f>-'Table 5C1A-Madison Prep'!H36</f>
        <v>0</v>
      </c>
      <c r="K36" s="369">
        <f>-'Table 5C1B-DArbonne'!H36</f>
        <v>0</v>
      </c>
      <c r="L36" s="369">
        <f>-'Table 5C1C-Intl_VIBE'!H36</f>
        <v>0</v>
      </c>
      <c r="M36" s="369">
        <f>-'Table 5C1D-NOMMA'!H36</f>
        <v>0</v>
      </c>
      <c r="N36" s="369">
        <f>-'Table 5C1E-LFNO'!H36</f>
        <v>0</v>
      </c>
      <c r="O36" s="369">
        <f>-'Table 5C1F-Lake Charles Charter'!H36</f>
        <v>0</v>
      </c>
      <c r="P36" s="332">
        <f>-('Table 5C2 - LA Virtual Admy'!H33+'Table 5C2 - LA Virtual Admy'!I33)</f>
        <v>-6322.0616667625609</v>
      </c>
      <c r="Q36" s="332">
        <f>-'Table 5C3 - LA Connections EBR'!H33-'Table 5C3 - LA Connections EBR'!I33</f>
        <v>-18966.185000287682</v>
      </c>
      <c r="R36" s="332">
        <f>-'Table 5D1 - New Vision'!G36</f>
        <v>0</v>
      </c>
      <c r="S36" s="332">
        <f>-'Table 5D2 - Glencoe'!G36</f>
        <v>0</v>
      </c>
      <c r="T36" s="332">
        <f>-'Table 5D3 - International'!G36</f>
        <v>0</v>
      </c>
      <c r="U36" s="332">
        <f>-'Table 5D4 - Avoyelles'!G36</f>
        <v>0</v>
      </c>
      <c r="V36" s="332">
        <f>-'Table 5D5 - Delhi'!G36</f>
        <v>0</v>
      </c>
      <c r="W36" s="332">
        <f>-'Table 5D6 - Milestone'!G36</f>
        <v>0</v>
      </c>
      <c r="X36" s="332">
        <f>-'Table 5D7 - Max'!G36</f>
        <v>0</v>
      </c>
      <c r="Y36" s="332">
        <f>-'Table 5D8 - Belle Chasse'!I36</f>
        <v>0</v>
      </c>
      <c r="Z36" s="332">
        <f>-'Table 5A4_LSDVI'!H36</f>
        <v>0</v>
      </c>
      <c r="AA36" s="332">
        <f>-'Table 5A5_SSD'!H36</f>
        <v>-6322.0616667625618</v>
      </c>
      <c r="AB36" s="332">
        <f>-'Table 5F Scholarships'!E40</f>
        <v>0</v>
      </c>
      <c r="AC36" s="583">
        <f t="shared" si="5"/>
        <v>15375094</v>
      </c>
      <c r="AD36" s="329">
        <f t="shared" si="6"/>
        <v>1281258</v>
      </c>
      <c r="AE36" s="329">
        <f>'Table 4A Stipends'!G33</f>
        <v>0</v>
      </c>
      <c r="AF36" s="369">
        <f t="shared" si="7"/>
        <v>15375094</v>
      </c>
      <c r="AH36" s="1599">
        <f>('Table 8 2.1.12 MFP Funded'!G33*'Table 3 Levels 1&amp;2'!AP37)+'Table 2_State Distrib and Adjs'!F36</f>
        <v>15375095.014158467</v>
      </c>
      <c r="AI36" s="1003">
        <f t="shared" si="8"/>
        <v>-1.0141584668308496</v>
      </c>
      <c r="AJ36" s="292">
        <f t="shared" si="9"/>
        <v>-6.596111867256373E-8</v>
      </c>
    </row>
    <row r="37" spans="1:57">
      <c r="A37" s="101">
        <v>31</v>
      </c>
      <c r="B37" s="311" t="s">
        <v>132</v>
      </c>
      <c r="C37" s="320">
        <f>'Table 3 Levels 1&amp;2'!AO38</f>
        <v>30900414.246679999</v>
      </c>
      <c r="D37" s="368">
        <v>-25971.035041800467</v>
      </c>
      <c r="E37" s="368">
        <v>1460.1343943697721</v>
      </c>
      <c r="F37" s="368">
        <f t="shared" si="3"/>
        <v>-24510.900647430695</v>
      </c>
      <c r="G37" s="320">
        <f t="shared" si="2"/>
        <v>0</v>
      </c>
      <c r="H37" s="368">
        <f t="shared" si="4"/>
        <v>-24510.900647430695</v>
      </c>
      <c r="I37" s="368"/>
      <c r="J37" s="49">
        <f>-'Table 5C1A-Madison Prep'!H37</f>
        <v>0</v>
      </c>
      <c r="K37" s="368">
        <f>-'Table 5C1B-DArbonne'!H37</f>
        <v>-9560.8293612871275</v>
      </c>
      <c r="L37" s="368">
        <f>-'Table 5C1C-Intl_VIBE'!H37</f>
        <v>0</v>
      </c>
      <c r="M37" s="368">
        <f>-'Table 5C1D-NOMMA'!H37</f>
        <v>0</v>
      </c>
      <c r="N37" s="368">
        <f>-'Table 5C1E-LFNO'!H37</f>
        <v>0</v>
      </c>
      <c r="O37" s="368">
        <f>-'Table 5C1F-Lake Charles Charter'!H37</f>
        <v>0</v>
      </c>
      <c r="P37" s="325">
        <f>-('Table 5C2 - LA Virtual Admy'!H34+'Table 5C2 - LA Virtual Admy'!I34)</f>
        <v>-9560.8293612871275</v>
      </c>
      <c r="Q37" s="325">
        <f>-'Table 5C3 - LA Connections EBR'!H34-'Table 5C3 - LA Connections EBR'!I34</f>
        <v>-4780.4146806435638</v>
      </c>
      <c r="R37" s="325">
        <f>-'Table 5D1 - New Vision'!G37</f>
        <v>0</v>
      </c>
      <c r="S37" s="325">
        <f>-'Table 5D2 - Glencoe'!G37</f>
        <v>0</v>
      </c>
      <c r="T37" s="325">
        <f>-'Table 5D3 - International'!G37</f>
        <v>0</v>
      </c>
      <c r="U37" s="325">
        <f>-'Table 5D4 - Avoyelles'!G37</f>
        <v>0</v>
      </c>
      <c r="V37" s="325">
        <f>-'Table 5D5 - Delhi'!G37</f>
        <v>0</v>
      </c>
      <c r="W37" s="325">
        <f>-'Table 5D6 - Milestone'!G37</f>
        <v>0</v>
      </c>
      <c r="X37" s="325">
        <f>-'Table 5D7 - Max'!G37</f>
        <v>0</v>
      </c>
      <c r="Y37" s="325">
        <f>-'Table 5D8 - Belle Chasse'!I37</f>
        <v>0</v>
      </c>
      <c r="Z37" s="325">
        <f>-'Table 5A4_LSDVI'!H37</f>
        <v>-14341.244041930691</v>
      </c>
      <c r="AA37" s="325">
        <f>-'Table 5A5_SSD'!H37</f>
        <v>-23902.073403217822</v>
      </c>
      <c r="AB37" s="325">
        <f>-'Table 5F Scholarships'!E41</f>
        <v>0</v>
      </c>
      <c r="AC37" s="582">
        <f t="shared" si="5"/>
        <v>30813758</v>
      </c>
      <c r="AD37" s="320">
        <f t="shared" si="6"/>
        <v>2567813</v>
      </c>
      <c r="AE37" s="320">
        <f>'Table 4A Stipends'!G34</f>
        <v>0</v>
      </c>
      <c r="AF37" s="368">
        <f t="shared" si="7"/>
        <v>30813758</v>
      </c>
      <c r="AH37" s="1599">
        <f>('Table 8 2.1.12 MFP Funded'!G34*'Table 3 Levels 1&amp;2'!AP38)+'Table 2_State Distrib and Adjs'!F37</f>
        <v>30813758.329756759</v>
      </c>
      <c r="AI37" s="1003">
        <f t="shared" si="8"/>
        <v>-0.32975675910711288</v>
      </c>
      <c r="AJ37" s="292">
        <f t="shared" si="9"/>
        <v>-1.0701607884964415E-8</v>
      </c>
    </row>
    <row r="38" spans="1:57">
      <c r="A38" s="101">
        <v>32</v>
      </c>
      <c r="B38" s="311" t="s">
        <v>133</v>
      </c>
      <c r="C38" s="320">
        <f>'Table 3 Levels 1&amp;2'!AO39</f>
        <v>147567769.45206401</v>
      </c>
      <c r="D38" s="368">
        <v>-21124.479619801656</v>
      </c>
      <c r="E38" s="368">
        <v>-53394.86721445329</v>
      </c>
      <c r="F38" s="368">
        <f t="shared" si="3"/>
        <v>-74519.346834254946</v>
      </c>
      <c r="G38" s="320">
        <f t="shared" si="2"/>
        <v>0</v>
      </c>
      <c r="H38" s="368">
        <f t="shared" si="4"/>
        <v>-74519.346834254946</v>
      </c>
      <c r="I38" s="368"/>
      <c r="J38" s="368">
        <f>-'Table 5C1A-Madison Prep'!H38</f>
        <v>-6034.9136637248594</v>
      </c>
      <c r="K38" s="368">
        <f>-'Table 5C1B-DArbonne'!H38</f>
        <v>0</v>
      </c>
      <c r="L38" s="368">
        <f>-'Table 5C1C-Intl_VIBE'!H38</f>
        <v>0</v>
      </c>
      <c r="M38" s="368">
        <f>-'Table 5C1D-NOMMA'!H38</f>
        <v>0</v>
      </c>
      <c r="N38" s="368">
        <f>-'Table 5C1E-LFNO'!H38</f>
        <v>0</v>
      </c>
      <c r="O38" s="368">
        <f>-'Table 5C1F-Lake Charles Charter'!H38</f>
        <v>0</v>
      </c>
      <c r="P38" s="325">
        <f>-('Table 5C2 - LA Virtual Admy'!H35+'Table 5C2 - LA Virtual Admy'!I35)</f>
        <v>-211221.97823037009</v>
      </c>
      <c r="Q38" s="325">
        <f>-'Table 5C3 - LA Connections EBR'!H35-'Table 5C3 - LA Connections EBR'!I35</f>
        <v>-217256.89189409497</v>
      </c>
      <c r="R38" s="325">
        <f>-'Table 5D1 - New Vision'!G38</f>
        <v>0</v>
      </c>
      <c r="S38" s="325">
        <f>-'Table 5D2 - Glencoe'!G38</f>
        <v>0</v>
      </c>
      <c r="T38" s="325">
        <f>-'Table 5D3 - International'!G38</f>
        <v>0</v>
      </c>
      <c r="U38" s="325">
        <f>-'Table 5D4 - Avoyelles'!G38</f>
        <v>0</v>
      </c>
      <c r="V38" s="325">
        <f>-'Table 5D5 - Delhi'!G38</f>
        <v>0</v>
      </c>
      <c r="W38" s="325">
        <f>-'Table 5D6 - Milestone'!G38</f>
        <v>0</v>
      </c>
      <c r="X38" s="325">
        <f>-'Table 5D7 - Max'!G38</f>
        <v>0</v>
      </c>
      <c r="Y38" s="325">
        <f>-'Table 5D8 - Belle Chasse'!I38</f>
        <v>0</v>
      </c>
      <c r="Z38" s="325">
        <f>-'Table 5A4_LSDVI'!H38</f>
        <v>-96558.61861959775</v>
      </c>
      <c r="AA38" s="325">
        <f>-'Table 5A5_SSD'!H38</f>
        <v>-78453.877628423172</v>
      </c>
      <c r="AB38" s="325">
        <f>-'Table 5F Scholarships'!E42</f>
        <v>0</v>
      </c>
      <c r="AC38" s="582">
        <f t="shared" si="5"/>
        <v>146883724</v>
      </c>
      <c r="AD38" s="320">
        <f t="shared" si="6"/>
        <v>12240310</v>
      </c>
      <c r="AE38" s="320">
        <f>'Table 4A Stipends'!G35</f>
        <v>0</v>
      </c>
      <c r="AF38" s="368">
        <f t="shared" si="7"/>
        <v>146883724</v>
      </c>
      <c r="AH38" s="1599">
        <f>('Table 8 2.1.12 MFP Funded'!G35*'Table 3 Levels 1&amp;2'!AP39)+'Table 2_State Distrib and Adjs'!F38</f>
        <v>146883740.24080992</v>
      </c>
      <c r="AI38" s="1003">
        <f t="shared" si="8"/>
        <v>-16.240809917449951</v>
      </c>
      <c r="AJ38" s="292">
        <f t="shared" si="9"/>
        <v>-1.1056914734621956E-7</v>
      </c>
    </row>
    <row r="39" spans="1:57">
      <c r="A39" s="101">
        <v>33</v>
      </c>
      <c r="B39" s="311" t="s">
        <v>134</v>
      </c>
      <c r="C39" s="320">
        <f>'Table 3 Levels 1&amp;2'!AO40</f>
        <v>12082954.485386116</v>
      </c>
      <c r="D39" s="368">
        <v>34524.196095193955</v>
      </c>
      <c r="E39" s="368">
        <v>-21449.013385802216</v>
      </c>
      <c r="F39" s="368">
        <f t="shared" si="3"/>
        <v>13075.182709391738</v>
      </c>
      <c r="G39" s="320">
        <f t="shared" si="2"/>
        <v>13075.182709391738</v>
      </c>
      <c r="H39" s="368">
        <f t="shared" si="4"/>
        <v>0</v>
      </c>
      <c r="I39" s="368"/>
      <c r="J39" s="368">
        <f>-'Table 5C1A-Madison Prep'!H39</f>
        <v>0</v>
      </c>
      <c r="K39" s="368">
        <f>-'Table 5C1B-DArbonne'!H39</f>
        <v>0</v>
      </c>
      <c r="L39" s="368">
        <f>-'Table 5C1C-Intl_VIBE'!H39</f>
        <v>0</v>
      </c>
      <c r="M39" s="368">
        <f>-'Table 5C1D-NOMMA'!H39</f>
        <v>0</v>
      </c>
      <c r="N39" s="368">
        <f>-'Table 5C1E-LFNO'!H39</f>
        <v>0</v>
      </c>
      <c r="O39" s="368">
        <f>-'Table 5C1F-Lake Charles Charter'!H39</f>
        <v>0</v>
      </c>
      <c r="P39" s="325">
        <f>-('Table 5C2 - LA Virtual Admy'!H36+'Table 5C2 - LA Virtual Admy'!I36)</f>
        <v>-18158.633526867437</v>
      </c>
      <c r="Q39" s="325">
        <f>-'Table 5C3 - LA Connections EBR'!H36-'Table 5C3 - LA Connections EBR'!I36</f>
        <v>-12105.755684578291</v>
      </c>
      <c r="R39" s="325">
        <f>-'Table 5D1 - New Vision'!G39</f>
        <v>0</v>
      </c>
      <c r="S39" s="325">
        <f>-'Table 5D2 - Glencoe'!G39</f>
        <v>0</v>
      </c>
      <c r="T39" s="325">
        <f>-'Table 5D3 - International'!G39</f>
        <v>0</v>
      </c>
      <c r="U39" s="325">
        <f>-'Table 5D4 - Avoyelles'!G39</f>
        <v>0</v>
      </c>
      <c r="V39" s="325">
        <f>-'Table 5D5 - Delhi'!G39</f>
        <v>-758347.69746312674</v>
      </c>
      <c r="W39" s="325">
        <f>-'Table 5D6 - Milestone'!G39</f>
        <v>0</v>
      </c>
      <c r="X39" s="325">
        <f>-'Table 5D7 - Max'!G39</f>
        <v>0</v>
      </c>
      <c r="Y39" s="325">
        <f>-'Table 5D8 - Belle Chasse'!I39</f>
        <v>0</v>
      </c>
      <c r="Z39" s="325">
        <f>-'Table 5A4_LSDVI'!H39</f>
        <v>-18158.633526867437</v>
      </c>
      <c r="AA39" s="325">
        <f>-'Table 5A5_SSD'!H39</f>
        <v>-12105.755684578291</v>
      </c>
      <c r="AB39" s="325">
        <f>-'Table 5F Scholarships'!E43</f>
        <v>0</v>
      </c>
      <c r="AC39" s="582">
        <f t="shared" si="5"/>
        <v>11277153</v>
      </c>
      <c r="AD39" s="320">
        <f t="shared" si="6"/>
        <v>939763</v>
      </c>
      <c r="AE39" s="320">
        <f>'Table 4A Stipends'!G36</f>
        <v>4000</v>
      </c>
      <c r="AF39" s="368">
        <f t="shared" si="7"/>
        <v>11281153</v>
      </c>
      <c r="AH39" s="1599">
        <f>('Table 8 2.1.12 MFP Funded'!G36*'Table 3 Levels 1&amp;2'!AP40)+'Table 2_State Distrib and Adjs'!F39</f>
        <v>11261888.738138888</v>
      </c>
      <c r="AI39" s="1003">
        <f t="shared" si="8"/>
        <v>15264.261861111969</v>
      </c>
      <c r="AJ39" s="292">
        <f t="shared" si="9"/>
        <v>1.3553909309562673E-3</v>
      </c>
    </row>
    <row r="40" spans="1:57">
      <c r="A40" s="101">
        <v>34</v>
      </c>
      <c r="B40" s="311" t="s">
        <v>135</v>
      </c>
      <c r="C40" s="320">
        <f>'Table 3 Levels 1&amp;2'!AO41</f>
        <v>28118989.404115085</v>
      </c>
      <c r="D40" s="368">
        <v>22186.801618219353</v>
      </c>
      <c r="E40" s="368">
        <v>-18840.54697612684</v>
      </c>
      <c r="F40" s="368">
        <f t="shared" si="3"/>
        <v>3346.2546420925137</v>
      </c>
      <c r="G40" s="320">
        <f t="shared" si="2"/>
        <v>3346.2546420925137</v>
      </c>
      <c r="H40" s="368">
        <f t="shared" si="4"/>
        <v>0</v>
      </c>
      <c r="I40" s="368"/>
      <c r="J40" s="368">
        <f>-'Table 5C1A-Madison Prep'!H40</f>
        <v>0</v>
      </c>
      <c r="K40" s="368">
        <f>-'Table 5C1B-DArbonne'!H40</f>
        <v>0</v>
      </c>
      <c r="L40" s="368">
        <f>-'Table 5C1C-Intl_VIBE'!H40</f>
        <v>0</v>
      </c>
      <c r="M40" s="368">
        <f>-'Table 5C1D-NOMMA'!H40</f>
        <v>0</v>
      </c>
      <c r="N40" s="368">
        <f>-'Table 5C1E-LFNO'!H40</f>
        <v>0</v>
      </c>
      <c r="O40" s="368">
        <f>-'Table 5C1F-Lake Charles Charter'!H40</f>
        <v>0</v>
      </c>
      <c r="P40" s="325">
        <f>-('Table 5C2 - LA Virtual Admy'!H37+'Table 5C2 - LA Virtual Admy'!I37)</f>
        <v>-77856.890652348869</v>
      </c>
      <c r="Q40" s="325">
        <f>-'Table 5C3 - LA Connections EBR'!H37-'Table 5C3 - LA Connections EBR'!I37</f>
        <v>-12976.148442058147</v>
      </c>
      <c r="R40" s="325">
        <f>-'Table 5D1 - New Vision'!G40</f>
        <v>-52482.077943316763</v>
      </c>
      <c r="S40" s="325">
        <f>-'Table 5D2 - Glencoe'!G40</f>
        <v>0</v>
      </c>
      <c r="T40" s="325">
        <f>-'Table 5D3 - International'!G40</f>
        <v>0</v>
      </c>
      <c r="U40" s="325">
        <f>-'Table 5D4 - Avoyelles'!G40</f>
        <v>0</v>
      </c>
      <c r="V40" s="325">
        <f>-'Table 5D5 - Delhi'!G40</f>
        <v>0</v>
      </c>
      <c r="W40" s="325">
        <f>-'Table 5D6 - Milestone'!G40</f>
        <v>0</v>
      </c>
      <c r="X40" s="325">
        <f>-'Table 5D7 - Max'!G40</f>
        <v>0</v>
      </c>
      <c r="Y40" s="325">
        <f>-'Table 5D8 - Belle Chasse'!I40</f>
        <v>0</v>
      </c>
      <c r="Z40" s="325">
        <f>-'Table 5A4_LSDVI'!H40</f>
        <v>0</v>
      </c>
      <c r="AA40" s="325">
        <f>-'Table 5A5_SSD'!H40</f>
        <v>0</v>
      </c>
      <c r="AB40" s="325">
        <f>-'Table 5F Scholarships'!E44</f>
        <v>0</v>
      </c>
      <c r="AC40" s="582">
        <f t="shared" si="5"/>
        <v>27979021</v>
      </c>
      <c r="AD40" s="320">
        <f t="shared" si="6"/>
        <v>2331585</v>
      </c>
      <c r="AE40" s="320">
        <f>'Table 4A Stipends'!G37</f>
        <v>0</v>
      </c>
      <c r="AF40" s="368">
        <f t="shared" si="7"/>
        <v>27979021</v>
      </c>
      <c r="AH40" s="1599">
        <f>('Table 8 2.1.12 MFP Funded'!G37*'Table 3 Levels 1&amp;2'!AP41)+'Table 2_State Distrib and Adjs'!F40</f>
        <v>27979599.671934258</v>
      </c>
      <c r="AI40" s="1003">
        <f t="shared" si="8"/>
        <v>-578.67193425819278</v>
      </c>
      <c r="AJ40" s="292">
        <f t="shared" si="9"/>
        <v>-2.0681923295659099E-5</v>
      </c>
    </row>
    <row r="41" spans="1:57">
      <c r="A41" s="102">
        <v>35</v>
      </c>
      <c r="B41" s="312" t="s">
        <v>136</v>
      </c>
      <c r="C41" s="329">
        <f>'Table 3 Levels 1&amp;2'!AO42</f>
        <v>34692852.915260002</v>
      </c>
      <c r="D41" s="369">
        <v>16712.829669196377</v>
      </c>
      <c r="E41" s="369">
        <v>-57032.604864552908</v>
      </c>
      <c r="F41" s="369">
        <f t="shared" si="3"/>
        <v>-40319.775195356531</v>
      </c>
      <c r="G41" s="329">
        <f t="shared" si="2"/>
        <v>0</v>
      </c>
      <c r="H41" s="369">
        <f t="shared" si="4"/>
        <v>-40319.775195356531</v>
      </c>
      <c r="I41" s="369"/>
      <c r="J41" s="369">
        <f>-'Table 5C1A-Madison Prep'!H41</f>
        <v>0</v>
      </c>
      <c r="K41" s="369">
        <f>-'Table 5C1B-DArbonne'!H41</f>
        <v>0</v>
      </c>
      <c r="L41" s="369">
        <f>-'Table 5C1C-Intl_VIBE'!H41</f>
        <v>0</v>
      </c>
      <c r="M41" s="369">
        <f>-'Table 5C1D-NOMMA'!H41</f>
        <v>0</v>
      </c>
      <c r="N41" s="369">
        <f>-'Table 5C1E-LFNO'!H41</f>
        <v>0</v>
      </c>
      <c r="O41" s="369">
        <f>-'Table 5C1F-Lake Charles Charter'!H41</f>
        <v>0</v>
      </c>
      <c r="P41" s="332">
        <f>-('Table 5C2 - LA Virtual Admy'!H38+'Table 5C2 - LA Virtual Admy'!I38)</f>
        <v>-59058.156753924493</v>
      </c>
      <c r="Q41" s="332">
        <f>-'Table 5C3 - LA Connections EBR'!H38-'Table 5C3 - LA Connections EBR'!I38</f>
        <v>-53689.233412658621</v>
      </c>
      <c r="R41" s="332">
        <f>-'Table 5D1 - New Vision'!G41</f>
        <v>0</v>
      </c>
      <c r="S41" s="332">
        <f>-'Table 5D2 - Glencoe'!G41</f>
        <v>0</v>
      </c>
      <c r="T41" s="332">
        <f>-'Table 5D3 - International'!G41</f>
        <v>0</v>
      </c>
      <c r="U41" s="332">
        <f>-'Table 5D4 - Avoyelles'!G41</f>
        <v>0</v>
      </c>
      <c r="V41" s="332">
        <f>-'Table 5D5 - Delhi'!G41</f>
        <v>0</v>
      </c>
      <c r="W41" s="332">
        <f>-'Table 5D6 - Milestone'!G41</f>
        <v>0</v>
      </c>
      <c r="X41" s="332">
        <f>-'Table 5D7 - Max'!G41</f>
        <v>0</v>
      </c>
      <c r="Y41" s="332">
        <f>-'Table 5D8 - Belle Chasse'!I41</f>
        <v>0</v>
      </c>
      <c r="Z41" s="332">
        <f>-'Table 5A4_LSDVI'!H41</f>
        <v>-16106.770023797588</v>
      </c>
      <c r="AA41" s="332">
        <f>-'Table 5A5_SSD'!H41</f>
        <v>-5368.9233412658623</v>
      </c>
      <c r="AB41" s="332">
        <f>-'Table 5F Scholarships'!E45</f>
        <v>0</v>
      </c>
      <c r="AC41" s="583">
        <f t="shared" si="5"/>
        <v>34518310</v>
      </c>
      <c r="AD41" s="329">
        <f t="shared" si="6"/>
        <v>2876526</v>
      </c>
      <c r="AE41" s="329">
        <f>'Table 4A Stipends'!G38</f>
        <v>0</v>
      </c>
      <c r="AF41" s="369">
        <f t="shared" si="7"/>
        <v>34518310</v>
      </c>
      <c r="AH41" s="1599">
        <f>('Table 8 2.1.12 MFP Funded'!G38*'Table 3 Levels 1&amp;2'!AP42)+'Table 2_State Distrib and Adjs'!F41</f>
        <v>34518314.427145809</v>
      </c>
      <c r="AI41" s="1003">
        <f t="shared" si="8"/>
        <v>-4.4271458089351654</v>
      </c>
      <c r="AJ41" s="292">
        <f t="shared" si="9"/>
        <v>-1.2825498238852532E-7</v>
      </c>
    </row>
    <row r="42" spans="1:57" ht="12.75" customHeight="1">
      <c r="A42" s="101">
        <v>36</v>
      </c>
      <c r="B42" s="311" t="s">
        <v>137</v>
      </c>
      <c r="C42" s="320">
        <f>'Table 3 Levels 1&amp;2'!AO43</f>
        <v>180755107.14403456</v>
      </c>
      <c r="D42" s="368">
        <v>72547.637439992221</v>
      </c>
      <c r="E42" s="368">
        <v>-43254.296528080115</v>
      </c>
      <c r="F42" s="368">
        <f t="shared" si="3"/>
        <v>29293.340911912106</v>
      </c>
      <c r="G42" s="320">
        <f t="shared" si="2"/>
        <v>29293.340911912106</v>
      </c>
      <c r="H42" s="368">
        <f t="shared" si="4"/>
        <v>0</v>
      </c>
      <c r="I42" s="368">
        <f>-'Table 5B1_RSD_Orleans'!H70</f>
        <v>-120265434.00631183</v>
      </c>
      <c r="J42" s="49">
        <f>-'Table 5C1A-Madison Prep'!H42</f>
        <v>0</v>
      </c>
      <c r="K42" s="368">
        <f>-'Table 5C1B-DArbonne'!H42</f>
        <v>0</v>
      </c>
      <c r="L42" s="368">
        <f>-'Table 5C1C-Intl_VIBE'!H42</f>
        <v>-1165861.1555152829</v>
      </c>
      <c r="M42" s="368">
        <f>-'Table 5C1D-NOMMA'!H42</f>
        <v>-220453.74577016255</v>
      </c>
      <c r="N42" s="368">
        <f>-'Table 5C1E-LFNO'!H42</f>
        <v>-182298.2897714806</v>
      </c>
      <c r="O42" s="368">
        <f>-'Table 5C1F-Lake Charles Charter'!H42</f>
        <v>0</v>
      </c>
      <c r="P42" s="325">
        <f>-('Table 5C2 - LA Virtual Admy'!H39+'Table 5C2 - LA Virtual Admy'!I39)</f>
        <v>-322201.6284333145</v>
      </c>
      <c r="Q42" s="325">
        <f>-'Table 5C3 - LA Connections EBR'!H39-'Table 5C3 - LA Connections EBR'!I39</f>
        <v>-59352.93155350531</v>
      </c>
      <c r="R42" s="325">
        <f>-'Table 5D1 - New Vision'!G42</f>
        <v>0</v>
      </c>
      <c r="S42" s="325">
        <f>-'Table 5D2 - Glencoe'!G42</f>
        <v>0</v>
      </c>
      <c r="T42" s="325">
        <f>-'Table 5D3 - International'!G42</f>
        <v>-1666475.5959260063</v>
      </c>
      <c r="U42" s="325">
        <f>-'Table 5D4 - Avoyelles'!G42</f>
        <v>0</v>
      </c>
      <c r="V42" s="325">
        <f>-'Table 5D5 - Delhi'!G42</f>
        <v>0</v>
      </c>
      <c r="W42" s="325">
        <f>-'Table 5D6 - Milestone'!G42</f>
        <v>-1381545.3317720073</v>
      </c>
      <c r="X42" s="325">
        <f>-'Table 5D7 - Max'!G42</f>
        <v>0</v>
      </c>
      <c r="Y42" s="325">
        <f>-'Table 5D8 - Belle Chasse'!I42</f>
        <v>-830778.61007895274</v>
      </c>
      <c r="Z42" s="325">
        <f>-'Table 5A4_LSDVI'!H42</f>
        <v>-38155.455998681988</v>
      </c>
      <c r="AA42" s="325">
        <f>-'Table 5A5_SSD'!H42</f>
        <v>-165340.30932762192</v>
      </c>
      <c r="AB42" s="325">
        <f>-'Table 5F Scholarships'!E46</f>
        <v>-9523451.3774517681</v>
      </c>
      <c r="AC42" s="582">
        <f t="shared" si="5"/>
        <v>44963052</v>
      </c>
      <c r="AD42" s="320">
        <f t="shared" si="6"/>
        <v>3746921</v>
      </c>
      <c r="AE42" s="320">
        <f>'Table 4A Stipends'!G39</f>
        <v>72000</v>
      </c>
      <c r="AF42" s="368">
        <f t="shared" si="7"/>
        <v>45035052</v>
      </c>
      <c r="AH42" s="1599">
        <f>('Table 8 2.1.12 MFP Funded'!G39*'Table 3 Levels 1&amp;2'!AP43)+'Table 2_State Distrib and Adjs'!F42</f>
        <v>45081567.32384374</v>
      </c>
      <c r="AI42" s="1003">
        <f t="shared" si="8"/>
        <v>-118515.32384373993</v>
      </c>
      <c r="AJ42" s="292">
        <f t="shared" si="9"/>
        <v>-2.6289086843938746E-3</v>
      </c>
      <c r="AK42" s="1673"/>
      <c r="AL42" s="1674"/>
      <c r="AM42" s="1674"/>
      <c r="AN42" s="1674"/>
      <c r="AO42" s="1674"/>
      <c r="AP42" s="1674"/>
      <c r="AQ42" s="1674"/>
      <c r="AR42" s="1674"/>
      <c r="AS42" s="1674"/>
      <c r="AT42" s="1674"/>
      <c r="AU42" s="1674"/>
      <c r="AV42" s="1674"/>
      <c r="AW42" s="1674"/>
      <c r="AX42" s="1674"/>
      <c r="AY42" s="1674"/>
      <c r="AZ42" s="1674"/>
      <c r="BA42" s="1674"/>
      <c r="BB42" s="1674"/>
      <c r="BC42" s="1674"/>
      <c r="BD42" s="1674"/>
      <c r="BE42" s="1674"/>
    </row>
    <row r="43" spans="1:57">
      <c r="A43" s="101">
        <v>37</v>
      </c>
      <c r="B43" s="311" t="s">
        <v>138</v>
      </c>
      <c r="C43" s="320">
        <f>'Table 3 Levels 1&amp;2'!AO44</f>
        <v>119155841.31940985</v>
      </c>
      <c r="D43" s="368">
        <v>27442.238034423674</v>
      </c>
      <c r="E43" s="368">
        <v>-163665.13745430135</v>
      </c>
      <c r="F43" s="368">
        <f t="shared" si="3"/>
        <v>-136222.89941987768</v>
      </c>
      <c r="G43" s="320">
        <f t="shared" si="2"/>
        <v>0</v>
      </c>
      <c r="H43" s="368">
        <f t="shared" si="4"/>
        <v>-136222.89941987768</v>
      </c>
      <c r="I43" s="368"/>
      <c r="J43" s="49">
        <f>-'Table 5C1A-Madison Prep'!H43</f>
        <v>0</v>
      </c>
      <c r="K43" s="368">
        <f>-'Table 5C1B-DArbonne'!H43</f>
        <v>-36827.475656446739</v>
      </c>
      <c r="L43" s="368">
        <f>-'Table 5C1C-Intl_VIBE'!H43</f>
        <v>0</v>
      </c>
      <c r="M43" s="368">
        <f>-'Table 5C1D-NOMMA'!H43</f>
        <v>0</v>
      </c>
      <c r="N43" s="368">
        <f>-'Table 5C1E-LFNO'!H43</f>
        <v>0</v>
      </c>
      <c r="O43" s="368">
        <f>-'Table 5C1F-Lake Charles Charter'!H43</f>
        <v>0</v>
      </c>
      <c r="P43" s="325">
        <f>-('Table 5C2 - LA Virtual Admy'!H40+'Table 5C2 - LA Virtual Admy'!I40)</f>
        <v>-141171.99001637913</v>
      </c>
      <c r="Q43" s="325">
        <f>-'Table 5C3 - LA Connections EBR'!H40-'Table 5C3 - LA Connections EBR'!I40</f>
        <v>-61379.126094077888</v>
      </c>
      <c r="R43" s="325">
        <f>-'Table 5D1 - New Vision'!G43</f>
        <v>-874284.33651235676</v>
      </c>
      <c r="S43" s="325">
        <f>-'Table 5D2 - Glencoe'!G43</f>
        <v>0</v>
      </c>
      <c r="T43" s="325">
        <f>-'Table 5D3 - International'!G43</f>
        <v>0</v>
      </c>
      <c r="U43" s="325">
        <f>-'Table 5D4 - Avoyelles'!G43</f>
        <v>0</v>
      </c>
      <c r="V43" s="325">
        <f>-'Table 5D5 - Delhi'!G43</f>
        <v>0</v>
      </c>
      <c r="W43" s="325">
        <f>-'Table 5D6 - Milestone'!G43</f>
        <v>0</v>
      </c>
      <c r="X43" s="325">
        <f>-'Table 5D7 - Max'!G43</f>
        <v>0</v>
      </c>
      <c r="Y43" s="325">
        <f>-'Table 5D8 - Belle Chasse'!I43</f>
        <v>0</v>
      </c>
      <c r="Z43" s="325">
        <f>-'Table 5A4_LSDVI'!H43</f>
        <v>-18413.737828223369</v>
      </c>
      <c r="AA43" s="325">
        <f>-'Table 5A5_SSD'!H43</f>
        <v>-42965.388265854519</v>
      </c>
      <c r="AB43" s="325">
        <f>-'Table 5F Scholarships'!E47</f>
        <v>0</v>
      </c>
      <c r="AC43" s="582">
        <f t="shared" si="5"/>
        <v>117844576</v>
      </c>
      <c r="AD43" s="320">
        <f t="shared" si="6"/>
        <v>9820381</v>
      </c>
      <c r="AE43" s="320">
        <f>'Table 4A Stipends'!G40</f>
        <v>0</v>
      </c>
      <c r="AF43" s="368">
        <f t="shared" si="7"/>
        <v>117844576</v>
      </c>
      <c r="AG43" s="584"/>
      <c r="AH43" s="1600">
        <f>('Table 8 2.1.12 MFP Funded'!G40*'Table 3 Levels 1&amp;2'!AP44)+'Table 2_State Distrib and Adjs'!F43</f>
        <v>117853349.62487933</v>
      </c>
      <c r="AI43" s="1597">
        <f t="shared" ref="AI43:AI75" si="10">AC43-AH43</f>
        <v>-8773.6248793303967</v>
      </c>
      <c r="AJ43" s="1595">
        <f t="shared" ref="AJ43:AJ75" si="11">AI43/AH43</f>
        <v>-7.444527378522848E-5</v>
      </c>
      <c r="AK43" s="585"/>
      <c r="AL43" s="585"/>
    </row>
    <row r="44" spans="1:57">
      <c r="A44" s="101">
        <v>38</v>
      </c>
      <c r="B44" s="311" t="s">
        <v>139</v>
      </c>
      <c r="C44" s="320">
        <f>'Table 3 Levels 1&amp;2'!AO45</f>
        <v>12744019.095111018</v>
      </c>
      <c r="D44" s="368">
        <v>-10069.452945205478</v>
      </c>
      <c r="E44" s="368">
        <v>-8831.5543560959377</v>
      </c>
      <c r="F44" s="368">
        <f t="shared" si="3"/>
        <v>-18901.007301301415</v>
      </c>
      <c r="G44" s="320">
        <f t="shared" si="2"/>
        <v>0</v>
      </c>
      <c r="H44" s="368">
        <f t="shared" si="4"/>
        <v>-18901.007301301415</v>
      </c>
      <c r="I44" s="368"/>
      <c r="J44" s="49">
        <f>-'Table 5C1A-Madison Prep'!H44</f>
        <v>0</v>
      </c>
      <c r="K44" s="368">
        <f>-'Table 5C1B-DArbonne'!H44</f>
        <v>0</v>
      </c>
      <c r="L44" s="368">
        <f>-'Table 5C1C-Intl_VIBE'!H44</f>
        <v>0</v>
      </c>
      <c r="M44" s="368">
        <f>-'Table 5C1D-NOMMA'!H44</f>
        <v>-15108.307682291668</v>
      </c>
      <c r="N44" s="368">
        <f>-'Table 5C1E-LFNO'!H44</f>
        <v>0</v>
      </c>
      <c r="O44" s="368">
        <f>-'Table 5C1F-Lake Charles Charter'!H44</f>
        <v>0</v>
      </c>
      <c r="P44" s="325">
        <f>-('Table 5C2 - LA Virtual Admy'!H41+'Table 5C2 - LA Virtual Admy'!I41)</f>
        <v>-12086.646145833334</v>
      </c>
      <c r="Q44" s="325">
        <f>-'Table 5C3 - LA Connections EBR'!H41-'Table 5C3 - LA Connections EBR'!I41</f>
        <v>0</v>
      </c>
      <c r="R44" s="325">
        <f>-'Table 5D1 - New Vision'!G44</f>
        <v>0</v>
      </c>
      <c r="S44" s="325">
        <f>-'Table 5D2 - Glencoe'!G44</f>
        <v>0</v>
      </c>
      <c r="T44" s="325">
        <f>-'Table 5D3 - International'!G44</f>
        <v>-2906.5516940213583</v>
      </c>
      <c r="U44" s="325">
        <f>-'Table 5D4 - Avoyelles'!G44</f>
        <v>0</v>
      </c>
      <c r="V44" s="325">
        <f>-'Table 5D5 - Delhi'!G44</f>
        <v>0</v>
      </c>
      <c r="W44" s="325">
        <f>-'Table 5D6 - Milestone'!G44</f>
        <v>0</v>
      </c>
      <c r="X44" s="325">
        <f>-'Table 5D7 - Max'!G44</f>
        <v>0</v>
      </c>
      <c r="Y44" s="325">
        <f>-'Table 5D8 - Belle Chasse'!I44</f>
        <v>-1383018.7958701218</v>
      </c>
      <c r="Z44" s="325">
        <f>-'Table 5A4_LSDVI'!H44</f>
        <v>0</v>
      </c>
      <c r="AA44" s="325">
        <f>-'Table 5A5_SSD'!H44</f>
        <v>0</v>
      </c>
      <c r="AB44" s="325">
        <f>-'Table 5F Scholarships'!E48</f>
        <v>0</v>
      </c>
      <c r="AC44" s="582">
        <f t="shared" si="5"/>
        <v>11311998</v>
      </c>
      <c r="AD44" s="320">
        <f t="shared" si="6"/>
        <v>942667</v>
      </c>
      <c r="AE44" s="320">
        <f>'Table 4A Stipends'!G41</f>
        <v>6000</v>
      </c>
      <c r="AF44" s="368">
        <f t="shared" si="7"/>
        <v>11317998</v>
      </c>
      <c r="AG44" s="584"/>
      <c r="AH44" s="1600">
        <f>('Table 8 2.1.12 MFP Funded'!G41*'Table 3 Levels 1&amp;2'!AP45)+'Table 2_State Distrib and Adjs'!F44</f>
        <v>11295036.399579931</v>
      </c>
      <c r="AI44" s="1597">
        <f t="shared" si="10"/>
        <v>16961.600420068949</v>
      </c>
      <c r="AJ44" s="1595">
        <f t="shared" si="11"/>
        <v>1.5016862115379956E-3</v>
      </c>
      <c r="AK44" s="585"/>
      <c r="AL44" s="585"/>
    </row>
    <row r="45" spans="1:57">
      <c r="A45" s="101">
        <v>39</v>
      </c>
      <c r="B45" s="311" t="s">
        <v>140</v>
      </c>
      <c r="C45" s="320">
        <f>'Table 3 Levels 1&amp;2'!AO46</f>
        <v>12869063.031965293</v>
      </c>
      <c r="D45" s="368">
        <v>13198.600736875989</v>
      </c>
      <c r="E45" s="368">
        <v>-9827.0072077442619</v>
      </c>
      <c r="F45" s="368">
        <f t="shared" si="3"/>
        <v>3371.5935291317273</v>
      </c>
      <c r="G45" s="320">
        <f t="shared" si="2"/>
        <v>3371.5935291317273</v>
      </c>
      <c r="H45" s="368">
        <f t="shared" si="4"/>
        <v>0</v>
      </c>
      <c r="I45" s="368">
        <f>-'Table 5B2_RSD_LA'!H23</f>
        <v>-1237038.6373284906</v>
      </c>
      <c r="J45" s="368">
        <f>-'Table 5C1A-Madison Prep'!H45</f>
        <v>0</v>
      </c>
      <c r="K45" s="368">
        <f>-'Table 5C1B-DArbonne'!H45</f>
        <v>0</v>
      </c>
      <c r="L45" s="368">
        <f>-'Table 5C1C-Intl_VIBE'!H45</f>
        <v>0</v>
      </c>
      <c r="M45" s="368">
        <f>-'Table 5C1D-NOMMA'!H45</f>
        <v>0</v>
      </c>
      <c r="N45" s="368">
        <f>-'Table 5C1E-LFNO'!H45</f>
        <v>0</v>
      </c>
      <c r="O45" s="368">
        <f>-'Table 5C1F-Lake Charles Charter'!H45</f>
        <v>0</v>
      </c>
      <c r="P45" s="325">
        <f>-('Table 5C2 - LA Virtual Admy'!H42+'Table 5C2 - LA Virtual Admy'!I42)</f>
        <v>-31260.911010837517</v>
      </c>
      <c r="Q45" s="325">
        <f>-'Table 5C3 - LA Connections EBR'!H42-'Table 5C3 - LA Connections EBR'!I42</f>
        <v>-26795.06658071787</v>
      </c>
      <c r="R45" s="325">
        <f>-'Table 5D1 - New Vision'!G45</f>
        <v>0</v>
      </c>
      <c r="S45" s="325">
        <f>-'Table 5D2 - Glencoe'!G45</f>
        <v>0</v>
      </c>
      <c r="T45" s="325">
        <f>-'Table 5D3 - International'!G45</f>
        <v>0</v>
      </c>
      <c r="U45" s="325">
        <f>-'Table 5D4 - Avoyelles'!G45</f>
        <v>-8444.6256702704068</v>
      </c>
      <c r="V45" s="325">
        <f>-'Table 5D5 - Delhi'!G45</f>
        <v>0</v>
      </c>
      <c r="W45" s="325">
        <f>-'Table 5D6 - Milestone'!G45</f>
        <v>0</v>
      </c>
      <c r="X45" s="325">
        <f>-'Table 5D7 - Max'!G45</f>
        <v>0</v>
      </c>
      <c r="Y45" s="325">
        <f>-'Table 5D8 - Belle Chasse'!I45</f>
        <v>0</v>
      </c>
      <c r="Z45" s="325">
        <f>-'Table 5A4_LSDVI'!H45</f>
        <v>-31260.911010837517</v>
      </c>
      <c r="AA45" s="325">
        <f>-'Table 5A5_SSD'!H45</f>
        <v>-4465.844430119645</v>
      </c>
      <c r="AB45" s="325">
        <f>-'Table 5F Scholarships'!E49</f>
        <v>0</v>
      </c>
      <c r="AC45" s="582">
        <f t="shared" si="5"/>
        <v>11533169</v>
      </c>
      <c r="AD45" s="320">
        <f t="shared" si="6"/>
        <v>961097</v>
      </c>
      <c r="AE45" s="320">
        <f>'Table 4A Stipends'!G42</f>
        <v>0</v>
      </c>
      <c r="AF45" s="368">
        <f t="shared" si="7"/>
        <v>11533169</v>
      </c>
      <c r="AG45" s="584"/>
      <c r="AH45" s="1600">
        <f>('Table 8 2.1.12 MFP Funded'!G42*'Table 3 Levels 1&amp;2'!AP46)+'Table 2_State Distrib and Adjs'!F45</f>
        <v>11532837.502111498</v>
      </c>
      <c r="AI45" s="1597">
        <f t="shared" si="10"/>
        <v>331.49788850173354</v>
      </c>
      <c r="AJ45" s="1595">
        <f t="shared" si="11"/>
        <v>2.8743827218673723E-5</v>
      </c>
      <c r="AK45" s="585"/>
      <c r="AL45" s="585"/>
    </row>
    <row r="46" spans="1:57">
      <c r="A46" s="102">
        <v>40</v>
      </c>
      <c r="B46" s="312" t="s">
        <v>141</v>
      </c>
      <c r="C46" s="329">
        <f>'Table 3 Levels 1&amp;2'!AO47</f>
        <v>128436293.24095778</v>
      </c>
      <c r="D46" s="369">
        <v>-56723.898615665617</v>
      </c>
      <c r="E46" s="369">
        <v>-77470.728537964867</v>
      </c>
      <c r="F46" s="369">
        <f t="shared" si="3"/>
        <v>-134194.62715363048</v>
      </c>
      <c r="G46" s="329">
        <f t="shared" si="2"/>
        <v>0</v>
      </c>
      <c r="H46" s="369">
        <f t="shared" si="4"/>
        <v>-134194.62715363048</v>
      </c>
      <c r="I46" s="369"/>
      <c r="J46" s="369">
        <f>-'Table 5C1A-Madison Prep'!H46</f>
        <v>0</v>
      </c>
      <c r="K46" s="369">
        <f>-'Table 5C1B-DArbonne'!H46</f>
        <v>0</v>
      </c>
      <c r="L46" s="369">
        <f>-'Table 5C1C-Intl_VIBE'!H46</f>
        <v>0</v>
      </c>
      <c r="M46" s="369">
        <f>-'Table 5C1D-NOMMA'!H46</f>
        <v>0</v>
      </c>
      <c r="N46" s="369">
        <f>-'Table 5C1E-LFNO'!H46</f>
        <v>0</v>
      </c>
      <c r="O46" s="369">
        <f>-'Table 5C1F-Lake Charles Charter'!H46</f>
        <v>0</v>
      </c>
      <c r="P46" s="332">
        <f>-('Table 5C2 - LA Virtual Admy'!H43+'Table 5C2 - LA Virtual Admy'!I43)</f>
        <v>-172957.94451118095</v>
      </c>
      <c r="Q46" s="332">
        <f>-'Table 5C3 - LA Connections EBR'!H43-'Table 5C3 - LA Connections EBR'!I43</f>
        <v>-133902.92478284976</v>
      </c>
      <c r="R46" s="332">
        <f>-'Table 5D1 - New Vision'!G46</f>
        <v>0</v>
      </c>
      <c r="S46" s="332">
        <f>-'Table 5D2 - Glencoe'!G46</f>
        <v>0</v>
      </c>
      <c r="T46" s="332">
        <f>-'Table 5D3 - International'!G46</f>
        <v>0</v>
      </c>
      <c r="U46" s="332">
        <f>-'Table 5D4 - Avoyelles'!G46</f>
        <v>-21660.57067224825</v>
      </c>
      <c r="V46" s="332">
        <f>-'Table 5D5 - Delhi'!G46</f>
        <v>0</v>
      </c>
      <c r="W46" s="332">
        <f>-'Table 5D6 - Milestone'!G46</f>
        <v>0</v>
      </c>
      <c r="X46" s="332">
        <f>-'Table 5D7 - Max'!G46</f>
        <v>0</v>
      </c>
      <c r="Y46" s="332">
        <f>-'Table 5D8 - Belle Chasse'!I46</f>
        <v>0</v>
      </c>
      <c r="Z46" s="332">
        <f>-'Table 5A4_LSDVI'!H46</f>
        <v>-22317.154130474963</v>
      </c>
      <c r="AA46" s="332">
        <f>-'Table 5A5_SSD'!H46</f>
        <v>-133902.92478284976</v>
      </c>
      <c r="AB46" s="332">
        <f>-'Table 5F Scholarships'!E50</f>
        <v>0</v>
      </c>
      <c r="AC46" s="583">
        <f t="shared" si="5"/>
        <v>127817357</v>
      </c>
      <c r="AD46" s="329">
        <f t="shared" si="6"/>
        <v>10651446</v>
      </c>
      <c r="AE46" s="329">
        <f>'Table 4A Stipends'!G43</f>
        <v>0</v>
      </c>
      <c r="AF46" s="369">
        <f t="shared" si="7"/>
        <v>127817357</v>
      </c>
      <c r="AH46" s="1599">
        <f>('Table 8 2.1.12 MFP Funded'!G43*'Table 3 Levels 1&amp;2'!AP47)+'Table 2_State Distrib and Adjs'!F46</f>
        <v>127816717.54817</v>
      </c>
      <c r="AI46" s="778">
        <f t="shared" si="10"/>
        <v>639.45182999968529</v>
      </c>
      <c r="AJ46" s="292">
        <f t="shared" si="11"/>
        <v>5.0028810179599281E-6</v>
      </c>
    </row>
    <row r="47" spans="1:57">
      <c r="A47" s="101">
        <v>41</v>
      </c>
      <c r="B47" s="311" t="s">
        <v>142</v>
      </c>
      <c r="C47" s="320">
        <f>'Table 3 Levels 1&amp;2'!AO48</f>
        <v>3509707.1739999996</v>
      </c>
      <c r="D47" s="368">
        <v>6835.8425449243568</v>
      </c>
      <c r="E47" s="368">
        <v>-12087.925393089325</v>
      </c>
      <c r="F47" s="368">
        <f t="shared" si="3"/>
        <v>-5252.0828481649678</v>
      </c>
      <c r="G47" s="320">
        <f t="shared" si="2"/>
        <v>0</v>
      </c>
      <c r="H47" s="368">
        <f t="shared" si="4"/>
        <v>-5252.0828481649678</v>
      </c>
      <c r="I47" s="368"/>
      <c r="J47" s="368">
        <f>-'Table 5C1A-Madison Prep'!H47</f>
        <v>0</v>
      </c>
      <c r="K47" s="368">
        <f>-'Table 5C1B-DArbonne'!H47</f>
        <v>0</v>
      </c>
      <c r="L47" s="368">
        <f>-'Table 5C1C-Intl_VIBE'!H47</f>
        <v>0</v>
      </c>
      <c r="M47" s="368">
        <f>-'Table 5C1D-NOMMA'!H47</f>
        <v>0</v>
      </c>
      <c r="N47" s="368">
        <f>-'Table 5C1E-LFNO'!H47</f>
        <v>0</v>
      </c>
      <c r="O47" s="368">
        <f>-'Table 5C1F-Lake Charles Charter'!H47</f>
        <v>0</v>
      </c>
      <c r="P47" s="325">
        <f>-('Table 5C2 - LA Virtual Admy'!H44+'Table 5C2 - LA Virtual Admy'!I44)</f>
        <v>-4989.3006965174136</v>
      </c>
      <c r="Q47" s="325">
        <f>-'Table 5C3 - LA Connections EBR'!H44-'Table 5C3 - LA Connections EBR'!I44</f>
        <v>-2494.6503482587068</v>
      </c>
      <c r="R47" s="325">
        <f>-'Table 5D1 - New Vision'!G47</f>
        <v>0</v>
      </c>
      <c r="S47" s="325">
        <f>-'Table 5D2 - Glencoe'!G47</f>
        <v>0</v>
      </c>
      <c r="T47" s="325">
        <f>-'Table 5D3 - International'!G47</f>
        <v>0</v>
      </c>
      <c r="U47" s="325">
        <f>-'Table 5D4 - Avoyelles'!G47</f>
        <v>0</v>
      </c>
      <c r="V47" s="325">
        <f>-'Table 5D5 - Delhi'!G47</f>
        <v>0</v>
      </c>
      <c r="W47" s="325">
        <f>-'Table 5D6 - Milestone'!G47</f>
        <v>0</v>
      </c>
      <c r="X47" s="325">
        <f>-'Table 5D7 - Max'!G47</f>
        <v>0</v>
      </c>
      <c r="Y47" s="325">
        <f>-'Table 5D8 - Belle Chasse'!I47</f>
        <v>0</v>
      </c>
      <c r="Z47" s="325">
        <f>-'Table 5A4_LSDVI'!H47</f>
        <v>-2494.6503482587068</v>
      </c>
      <c r="AA47" s="325">
        <f>-'Table 5A5_SSD'!H47</f>
        <v>-4989.3006965174136</v>
      </c>
      <c r="AB47" s="325">
        <f>-'Table 5F Scholarships'!E51</f>
        <v>0</v>
      </c>
      <c r="AC47" s="582">
        <f t="shared" si="5"/>
        <v>3489487</v>
      </c>
      <c r="AD47" s="320">
        <f t="shared" si="6"/>
        <v>290791</v>
      </c>
      <c r="AE47" s="320">
        <f>'Table 4A Stipends'!G44</f>
        <v>0</v>
      </c>
      <c r="AF47" s="368">
        <f t="shared" si="7"/>
        <v>3489487</v>
      </c>
      <c r="AH47" s="1599">
        <f>('Table 8 2.1.12 MFP Funded'!G44*'Table 3 Levels 1&amp;2'!AP48)+'Table 2_State Distrib and Adjs'!F47</f>
        <v>3489488.3228192115</v>
      </c>
      <c r="AI47" s="778">
        <f t="shared" si="10"/>
        <v>-1.3228192115202546</v>
      </c>
      <c r="AJ47" s="292">
        <f t="shared" si="11"/>
        <v>-3.7908687152491417E-7</v>
      </c>
    </row>
    <row r="48" spans="1:57">
      <c r="A48" s="101">
        <v>42</v>
      </c>
      <c r="B48" s="311" t="s">
        <v>143</v>
      </c>
      <c r="C48" s="320">
        <f>'Table 3 Levels 1&amp;2'!AO49</f>
        <v>22201766.148655534</v>
      </c>
      <c r="D48" s="368">
        <v>3135.0255741489814</v>
      </c>
      <c r="E48" s="368">
        <v>-27581.387289773222</v>
      </c>
      <c r="F48" s="368">
        <f t="shared" si="3"/>
        <v>-24446.36171562424</v>
      </c>
      <c r="G48" s="320">
        <f t="shared" si="2"/>
        <v>0</v>
      </c>
      <c r="H48" s="368">
        <f t="shared" si="4"/>
        <v>-24446.36171562424</v>
      </c>
      <c r="I48" s="368"/>
      <c r="J48" s="368">
        <f>-'Table 5C1A-Madison Prep'!H48</f>
        <v>0</v>
      </c>
      <c r="K48" s="368">
        <f>-'Table 5C1B-DArbonne'!H48</f>
        <v>0</v>
      </c>
      <c r="L48" s="368">
        <f>-'Table 5C1C-Intl_VIBE'!H48</f>
        <v>0</v>
      </c>
      <c r="M48" s="368">
        <f>-'Table 5C1D-NOMMA'!H48</f>
        <v>0</v>
      </c>
      <c r="N48" s="368">
        <f>-'Table 5C1E-LFNO'!H48</f>
        <v>0</v>
      </c>
      <c r="O48" s="368">
        <f>-'Table 5C1F-Lake Charles Charter'!H48</f>
        <v>0</v>
      </c>
      <c r="P48" s="325">
        <f>-('Table 5C2 - LA Virtual Admy'!H45+'Table 5C2 - LA Virtual Admy'!I45)</f>
        <v>-63740.432557781831</v>
      </c>
      <c r="Q48" s="325">
        <f>-'Table 5C3 - LA Connections EBR'!H45-'Table 5C3 - LA Connections EBR'!I45</f>
        <v>0</v>
      </c>
      <c r="R48" s="325">
        <f>-'Table 5D1 - New Vision'!G48</f>
        <v>-11953.200599731375</v>
      </c>
      <c r="S48" s="325">
        <f>-'Table 5D2 - Glencoe'!G48</f>
        <v>0</v>
      </c>
      <c r="T48" s="325">
        <f>-'Table 5D3 - International'!G48</f>
        <v>0</v>
      </c>
      <c r="U48" s="325">
        <f>-'Table 5D4 - Avoyelles'!G48</f>
        <v>0</v>
      </c>
      <c r="V48" s="325">
        <f>-'Table 5D5 - Delhi'!G48</f>
        <v>-2280207.3589159492</v>
      </c>
      <c r="W48" s="325">
        <f>-'Table 5D6 - Milestone'!G48</f>
        <v>0</v>
      </c>
      <c r="X48" s="325">
        <f>-'Table 5D7 - Max'!G48</f>
        <v>0</v>
      </c>
      <c r="Y48" s="325">
        <f>-'Table 5D8 - Belle Chasse'!I48</f>
        <v>0</v>
      </c>
      <c r="Z48" s="325">
        <f>-'Table 5A4_LSDVI'!H48</f>
        <v>0</v>
      </c>
      <c r="AA48" s="325">
        <f>-'Table 5A5_SSD'!H48</f>
        <v>-5794.5847779801661</v>
      </c>
      <c r="AB48" s="325">
        <f>-'Table 5F Scholarships'!E52</f>
        <v>0</v>
      </c>
      <c r="AC48" s="582">
        <f t="shared" si="5"/>
        <v>19815624</v>
      </c>
      <c r="AD48" s="320">
        <f t="shared" si="6"/>
        <v>1651302</v>
      </c>
      <c r="AE48" s="320">
        <f>'Table 4A Stipends'!G45</f>
        <v>0</v>
      </c>
      <c r="AF48" s="368">
        <f t="shared" si="7"/>
        <v>19815624</v>
      </c>
      <c r="AH48" s="1599">
        <f>('Table 8 2.1.12 MFP Funded'!G45*'Table 3 Levels 1&amp;2'!AP49)+'Table 2_State Distrib and Adjs'!F48</f>
        <v>19813457.420381594</v>
      </c>
      <c r="AI48" s="778">
        <f t="shared" si="10"/>
        <v>2166.5796184055507</v>
      </c>
      <c r="AJ48" s="292">
        <f t="shared" si="11"/>
        <v>1.0934889214119924E-4</v>
      </c>
    </row>
    <row r="49" spans="1:36">
      <c r="A49" s="101">
        <v>43</v>
      </c>
      <c r="B49" s="311" t="s">
        <v>144</v>
      </c>
      <c r="C49" s="320">
        <f>'Table 3 Levels 1&amp;2'!AO50</f>
        <v>24566524.780017599</v>
      </c>
      <c r="D49" s="368">
        <v>-6441.7912199200791</v>
      </c>
      <c r="E49" s="368">
        <v>6666.3158296887595</v>
      </c>
      <c r="F49" s="368">
        <f t="shared" si="3"/>
        <v>224.52460976868042</v>
      </c>
      <c r="G49" s="320">
        <f t="shared" si="2"/>
        <v>224.52460976868042</v>
      </c>
      <c r="H49" s="368">
        <f t="shared" si="4"/>
        <v>0</v>
      </c>
      <c r="I49" s="368"/>
      <c r="J49" s="368">
        <f>-'Table 5C1A-Madison Prep'!H49</f>
        <v>0</v>
      </c>
      <c r="K49" s="368">
        <f>-'Table 5C1B-DArbonne'!H49</f>
        <v>0</v>
      </c>
      <c r="L49" s="368">
        <f>-'Table 5C1C-Intl_VIBE'!H49</f>
        <v>0</v>
      </c>
      <c r="M49" s="368">
        <f>-'Table 5C1D-NOMMA'!H49</f>
        <v>0</v>
      </c>
      <c r="N49" s="368">
        <f>-'Table 5C1E-LFNO'!H49</f>
        <v>0</v>
      </c>
      <c r="O49" s="368">
        <f>-'Table 5C1F-Lake Charles Charter'!H49</f>
        <v>0</v>
      </c>
      <c r="P49" s="325">
        <f>-('Table 5C2 - LA Virtual Admy'!H46+'Table 5C2 - LA Virtual Admy'!I46)</f>
        <v>-92429.388491413105</v>
      </c>
      <c r="Q49" s="325">
        <f>-'Table 5C3 - LA Connections EBR'!H46-'Table 5C3 - LA Connections EBR'!I46</f>
        <v>-36971.755396565233</v>
      </c>
      <c r="R49" s="325">
        <f>-'Table 5D1 - New Vision'!G49</f>
        <v>0</v>
      </c>
      <c r="S49" s="325">
        <f>-'Table 5D2 - Glencoe'!G49</f>
        <v>0</v>
      </c>
      <c r="T49" s="325">
        <f>-'Table 5D3 - International'!G49</f>
        <v>0</v>
      </c>
      <c r="U49" s="325">
        <f>-'Table 5D4 - Avoyelles'!G49</f>
        <v>0</v>
      </c>
      <c r="V49" s="325">
        <f>-'Table 5D5 - Delhi'!G49</f>
        <v>0</v>
      </c>
      <c r="W49" s="325">
        <f>-'Table 5D6 - Milestone'!G49</f>
        <v>0</v>
      </c>
      <c r="X49" s="325">
        <f>-'Table 5D7 - Max'!G49</f>
        <v>0</v>
      </c>
      <c r="Y49" s="325">
        <f>-'Table 5D8 - Belle Chasse'!I49</f>
        <v>0</v>
      </c>
      <c r="Z49" s="325">
        <f>-'Table 5A4_LSDVI'!H49</f>
        <v>-6161.9592327608725</v>
      </c>
      <c r="AA49" s="325">
        <f>-'Table 5A5_SSD'!H49</f>
        <v>0</v>
      </c>
      <c r="AB49" s="325">
        <f>-'Table 5F Scholarships'!E53</f>
        <v>0</v>
      </c>
      <c r="AC49" s="579">
        <f t="shared" si="5"/>
        <v>24431186</v>
      </c>
      <c r="AD49" s="320">
        <f t="shared" si="6"/>
        <v>2035932</v>
      </c>
      <c r="AE49" s="320">
        <f>'Table 4A Stipends'!G46</f>
        <v>0</v>
      </c>
      <c r="AF49" s="320">
        <f t="shared" si="7"/>
        <v>24431186</v>
      </c>
      <c r="AH49" s="1599">
        <f>('Table 8 2.1.12 MFP Funded'!G46*'Table 3 Levels 1&amp;2'!AP50)+'Table 2_State Distrib and Adjs'!F49</f>
        <v>24431192.85989188</v>
      </c>
      <c r="AI49" s="778">
        <f t="shared" si="10"/>
        <v>-6.8598918803036213</v>
      </c>
      <c r="AJ49" s="292">
        <f t="shared" si="11"/>
        <v>-2.8078415653479394E-7</v>
      </c>
    </row>
    <row r="50" spans="1:36">
      <c r="A50" s="101">
        <v>44</v>
      </c>
      <c r="B50" s="311" t="s">
        <v>145</v>
      </c>
      <c r="C50" s="320">
        <f>'Table 3 Levels 1&amp;2'!AO51</f>
        <v>28065832.11128547</v>
      </c>
      <c r="D50" s="368">
        <v>18142.28052498664</v>
      </c>
      <c r="E50" s="368">
        <v>-24705.854850118099</v>
      </c>
      <c r="F50" s="368">
        <f t="shared" si="3"/>
        <v>-6563.5743251314598</v>
      </c>
      <c r="G50" s="320">
        <f t="shared" si="2"/>
        <v>0</v>
      </c>
      <c r="H50" s="368">
        <f t="shared" si="4"/>
        <v>-6563.5743251314598</v>
      </c>
      <c r="I50" s="368"/>
      <c r="J50" s="49">
        <f>-'Table 5C1A-Madison Prep'!H50</f>
        <v>0</v>
      </c>
      <c r="K50" s="368">
        <f>-'Table 5C1B-DArbonne'!H50</f>
        <v>0</v>
      </c>
      <c r="L50" s="368">
        <f>-'Table 5C1C-Intl_VIBE'!H50</f>
        <v>-4776.338759191899</v>
      </c>
      <c r="M50" s="368">
        <f>-'Table 5C1D-NOMMA'!H50</f>
        <v>0</v>
      </c>
      <c r="N50" s="368">
        <f>-'Table 5C1E-LFNO'!H50</f>
        <v>0</v>
      </c>
      <c r="O50" s="368">
        <f>-'Table 5C1F-Lake Charles Charter'!H50</f>
        <v>0</v>
      </c>
      <c r="P50" s="325">
        <f>-('Table 5C2 - LA Virtual Admy'!H47+'Table 5C2 - LA Virtual Admy'!I47)</f>
        <v>-23881.693795959498</v>
      </c>
      <c r="Q50" s="325">
        <f>-'Table 5C3 - LA Connections EBR'!H47-'Table 5C3 - LA Connections EBR'!I47</f>
        <v>-19105.355036767596</v>
      </c>
      <c r="R50" s="325">
        <f>-'Table 5D1 - New Vision'!G50</f>
        <v>0</v>
      </c>
      <c r="S50" s="325">
        <f>-'Table 5D2 - Glencoe'!G50</f>
        <v>0</v>
      </c>
      <c r="T50" s="325">
        <f>-'Table 5D3 - International'!G50</f>
        <v>-57935.867001059094</v>
      </c>
      <c r="U50" s="325">
        <f>-'Table 5D4 - Avoyelles'!G50</f>
        <v>0</v>
      </c>
      <c r="V50" s="325">
        <f>-'Table 5D5 - Delhi'!G50</f>
        <v>0</v>
      </c>
      <c r="W50" s="325">
        <f>-'Table 5D6 - Milestone'!G50</f>
        <v>-4818.9431423087826</v>
      </c>
      <c r="X50" s="325">
        <f>-'Table 5D7 - Max'!G50</f>
        <v>0</v>
      </c>
      <c r="Y50" s="325">
        <f>-'Table 5D8 - Belle Chasse'!I50</f>
        <v>0</v>
      </c>
      <c r="Z50" s="325">
        <f>-'Table 5A4_LSDVI'!H50</f>
        <v>-23881.693795959494</v>
      </c>
      <c r="AA50" s="325">
        <f>-'Table 5A5_SSD'!H50</f>
        <v>-9552.6775183837981</v>
      </c>
      <c r="AB50" s="325">
        <f>-'Table 5F Scholarships'!E54</f>
        <v>0</v>
      </c>
      <c r="AC50" s="579">
        <f t="shared" si="5"/>
        <v>27915316</v>
      </c>
      <c r="AD50" s="320">
        <f t="shared" si="6"/>
        <v>2326276</v>
      </c>
      <c r="AE50" s="320">
        <f>'Table 4A Stipends'!G47</f>
        <v>0</v>
      </c>
      <c r="AF50" s="320">
        <f t="shared" si="7"/>
        <v>27915316</v>
      </c>
      <c r="AH50" s="1599">
        <f>('Table 8 2.1.12 MFP Funded'!G47*'Table 3 Levels 1&amp;2'!AP51)+'Table 2_State Distrib and Adjs'!F50</f>
        <v>27915978.039455477</v>
      </c>
      <c r="AI50" s="778">
        <f t="shared" si="10"/>
        <v>-662.03945547714829</v>
      </c>
      <c r="AJ50" s="292">
        <f t="shared" si="11"/>
        <v>-2.3715431160658052E-5</v>
      </c>
    </row>
    <row r="51" spans="1:36">
      <c r="A51" s="102">
        <v>45</v>
      </c>
      <c r="B51" s="312" t="s">
        <v>146</v>
      </c>
      <c r="C51" s="329">
        <f>'Table 3 Levels 1&amp;2'!AO52</f>
        <v>29871209.952447914</v>
      </c>
      <c r="D51" s="369">
        <v>1565.9466986359766</v>
      </c>
      <c r="E51" s="369">
        <v>-10343.049842928602</v>
      </c>
      <c r="F51" s="369">
        <f t="shared" si="3"/>
        <v>-8777.1031442926251</v>
      </c>
      <c r="G51" s="329">
        <f t="shared" si="2"/>
        <v>0</v>
      </c>
      <c r="H51" s="369">
        <f t="shared" si="4"/>
        <v>-8777.1031442926251</v>
      </c>
      <c r="I51" s="369"/>
      <c r="J51" s="58">
        <f>-'Table 5C1A-Madison Prep'!H51</f>
        <v>0</v>
      </c>
      <c r="K51" s="369">
        <f>-'Table 5C1B-DArbonne'!H51</f>
        <v>0</v>
      </c>
      <c r="L51" s="369">
        <f>-'Table 5C1C-Intl_VIBE'!H51</f>
        <v>-6337.6159796329694</v>
      </c>
      <c r="M51" s="369">
        <f>-'Table 5C1D-NOMMA'!H51</f>
        <v>-3168.8079898164847</v>
      </c>
      <c r="N51" s="369">
        <f>-'Table 5C1E-LFNO'!H51</f>
        <v>0</v>
      </c>
      <c r="O51" s="369">
        <f>-'Table 5C1F-Lake Charles Charter'!H51</f>
        <v>0</v>
      </c>
      <c r="P51" s="332">
        <f>-('Table 5C2 - LA Virtual Admy'!H48+'Table 5C2 - LA Virtual Admy'!I48)</f>
        <v>-6337.6159796329703</v>
      </c>
      <c r="Q51" s="332">
        <f>-'Table 5C3 - LA Connections EBR'!H48-'Table 5C3 - LA Connections EBR'!I48</f>
        <v>-19012.847938898911</v>
      </c>
      <c r="R51" s="332">
        <f>-'Table 5D1 - New Vision'!G51</f>
        <v>0</v>
      </c>
      <c r="S51" s="332">
        <f>-'Table 5D2 - Glencoe'!G51</f>
        <v>0</v>
      </c>
      <c r="T51" s="332">
        <f>-'Table 5D3 - International'!G51</f>
        <v>-15648.290736897548</v>
      </c>
      <c r="U51" s="332">
        <f>-'Table 5D4 - Avoyelles'!G51</f>
        <v>0</v>
      </c>
      <c r="V51" s="332">
        <f>-'Table 5D5 - Delhi'!G51</f>
        <v>0</v>
      </c>
      <c r="W51" s="332">
        <f>-'Table 5D6 - Milestone'!G51</f>
        <v>0</v>
      </c>
      <c r="X51" s="332">
        <f>-'Table 5D7 - Max'!G51</f>
        <v>-12296.239199205829</v>
      </c>
      <c r="Y51" s="332">
        <f>-'Table 5D8 - Belle Chasse'!I51</f>
        <v>-3203.750409974793</v>
      </c>
      <c r="Z51" s="332">
        <f>-'Table 5A4_LSDVI'!H51</f>
        <v>0</v>
      </c>
      <c r="AA51" s="332">
        <f>-'Table 5A5_SSD'!H51</f>
        <v>-12675.231959265939</v>
      </c>
      <c r="AB51" s="332">
        <f>-'Table 5F Scholarships'!E55</f>
        <v>0</v>
      </c>
      <c r="AC51" s="580">
        <f t="shared" si="5"/>
        <v>29783752</v>
      </c>
      <c r="AD51" s="329">
        <f t="shared" si="6"/>
        <v>2481979</v>
      </c>
      <c r="AE51" s="329">
        <f>'Table 4A Stipends'!G48</f>
        <v>0</v>
      </c>
      <c r="AF51" s="329">
        <f t="shared" si="7"/>
        <v>29783752</v>
      </c>
      <c r="AH51" s="1599">
        <f>('Table 8 2.1.12 MFP Funded'!G48*'Table 3 Levels 1&amp;2'!AP52)+'Table 2_State Distrib and Adjs'!F51</f>
        <v>29783215.680659175</v>
      </c>
      <c r="AI51" s="778">
        <f t="shared" si="10"/>
        <v>536.31934082508087</v>
      </c>
      <c r="AJ51" s="292">
        <f t="shared" si="11"/>
        <v>1.8007435683761962E-5</v>
      </c>
    </row>
    <row r="52" spans="1:36">
      <c r="A52" s="101">
        <v>46</v>
      </c>
      <c r="B52" s="311" t="s">
        <v>147</v>
      </c>
      <c r="C52" s="320">
        <f>'Table 3 Levels 1&amp;2'!AO53</f>
        <v>7161370.2294239998</v>
      </c>
      <c r="D52" s="368">
        <v>12745.919341522123</v>
      </c>
      <c r="E52" s="368">
        <v>-81306.732609278901</v>
      </c>
      <c r="F52" s="368">
        <f t="shared" si="3"/>
        <v>-68560.813267756777</v>
      </c>
      <c r="G52" s="320">
        <f t="shared" si="2"/>
        <v>0</v>
      </c>
      <c r="H52" s="368">
        <f t="shared" si="4"/>
        <v>-68560.813267756777</v>
      </c>
      <c r="I52" s="368">
        <f>-'Table 5B2_RSD_LA'!H35</f>
        <v>-2181679.16</v>
      </c>
      <c r="J52" s="368">
        <f>-'Table 5C1A-Madison Prep'!H52</f>
        <v>0</v>
      </c>
      <c r="K52" s="368">
        <f>-'Table 5C1B-DArbonne'!H52</f>
        <v>0</v>
      </c>
      <c r="L52" s="368">
        <f>-'Table 5C1C-Intl_VIBE'!H52</f>
        <v>0</v>
      </c>
      <c r="M52" s="368">
        <f>-'Table 5C1D-NOMMA'!H52</f>
        <v>0</v>
      </c>
      <c r="N52" s="368">
        <f>-'Table 5C1E-LFNO'!H52</f>
        <v>0</v>
      </c>
      <c r="O52" s="368">
        <f>-'Table 5C1F-Lake Charles Charter'!H52</f>
        <v>0</v>
      </c>
      <c r="P52" s="325">
        <f>-('Table 5C2 - LA Virtual Admy'!H49+'Table 5C2 - LA Virtual Admy'!I49)</f>
        <v>-45451.640163162279</v>
      </c>
      <c r="Q52" s="325">
        <f>-'Table 5C3 - LA Connections EBR'!H49-'Table 5C3 - LA Connections EBR'!I49</f>
        <v>0</v>
      </c>
      <c r="R52" s="325">
        <f>-'Table 5D1 - New Vision'!G52</f>
        <v>0</v>
      </c>
      <c r="S52" s="325">
        <f>-'Table 5D2 - Glencoe'!G52</f>
        <v>0</v>
      </c>
      <c r="T52" s="325">
        <f>-'Table 5D3 - International'!G52</f>
        <v>0</v>
      </c>
      <c r="U52" s="325">
        <f>-'Table 5D4 - Avoyelles'!G52</f>
        <v>0</v>
      </c>
      <c r="V52" s="325">
        <f>-'Table 5D5 - Delhi'!G52</f>
        <v>0</v>
      </c>
      <c r="W52" s="325">
        <f>-'Table 5D6 - Milestone'!G52</f>
        <v>0</v>
      </c>
      <c r="X52" s="325">
        <f>-'Table 5D7 - Max'!G52</f>
        <v>0</v>
      </c>
      <c r="Y52" s="325">
        <f>-'Table 5D8 - Belle Chasse'!I52</f>
        <v>0</v>
      </c>
      <c r="Z52" s="325">
        <f>-'Table 5A4_LSDVI'!H52</f>
        <v>0</v>
      </c>
      <c r="AA52" s="325">
        <f>-'Table 5A5_SSD'!H52</f>
        <v>0</v>
      </c>
      <c r="AB52" s="325">
        <f>-'Table 5F Scholarships'!E56</f>
        <v>0</v>
      </c>
      <c r="AC52" s="579">
        <f t="shared" si="5"/>
        <v>4865679</v>
      </c>
      <c r="AD52" s="320">
        <f t="shared" si="6"/>
        <v>405473</v>
      </c>
      <c r="AE52" s="320">
        <f>'Table 4A Stipends'!G49</f>
        <v>0</v>
      </c>
      <c r="AF52" s="320">
        <f t="shared" si="7"/>
        <v>4865679</v>
      </c>
      <c r="AH52" s="1599">
        <f>('Table 8 2.1.12 MFP Funded'!G49*'Table 3 Levels 1&amp;2'!AP53)+'Table 2_State Distrib and Adjs'!F52</f>
        <v>4865837.5315756155</v>
      </c>
      <c r="AI52" s="778">
        <f t="shared" si="10"/>
        <v>-158.5315756155178</v>
      </c>
      <c r="AJ52" s="292">
        <f t="shared" si="11"/>
        <v>-3.2580532043408241E-5</v>
      </c>
    </row>
    <row r="53" spans="1:36">
      <c r="A53" s="101">
        <v>47</v>
      </c>
      <c r="B53" s="311" t="s">
        <v>148</v>
      </c>
      <c r="C53" s="320">
        <f>'Table 3 Levels 1&amp;2'!AO54</f>
        <v>14927937.90161714</v>
      </c>
      <c r="D53" s="368">
        <v>0</v>
      </c>
      <c r="E53" s="368">
        <v>-8793.2228794655966</v>
      </c>
      <c r="F53" s="368">
        <f t="shared" si="3"/>
        <v>-8793.2228794655966</v>
      </c>
      <c r="G53" s="320">
        <f t="shared" si="2"/>
        <v>0</v>
      </c>
      <c r="H53" s="368">
        <f t="shared" si="4"/>
        <v>-8793.2228794655966</v>
      </c>
      <c r="I53" s="368"/>
      <c r="J53" s="368">
        <f>-'Table 5C1A-Madison Prep'!H53</f>
        <v>0</v>
      </c>
      <c r="K53" s="368">
        <f>-'Table 5C1B-DArbonne'!H53</f>
        <v>0</v>
      </c>
      <c r="L53" s="368">
        <f>-'Table 5C1C-Intl_VIBE'!H53</f>
        <v>0</v>
      </c>
      <c r="M53" s="368">
        <f>-'Table 5C1D-NOMMA'!H53</f>
        <v>0</v>
      </c>
      <c r="N53" s="368">
        <f>-'Table 5C1E-LFNO'!H53</f>
        <v>0</v>
      </c>
      <c r="O53" s="368">
        <f>-'Table 5C1F-Lake Charles Charter'!H53</f>
        <v>0</v>
      </c>
      <c r="P53" s="325">
        <f>-('Table 5C2 - LA Virtual Admy'!H50+'Table 5C2 - LA Virtual Admy'!I50)</f>
        <v>-12290.793624350055</v>
      </c>
      <c r="Q53" s="325">
        <f>-'Table 5C3 - LA Connections EBR'!H50-'Table 5C3 - LA Connections EBR'!I50</f>
        <v>0</v>
      </c>
      <c r="R53" s="325">
        <f>-'Table 5D1 - New Vision'!G53</f>
        <v>0</v>
      </c>
      <c r="S53" s="325">
        <f>-'Table 5D2 - Glencoe'!G53</f>
        <v>0</v>
      </c>
      <c r="T53" s="325">
        <f>-'Table 5D3 - International'!G53</f>
        <v>0</v>
      </c>
      <c r="U53" s="325">
        <f>-'Table 5D4 - Avoyelles'!G53</f>
        <v>0</v>
      </c>
      <c r="V53" s="325">
        <f>-'Table 5D5 - Delhi'!G53</f>
        <v>0</v>
      </c>
      <c r="W53" s="325">
        <f>-'Table 5D6 - Milestone'!G53</f>
        <v>0</v>
      </c>
      <c r="X53" s="325">
        <f>-'Table 5D7 - Max'!G53</f>
        <v>-15381.53207240663</v>
      </c>
      <c r="Y53" s="325">
        <f>-'Table 5D8 - Belle Chasse'!I53</f>
        <v>0</v>
      </c>
      <c r="Z53" s="325">
        <f>-'Table 5A4_LSDVI'!H53</f>
        <v>-4096.9312081166845</v>
      </c>
      <c r="AA53" s="325">
        <f>-'Table 5A5_SSD'!H53</f>
        <v>0</v>
      </c>
      <c r="AB53" s="325">
        <f>-'Table 5F Scholarships'!E57</f>
        <v>0</v>
      </c>
      <c r="AC53" s="579">
        <f t="shared" si="5"/>
        <v>14887375</v>
      </c>
      <c r="AD53" s="320">
        <f t="shared" si="6"/>
        <v>1240615</v>
      </c>
      <c r="AE53" s="320">
        <f>'Table 4A Stipends'!G50</f>
        <v>0</v>
      </c>
      <c r="AF53" s="320">
        <f t="shared" si="7"/>
        <v>14887375</v>
      </c>
      <c r="AH53" s="1599">
        <f>('Table 8 2.1.12 MFP Funded'!G50*'Table 3 Levels 1&amp;2'!AP54)+'Table 2_State Distrib and Adjs'!F53</f>
        <v>14886372.037899876</v>
      </c>
      <c r="AI53" s="778">
        <f t="shared" si="10"/>
        <v>1002.9621001239866</v>
      </c>
      <c r="AJ53" s="292">
        <f t="shared" si="11"/>
        <v>6.737451526607698E-5</v>
      </c>
    </row>
    <row r="54" spans="1:36">
      <c r="A54" s="101">
        <v>48</v>
      </c>
      <c r="B54" s="311" t="s">
        <v>222</v>
      </c>
      <c r="C54" s="320">
        <f>'Table 3 Levels 1&amp;2'!AO55</f>
        <v>31981966.149530765</v>
      </c>
      <c r="D54" s="368">
        <v>13500.066251684588</v>
      </c>
      <c r="E54" s="368">
        <v>-41422.92934983359</v>
      </c>
      <c r="F54" s="368">
        <f t="shared" si="3"/>
        <v>-27922.863098149002</v>
      </c>
      <c r="G54" s="320">
        <f t="shared" si="2"/>
        <v>0</v>
      </c>
      <c r="H54" s="368">
        <f t="shared" si="4"/>
        <v>-27922.863098149002</v>
      </c>
      <c r="I54" s="368"/>
      <c r="J54" s="49">
        <f>-'Table 5C1A-Madison Prep'!H54</f>
        <v>0</v>
      </c>
      <c r="K54" s="368">
        <f>-'Table 5C1B-DArbonne'!H54</f>
        <v>0</v>
      </c>
      <c r="L54" s="368">
        <f>-'Table 5C1C-Intl_VIBE'!H54</f>
        <v>-10263.114439227211</v>
      </c>
      <c r="M54" s="368">
        <f>-'Table 5C1D-NOMMA'!H54</f>
        <v>0</v>
      </c>
      <c r="N54" s="368">
        <f>-'Table 5C1E-LFNO'!H54</f>
        <v>0</v>
      </c>
      <c r="O54" s="368">
        <f>-'Table 5C1F-Lake Charles Charter'!H54</f>
        <v>0</v>
      </c>
      <c r="P54" s="325">
        <f>-('Table 5C2 - LA Virtual Admy'!H51+'Table 5C2 - LA Virtual Admy'!I51)</f>
        <v>-66710.24385497687</v>
      </c>
      <c r="Q54" s="325">
        <f>-'Table 5C3 - LA Connections EBR'!H51-'Table 5C3 - LA Connections EBR'!I51</f>
        <v>-15394.671658840816</v>
      </c>
      <c r="R54" s="325">
        <f>-'Table 5D1 - New Vision'!G54</f>
        <v>0</v>
      </c>
      <c r="S54" s="325">
        <f>-'Table 5D2 - Glencoe'!G54</f>
        <v>0</v>
      </c>
      <c r="T54" s="325">
        <f>-'Table 5D3 - International'!G54</f>
        <v>-34827.081640236414</v>
      </c>
      <c r="U54" s="325">
        <f>-'Table 5D4 - Avoyelles'!G54</f>
        <v>0</v>
      </c>
      <c r="V54" s="325">
        <f>-'Table 5D5 - Delhi'!G54</f>
        <v>0</v>
      </c>
      <c r="W54" s="325">
        <f>-'Table 5D6 - Milestone'!G54</f>
        <v>-9932.5032054609783</v>
      </c>
      <c r="X54" s="325">
        <f>-'Table 5D7 - Max'!G54</f>
        <v>-4919.6990295985779</v>
      </c>
      <c r="Y54" s="325">
        <f>-'Table 5D8 - Belle Chasse'!I54</f>
        <v>0</v>
      </c>
      <c r="Z54" s="325">
        <f>-'Table 5A4_LSDVI'!H54</f>
        <v>-15394.671658840816</v>
      </c>
      <c r="AA54" s="325">
        <f>-'Table 5A5_SSD'!H54</f>
        <v>0</v>
      </c>
      <c r="AB54" s="325">
        <f>-'Table 5F Scholarships'!E58</f>
        <v>0</v>
      </c>
      <c r="AC54" s="579">
        <f t="shared" si="5"/>
        <v>31796601</v>
      </c>
      <c r="AD54" s="320">
        <f t="shared" si="6"/>
        <v>2649717</v>
      </c>
      <c r="AE54" s="320">
        <f>'Table 4A Stipends'!G51</f>
        <v>0</v>
      </c>
      <c r="AF54" s="320">
        <f t="shared" si="7"/>
        <v>31796601</v>
      </c>
      <c r="AH54" s="1599">
        <f>('Table 8 2.1.12 MFP Funded'!G51*'Table 3 Levels 1&amp;2'!AP55)+'Table 2_State Distrib and Adjs'!F54</f>
        <v>31794980.08241602</v>
      </c>
      <c r="AI54" s="778">
        <f t="shared" si="10"/>
        <v>1620.9175839796662</v>
      </c>
      <c r="AJ54" s="292">
        <f t="shared" si="11"/>
        <v>5.0980298769745187E-5</v>
      </c>
    </row>
    <row r="55" spans="1:36">
      <c r="A55" s="101">
        <v>49</v>
      </c>
      <c r="B55" s="311" t="s">
        <v>149</v>
      </c>
      <c r="C55" s="320">
        <f>'Table 3 Levels 1&amp;2'!AO56</f>
        <v>77719318.075537771</v>
      </c>
      <c r="D55" s="368">
        <v>340626.01421499159</v>
      </c>
      <c r="E55" s="368">
        <v>-245412.87639409711</v>
      </c>
      <c r="F55" s="368">
        <f t="shared" si="3"/>
        <v>95213.137820894481</v>
      </c>
      <c r="G55" s="320">
        <f t="shared" si="2"/>
        <v>95213.137820894481</v>
      </c>
      <c r="H55" s="368">
        <f t="shared" si="4"/>
        <v>0</v>
      </c>
      <c r="I55" s="368"/>
      <c r="J55" s="368">
        <f>-'Table 5C1A-Madison Prep'!H55</f>
        <v>0</v>
      </c>
      <c r="K55" s="368">
        <f>-'Table 5C1B-DArbonne'!H55</f>
        <v>0</v>
      </c>
      <c r="L55" s="368">
        <f>-'Table 5C1C-Intl_VIBE'!H55</f>
        <v>0</v>
      </c>
      <c r="M55" s="368">
        <f>-'Table 5C1D-NOMMA'!H55</f>
        <v>0</v>
      </c>
      <c r="N55" s="368">
        <f>-'Table 5C1E-LFNO'!H55</f>
        <v>0</v>
      </c>
      <c r="O55" s="368">
        <f>-'Table 5C1F-Lake Charles Charter'!H55</f>
        <v>0</v>
      </c>
      <c r="P55" s="325">
        <f>-('Table 5C2 - LA Virtual Admy'!H52+'Table 5C2 - LA Virtual Admy'!I52)</f>
        <v>-268732.86072538554</v>
      </c>
      <c r="Q55" s="325">
        <f>-'Table 5C3 - LA Connections EBR'!H52-'Table 5C3 - LA Connections EBR'!I52</f>
        <v>-53746.572145077109</v>
      </c>
      <c r="R55" s="325">
        <f>-'Table 5D1 - New Vision'!G55</f>
        <v>0</v>
      </c>
      <c r="S55" s="325">
        <f>-'Table 5D2 - Glencoe'!G55</f>
        <v>0</v>
      </c>
      <c r="T55" s="325">
        <f>-'Table 5D3 - International'!G55</f>
        <v>0</v>
      </c>
      <c r="U55" s="325">
        <f>-'Table 5D4 - Avoyelles'!G55</f>
        <v>-21345.365399804134</v>
      </c>
      <c r="V55" s="325">
        <f>-'Table 5D5 - Delhi'!G55</f>
        <v>0</v>
      </c>
      <c r="W55" s="325">
        <f>-'Table 5D6 - Milestone'!G55</f>
        <v>0</v>
      </c>
      <c r="X55" s="325">
        <f>-'Table 5D7 - Max'!G55</f>
        <v>0</v>
      </c>
      <c r="Y55" s="325">
        <f>-'Table 5D8 - Belle Chasse'!I55</f>
        <v>0</v>
      </c>
      <c r="Z55" s="325">
        <f>-'Table 5A4_LSDVI'!H55</f>
        <v>-16123.971643523133</v>
      </c>
      <c r="AA55" s="325">
        <f>-'Table 5A5_SSD'!H55</f>
        <v>-10749.314429015421</v>
      </c>
      <c r="AB55" s="325">
        <f>-'Table 5F Scholarships'!E59</f>
        <v>0</v>
      </c>
      <c r="AC55" s="579">
        <f t="shared" si="5"/>
        <v>77443833</v>
      </c>
      <c r="AD55" s="320">
        <f t="shared" si="6"/>
        <v>6453653</v>
      </c>
      <c r="AE55" s="320">
        <f>'Table 4A Stipends'!G52</f>
        <v>0</v>
      </c>
      <c r="AF55" s="320">
        <f t="shared" si="7"/>
        <v>77443833</v>
      </c>
      <c r="AH55" s="1599">
        <f>('Table 8 2.1.12 MFP Funded'!G52*'Table 3 Levels 1&amp;2'!AP56)+'Table 2_State Distrib and Adjs'!F55</f>
        <v>77443697.042332321</v>
      </c>
      <c r="AI55" s="778">
        <f t="shared" si="10"/>
        <v>135.95766767859459</v>
      </c>
      <c r="AJ55" s="292">
        <f t="shared" si="11"/>
        <v>1.7555678882979635E-6</v>
      </c>
    </row>
    <row r="56" spans="1:36">
      <c r="A56" s="102">
        <v>50</v>
      </c>
      <c r="B56" s="312" t="s">
        <v>150</v>
      </c>
      <c r="C56" s="329">
        <f>'Table 3 Levels 1&amp;2'!AO57</f>
        <v>45465064.467040002</v>
      </c>
      <c r="D56" s="369">
        <v>72688.880721636524</v>
      </c>
      <c r="E56" s="369">
        <v>-60360.559583695052</v>
      </c>
      <c r="F56" s="369">
        <f t="shared" si="3"/>
        <v>12328.321137941472</v>
      </c>
      <c r="G56" s="329">
        <f t="shared" si="2"/>
        <v>12328.321137941472</v>
      </c>
      <c r="H56" s="369">
        <f t="shared" si="4"/>
        <v>0</v>
      </c>
      <c r="I56" s="369"/>
      <c r="J56" s="369">
        <f>-'Table 5C1A-Madison Prep'!H56</f>
        <v>0</v>
      </c>
      <c r="K56" s="369">
        <f>-'Table 5C1B-DArbonne'!H56</f>
        <v>0</v>
      </c>
      <c r="L56" s="369">
        <f>-'Table 5C1C-Intl_VIBE'!H56</f>
        <v>0</v>
      </c>
      <c r="M56" s="369">
        <f>-'Table 5C1D-NOMMA'!H56</f>
        <v>0</v>
      </c>
      <c r="N56" s="369">
        <f>-'Table 5C1E-LFNO'!H56</f>
        <v>0</v>
      </c>
      <c r="O56" s="369">
        <f>-'Table 5C1F-Lake Charles Charter'!H56</f>
        <v>0</v>
      </c>
      <c r="P56" s="332">
        <f>-('Table 5C2 - LA Virtual Admy'!H53+'Table 5C2 - LA Virtual Admy'!I53)</f>
        <v>-39857.886280936757</v>
      </c>
      <c r="Q56" s="332">
        <f>-'Table 5C3 - LA Connections EBR'!H53-'Table 5C3 - LA Connections EBR'!I53</f>
        <v>-85409.75631629306</v>
      </c>
      <c r="R56" s="332">
        <f>-'Table 5D1 - New Vision'!G56</f>
        <v>0</v>
      </c>
      <c r="S56" s="332">
        <f>-'Table 5D2 - Glencoe'!G56</f>
        <v>0</v>
      </c>
      <c r="T56" s="332">
        <f>-'Table 5D3 - International'!G56</f>
        <v>0</v>
      </c>
      <c r="U56" s="332">
        <f>-'Table 5D4 - Avoyelles'!G56</f>
        <v>0</v>
      </c>
      <c r="V56" s="332">
        <f>-'Table 5D5 - Delhi'!G56</f>
        <v>0</v>
      </c>
      <c r="W56" s="332">
        <f>-'Table 5D6 - Milestone'!G56</f>
        <v>0</v>
      </c>
      <c r="X56" s="332">
        <f>-'Table 5D7 - Max'!G56</f>
        <v>0</v>
      </c>
      <c r="Y56" s="332">
        <f>-'Table 5D8 - Belle Chasse'!I56</f>
        <v>0</v>
      </c>
      <c r="Z56" s="332">
        <f>-'Table 5A4_LSDVI'!H56</f>
        <v>-5693.983754419537</v>
      </c>
      <c r="AA56" s="332">
        <f>-'Table 5A5_SSD'!H56</f>
        <v>0</v>
      </c>
      <c r="AB56" s="332">
        <f>-'Table 5F Scholarships'!E60</f>
        <v>0</v>
      </c>
      <c r="AC56" s="580">
        <f t="shared" si="5"/>
        <v>45346431</v>
      </c>
      <c r="AD56" s="329">
        <f t="shared" si="6"/>
        <v>3778869</v>
      </c>
      <c r="AE56" s="329">
        <f>'Table 4A Stipends'!G53</f>
        <v>50000</v>
      </c>
      <c r="AF56" s="329">
        <f t="shared" si="7"/>
        <v>45396431</v>
      </c>
      <c r="AH56" s="1599">
        <f>('Table 8 2.1.12 MFP Funded'!G53*'Table 3 Levels 1&amp;2'!AP57)+'Table 2_State Distrib and Adjs'!F56</f>
        <v>45346435.182324231</v>
      </c>
      <c r="AI56" s="778">
        <f t="shared" si="10"/>
        <v>-4.182324230670929</v>
      </c>
      <c r="AJ56" s="292">
        <f t="shared" si="11"/>
        <v>-9.2230496484565432E-8</v>
      </c>
    </row>
    <row r="57" spans="1:36">
      <c r="A57" s="101">
        <v>51</v>
      </c>
      <c r="B57" s="311" t="s">
        <v>151</v>
      </c>
      <c r="C57" s="320">
        <f>'Table 3 Levels 1&amp;2'!AO58</f>
        <v>47545741.807326384</v>
      </c>
      <c r="D57" s="368">
        <v>0</v>
      </c>
      <c r="E57" s="368">
        <v>2001.1680753535074</v>
      </c>
      <c r="F57" s="368">
        <f t="shared" si="3"/>
        <v>2001.1680753535074</v>
      </c>
      <c r="G57" s="320">
        <f t="shared" si="2"/>
        <v>2001.1680753535074</v>
      </c>
      <c r="H57" s="368">
        <f t="shared" si="4"/>
        <v>0</v>
      </c>
      <c r="I57" s="368"/>
      <c r="J57" s="368">
        <f>-'Table 5C1A-Madison Prep'!H57</f>
        <v>0</v>
      </c>
      <c r="K57" s="368">
        <f>-'Table 5C1B-DArbonne'!H57</f>
        <v>0</v>
      </c>
      <c r="L57" s="368">
        <f>-'Table 5C1C-Intl_VIBE'!H57</f>
        <v>0</v>
      </c>
      <c r="M57" s="368">
        <f>-'Table 5C1D-NOMMA'!H57</f>
        <v>0</v>
      </c>
      <c r="N57" s="368">
        <f>-'Table 5C1E-LFNO'!H57</f>
        <v>0</v>
      </c>
      <c r="O57" s="368">
        <f>-'Table 5C1F-Lake Charles Charter'!H57</f>
        <v>0</v>
      </c>
      <c r="P57" s="325">
        <f>-('Table 5C2 - LA Virtual Admy'!H54+'Table 5C2 - LA Virtual Admy'!I54)</f>
        <v>-35634.953981213781</v>
      </c>
      <c r="Q57" s="325">
        <f>-'Table 5C3 - LA Connections EBR'!H54-'Table 5C3 - LA Connections EBR'!I54</f>
        <v>-25453.538558009848</v>
      </c>
      <c r="R57" s="325">
        <f>-'Table 5D1 - New Vision'!G57</f>
        <v>0</v>
      </c>
      <c r="S57" s="325">
        <f>-'Table 5D2 - Glencoe'!G57</f>
        <v>-1429963.5363041763</v>
      </c>
      <c r="T57" s="325">
        <f>-'Table 5D3 - International'!G57</f>
        <v>0</v>
      </c>
      <c r="U57" s="325">
        <f>-'Table 5D4 - Avoyelles'!G57</f>
        <v>0</v>
      </c>
      <c r="V57" s="325">
        <f>-'Table 5D5 - Delhi'!G57</f>
        <v>0</v>
      </c>
      <c r="W57" s="325">
        <f>-'Table 5D6 - Milestone'!G57</f>
        <v>0</v>
      </c>
      <c r="X57" s="325">
        <f>-'Table 5D7 - Max'!G57</f>
        <v>-10086.519043173883</v>
      </c>
      <c r="Y57" s="325">
        <f>-'Table 5D8 - Belle Chasse'!I57</f>
        <v>0</v>
      </c>
      <c r="Z57" s="325">
        <f>-'Table 5A4_LSDVI'!H57</f>
        <v>-10181.415423203938</v>
      </c>
      <c r="AA57" s="325">
        <f>-'Table 5A5_SSD'!H57</f>
        <v>-25453.538558009845</v>
      </c>
      <c r="AB57" s="325">
        <f>-'Table 5F Scholarships'!E61</f>
        <v>0</v>
      </c>
      <c r="AC57" s="579">
        <f t="shared" si="5"/>
        <v>46010969</v>
      </c>
      <c r="AD57" s="320">
        <f t="shared" si="6"/>
        <v>3834247</v>
      </c>
      <c r="AE57" s="320">
        <f>'Table 4A Stipends'!G54</f>
        <v>0</v>
      </c>
      <c r="AF57" s="320">
        <f t="shared" si="7"/>
        <v>46010969</v>
      </c>
      <c r="AH57" s="1599">
        <f>('Table 8 2.1.12 MFP Funded'!G54*'Table 3 Levels 1&amp;2'!AP58)+'Table 2_State Distrib and Adjs'!F57</f>
        <v>45980859.979825392</v>
      </c>
      <c r="AI57" s="778">
        <f t="shared" si="10"/>
        <v>30109.020174607635</v>
      </c>
      <c r="AJ57" s="292">
        <f t="shared" si="11"/>
        <v>6.5481637768015431E-4</v>
      </c>
    </row>
    <row r="58" spans="1:36">
      <c r="A58" s="101">
        <v>52</v>
      </c>
      <c r="B58" s="311" t="s">
        <v>152</v>
      </c>
      <c r="C58" s="320">
        <f>'Table 3 Levels 1&amp;2'!AO59</f>
        <v>203924535.41170073</v>
      </c>
      <c r="D58" s="368">
        <v>51171.031159319959</v>
      </c>
      <c r="E58" s="368">
        <v>-3059.9353329750302</v>
      </c>
      <c r="F58" s="368">
        <f t="shared" si="3"/>
        <v>48111.095826344928</v>
      </c>
      <c r="G58" s="320">
        <f t="shared" si="2"/>
        <v>48111.095826344928</v>
      </c>
      <c r="H58" s="368">
        <f t="shared" si="4"/>
        <v>0</v>
      </c>
      <c r="I58" s="368"/>
      <c r="J58" s="49">
        <f>-'Table 5C1A-Madison Prep'!H58</f>
        <v>0</v>
      </c>
      <c r="K58" s="368">
        <f>-'Table 5C1B-DArbonne'!H58</f>
        <v>0</v>
      </c>
      <c r="L58" s="368">
        <f>-'Table 5C1C-Intl_VIBE'!H58</f>
        <v>-5578.4397942988753</v>
      </c>
      <c r="M58" s="368">
        <f>-'Table 5C1D-NOMMA'!H58</f>
        <v>-5578.4397942988753</v>
      </c>
      <c r="N58" s="368">
        <f>-'Table 5C1E-LFNO'!H58</f>
        <v>0</v>
      </c>
      <c r="O58" s="368">
        <f>-'Table 5C1F-Lake Charles Charter'!H58</f>
        <v>0</v>
      </c>
      <c r="P58" s="325">
        <f>-('Table 5C2 - LA Virtual Admy'!H55+'Table 5C2 - LA Virtual Admy'!I55)</f>
        <v>-390490.78560092126</v>
      </c>
      <c r="Q58" s="325">
        <f>-'Table 5C3 - LA Connections EBR'!H55-'Table 5C3 - LA Connections EBR'!I55</f>
        <v>-284500.42950924265</v>
      </c>
      <c r="R58" s="325">
        <f>-'Table 5D1 - New Vision'!G58</f>
        <v>0</v>
      </c>
      <c r="S58" s="325">
        <f>-'Table 5D2 - Glencoe'!G58</f>
        <v>0</v>
      </c>
      <c r="T58" s="325">
        <f>-'Table 5D3 - International'!G58</f>
        <v>-56348.799518619009</v>
      </c>
      <c r="U58" s="325">
        <f>-'Table 5D4 - Avoyelles'!G58</f>
        <v>0</v>
      </c>
      <c r="V58" s="325">
        <f>-'Table 5D5 - Delhi'!G58</f>
        <v>0</v>
      </c>
      <c r="W58" s="325">
        <f>-'Table 5D6 - Milestone'!G58</f>
        <v>0</v>
      </c>
      <c r="X58" s="325">
        <f>-'Table 5D7 - Max'!G58</f>
        <v>0</v>
      </c>
      <c r="Y58" s="325">
        <f>-'Table 5D8 - Belle Chasse'!I58</f>
        <v>-39962.805501200281</v>
      </c>
      <c r="Z58" s="325">
        <f>-'Table 5A4_LSDVI'!H58</f>
        <v>-44627.518354391003</v>
      </c>
      <c r="AA58" s="325">
        <f>-'Table 5A5_SSD'!H58</f>
        <v>-94833.476503080892</v>
      </c>
      <c r="AB58" s="325">
        <f>-'Table 5F Scholarships'!E62</f>
        <v>0</v>
      </c>
      <c r="AC58" s="579">
        <f t="shared" si="5"/>
        <v>203050726</v>
      </c>
      <c r="AD58" s="320">
        <f t="shared" si="6"/>
        <v>16920894</v>
      </c>
      <c r="AE58" s="320">
        <f>'Table 4A Stipends'!G55</f>
        <v>0</v>
      </c>
      <c r="AF58" s="320">
        <f t="shared" si="7"/>
        <v>203050726</v>
      </c>
      <c r="AH58" s="1599">
        <f>('Table 8 2.1.12 MFP Funded'!G55*'Table 3 Levels 1&amp;2'!AP59)+'Table 2_State Distrib and Adjs'!F58</f>
        <v>203052233.22572246</v>
      </c>
      <c r="AI58" s="778">
        <f t="shared" si="10"/>
        <v>-1507.2257224619389</v>
      </c>
      <c r="AJ58" s="292">
        <f t="shared" si="11"/>
        <v>-7.42284730641911E-6</v>
      </c>
    </row>
    <row r="59" spans="1:36">
      <c r="A59" s="101">
        <v>53</v>
      </c>
      <c r="B59" s="311" t="s">
        <v>153</v>
      </c>
      <c r="C59" s="320">
        <f>'Table 3 Levels 1&amp;2'!AO60</f>
        <v>104110634.10662015</v>
      </c>
      <c r="D59" s="368">
        <v>2751.4011531443684</v>
      </c>
      <c r="E59" s="368">
        <v>-20435.600130191226</v>
      </c>
      <c r="F59" s="368">
        <f t="shared" si="3"/>
        <v>-17684.198977046857</v>
      </c>
      <c r="G59" s="320">
        <f t="shared" si="2"/>
        <v>0</v>
      </c>
      <c r="H59" s="368">
        <f t="shared" si="4"/>
        <v>-17684.198977046857</v>
      </c>
      <c r="I59" s="368"/>
      <c r="J59" s="368">
        <f>-'Table 5C1A-Madison Prep'!H59</f>
        <v>0</v>
      </c>
      <c r="K59" s="368">
        <f>-'Table 5C1B-DArbonne'!H59</f>
        <v>0</v>
      </c>
      <c r="L59" s="368">
        <f>-'Table 5C1C-Intl_VIBE'!H59</f>
        <v>0</v>
      </c>
      <c r="M59" s="368">
        <f>-'Table 5C1D-NOMMA'!H59</f>
        <v>0</v>
      </c>
      <c r="N59" s="368">
        <f>-'Table 5C1E-LFNO'!H59</f>
        <v>0</v>
      </c>
      <c r="O59" s="368">
        <f>-'Table 5C1F-Lake Charles Charter'!H59</f>
        <v>0</v>
      </c>
      <c r="P59" s="325">
        <f>-('Table 5C2 - LA Virtual Admy'!H56+'Table 5C2 - LA Virtual Admy'!I56)</f>
        <v>-290122.63531506836</v>
      </c>
      <c r="Q59" s="325">
        <f>-'Table 5C3 - LA Connections EBR'!H56-'Table 5C3 - LA Connections EBR'!I56</f>
        <v>-120428.26371568875</v>
      </c>
      <c r="R59" s="325">
        <f>-'Table 5D1 - New Vision'!G59</f>
        <v>0</v>
      </c>
      <c r="S59" s="325">
        <f>-'Table 5D2 - Glencoe'!G59</f>
        <v>0</v>
      </c>
      <c r="T59" s="325">
        <f>-'Table 5D3 - International'!G59</f>
        <v>0</v>
      </c>
      <c r="U59" s="325">
        <f>-'Table 5D4 - Avoyelles'!G59</f>
        <v>0</v>
      </c>
      <c r="V59" s="325">
        <f>-'Table 5D5 - Delhi'!G59</f>
        <v>0</v>
      </c>
      <c r="W59" s="325">
        <f>-'Table 5D6 - Milestone'!G59</f>
        <v>0</v>
      </c>
      <c r="X59" s="325">
        <f>-'Table 5D7 - Max'!G59</f>
        <v>0</v>
      </c>
      <c r="Y59" s="325">
        <f>-'Table 5D8 - Belle Chasse'!I59</f>
        <v>-5573.1744072350693</v>
      </c>
      <c r="Z59" s="325">
        <f>-'Table 5A4_LSDVI'!H59</f>
        <v>-21896.047948307045</v>
      </c>
      <c r="AA59" s="325">
        <f>-'Table 5A5_SSD'!H59</f>
        <v>-38318.08390953733</v>
      </c>
      <c r="AB59" s="325">
        <f>-'Table 5F Scholarships'!E63</f>
        <v>0</v>
      </c>
      <c r="AC59" s="579">
        <f t="shared" si="5"/>
        <v>103616612</v>
      </c>
      <c r="AD59" s="320">
        <f t="shared" si="6"/>
        <v>8634718</v>
      </c>
      <c r="AE59" s="320">
        <f>'Table 4A Stipends'!G56</f>
        <v>12000</v>
      </c>
      <c r="AF59" s="320">
        <f t="shared" si="7"/>
        <v>103628612</v>
      </c>
      <c r="AH59" s="1599">
        <f>('Table 8 2.1.12 MFP Funded'!G56*'Table 3 Levels 1&amp;2'!AP60)+'Table 2_State Distrib and Adjs'!F59</f>
        <v>103616734.07340147</v>
      </c>
      <c r="AI59" s="778">
        <f t="shared" si="10"/>
        <v>-122.073401466012</v>
      </c>
      <c r="AJ59" s="292">
        <f t="shared" si="11"/>
        <v>-1.1781243884750889E-6</v>
      </c>
    </row>
    <row r="60" spans="1:36">
      <c r="A60" s="101">
        <v>54</v>
      </c>
      <c r="B60" s="311" t="s">
        <v>154</v>
      </c>
      <c r="C60" s="320">
        <f>'Table 3 Levels 1&amp;2'!AO61</f>
        <v>4859698.7396802828</v>
      </c>
      <c r="D60" s="368">
        <v>16419.523124590396</v>
      </c>
      <c r="E60" s="368">
        <v>-22169.459923411196</v>
      </c>
      <c r="F60" s="368">
        <f t="shared" si="3"/>
        <v>-5749.9367988207996</v>
      </c>
      <c r="G60" s="320">
        <f t="shared" si="2"/>
        <v>0</v>
      </c>
      <c r="H60" s="368">
        <f t="shared" si="4"/>
        <v>-5749.9367988207996</v>
      </c>
      <c r="I60" s="368"/>
      <c r="J60" s="368">
        <f>-'Table 5C1A-Madison Prep'!H60</f>
        <v>0</v>
      </c>
      <c r="K60" s="368">
        <f>-'Table 5C1B-DArbonne'!H60</f>
        <v>0</v>
      </c>
      <c r="L60" s="368">
        <f>-'Table 5C1C-Intl_VIBE'!H60</f>
        <v>0</v>
      </c>
      <c r="M60" s="368">
        <f>-'Table 5C1D-NOMMA'!H60</f>
        <v>0</v>
      </c>
      <c r="N60" s="368">
        <f>-'Table 5C1E-LFNO'!H60</f>
        <v>0</v>
      </c>
      <c r="O60" s="368">
        <f>-'Table 5C1F-Lake Charles Charter'!H60</f>
        <v>0</v>
      </c>
      <c r="P60" s="325">
        <f>-('Table 5C2 - LA Virtual Admy'!H57+'Table 5C2 - LA Virtual Admy'!I57)</f>
        <v>0</v>
      </c>
      <c r="Q60" s="325">
        <f>-'Table 5C3 - LA Connections EBR'!H57-'Table 5C3 - LA Connections EBR'!I57</f>
        <v>-13868.011077295294</v>
      </c>
      <c r="R60" s="325">
        <f>-'Table 5D1 - New Vision'!G60</f>
        <v>0</v>
      </c>
      <c r="S60" s="325">
        <f>-'Table 5D2 - Glencoe'!G60</f>
        <v>0</v>
      </c>
      <c r="T60" s="325">
        <f>-'Table 5D3 - International'!G60</f>
        <v>0</v>
      </c>
      <c r="U60" s="325">
        <f>-'Table 5D4 - Avoyelles'!G60</f>
        <v>0</v>
      </c>
      <c r="V60" s="325">
        <f>-'Table 5D5 - Delhi'!G60</f>
        <v>-13019.158165578358</v>
      </c>
      <c r="W60" s="325">
        <f>-'Table 5D6 - Milestone'!G60</f>
        <v>0</v>
      </c>
      <c r="X60" s="325">
        <f>-'Table 5D7 - Max'!G60</f>
        <v>0</v>
      </c>
      <c r="Y60" s="325">
        <f>-'Table 5D8 - Belle Chasse'!I60</f>
        <v>0</v>
      </c>
      <c r="Z60" s="325">
        <f>-'Table 5A4_LSDVI'!H60</f>
        <v>0</v>
      </c>
      <c r="AA60" s="325">
        <f>-'Table 5A5_SSD'!H60</f>
        <v>0</v>
      </c>
      <c r="AB60" s="325">
        <f>-'Table 5F Scholarships'!E64</f>
        <v>0</v>
      </c>
      <c r="AC60" s="579">
        <f t="shared" si="5"/>
        <v>4827062</v>
      </c>
      <c r="AD60" s="320">
        <f t="shared" si="6"/>
        <v>402255</v>
      </c>
      <c r="AE60" s="320">
        <f>'Table 4A Stipends'!G57</f>
        <v>0</v>
      </c>
      <c r="AF60" s="320">
        <f t="shared" si="7"/>
        <v>4827062</v>
      </c>
      <c r="AH60" s="1599">
        <f>('Table 8 2.1.12 MFP Funded'!G57*'Table 3 Levels 1&amp;2'!AP61)+'Table 2_State Distrib and Adjs'!F60</f>
        <v>4826218.7102156682</v>
      </c>
      <c r="AI60" s="778">
        <f t="shared" si="10"/>
        <v>843.289784331806</v>
      </c>
      <c r="AJ60" s="292">
        <f t="shared" si="11"/>
        <v>1.7473095086776997E-4</v>
      </c>
    </row>
    <row r="61" spans="1:36">
      <c r="A61" s="102">
        <v>55</v>
      </c>
      <c r="B61" s="312" t="s">
        <v>155</v>
      </c>
      <c r="C61" s="329">
        <f>'Table 3 Levels 1&amp;2'!AO62</f>
        <v>86583826.970449448</v>
      </c>
      <c r="D61" s="369">
        <v>14398.240720168455</v>
      </c>
      <c r="E61" s="369">
        <v>-608.5327960288414</v>
      </c>
      <c r="F61" s="369">
        <f t="shared" si="3"/>
        <v>13789.707924139613</v>
      </c>
      <c r="G61" s="329">
        <f t="shared" si="2"/>
        <v>13789.707924139613</v>
      </c>
      <c r="H61" s="369">
        <f t="shared" si="4"/>
        <v>0</v>
      </c>
      <c r="I61" s="369"/>
      <c r="J61" s="369">
        <f>-'Table 5C1A-Madison Prep'!H61</f>
        <v>0</v>
      </c>
      <c r="K61" s="369">
        <f>-'Table 5C1B-DArbonne'!H61</f>
        <v>0</v>
      </c>
      <c r="L61" s="369">
        <f>-'Table 5C1C-Intl_VIBE'!H61</f>
        <v>0</v>
      </c>
      <c r="M61" s="369">
        <f>-'Table 5C1D-NOMMA'!H61</f>
        <v>0</v>
      </c>
      <c r="N61" s="369">
        <f>-'Table 5C1E-LFNO'!H61</f>
        <v>0</v>
      </c>
      <c r="O61" s="369">
        <f>-'Table 5C1F-Lake Charles Charter'!H61</f>
        <v>0</v>
      </c>
      <c r="P61" s="332">
        <f>-('Table 5C2 - LA Virtual Admy'!H58+'Table 5C2 - LA Virtual Admy'!I58)</f>
        <v>-122063.54362204681</v>
      </c>
      <c r="Q61" s="332">
        <f>-'Table 5C3 - LA Connections EBR'!H58-'Table 5C3 - LA Connections EBR'!I58</f>
        <v>-63473.042683464344</v>
      </c>
      <c r="R61" s="332">
        <f>-'Table 5D1 - New Vision'!G61</f>
        <v>0</v>
      </c>
      <c r="S61" s="332">
        <f>-'Table 5D2 - Glencoe'!G61</f>
        <v>0</v>
      </c>
      <c r="T61" s="332">
        <f>-'Table 5D3 - International'!G61</f>
        <v>0</v>
      </c>
      <c r="U61" s="332">
        <f>-'Table 5D4 - Avoyelles'!G61</f>
        <v>0</v>
      </c>
      <c r="V61" s="332">
        <f>-'Table 5D5 - Delhi'!G61</f>
        <v>0</v>
      </c>
      <c r="W61" s="332">
        <f>-'Table 5D6 - Milestone'!G61</f>
        <v>0</v>
      </c>
      <c r="X61" s="332">
        <f>-'Table 5D7 - Max'!G61</f>
        <v>-175624.70153007325</v>
      </c>
      <c r="Y61" s="332">
        <f>-'Table 5D8 - Belle Chasse'!I61</f>
        <v>0</v>
      </c>
      <c r="Z61" s="332">
        <f>-'Table 5A4_LSDVI'!H61</f>
        <v>-19530.16697952749</v>
      </c>
      <c r="AA61" s="332">
        <f>-'Table 5A5_SSD'!H61</f>
        <v>-34177.792214173111</v>
      </c>
      <c r="AB61" s="332">
        <f>-'Table 5F Scholarships'!E65</f>
        <v>0</v>
      </c>
      <c r="AC61" s="580">
        <f t="shared" si="5"/>
        <v>86182747</v>
      </c>
      <c r="AD61" s="329">
        <f t="shared" si="6"/>
        <v>7181896</v>
      </c>
      <c r="AE61" s="329">
        <f>'Table 4A Stipends'!G58</f>
        <v>0</v>
      </c>
      <c r="AF61" s="329">
        <f t="shared" si="7"/>
        <v>86182747</v>
      </c>
      <c r="AH61" s="1599">
        <f>('Table 8 2.1.12 MFP Funded'!G58*'Table 3 Levels 1&amp;2'!AP62)+'Table 2_State Distrib and Adjs'!F61</f>
        <v>86177757.128361821</v>
      </c>
      <c r="AI61" s="778">
        <f t="shared" si="10"/>
        <v>4989.8716381788254</v>
      </c>
      <c r="AJ61" s="292">
        <f t="shared" si="11"/>
        <v>5.7902082909240822E-5</v>
      </c>
    </row>
    <row r="62" spans="1:36">
      <c r="A62" s="101">
        <v>56</v>
      </c>
      <c r="B62" s="311" t="s">
        <v>156</v>
      </c>
      <c r="C62" s="320">
        <f>'Table 3 Levels 1&amp;2'!AO63</f>
        <v>16053855.210096002</v>
      </c>
      <c r="D62" s="368">
        <v>-2932.953315095976</v>
      </c>
      <c r="E62" s="368">
        <v>-8497.5233734089088</v>
      </c>
      <c r="F62" s="368">
        <f t="shared" si="3"/>
        <v>-11430.476688504885</v>
      </c>
      <c r="G62" s="320">
        <f t="shared" si="2"/>
        <v>0</v>
      </c>
      <c r="H62" s="368">
        <f t="shared" si="4"/>
        <v>-11430.476688504885</v>
      </c>
      <c r="I62" s="368"/>
      <c r="J62" s="49">
        <f>-'Table 5C1A-Madison Prep'!H62</f>
        <v>0</v>
      </c>
      <c r="K62" s="368">
        <f>-'Table 5C1B-DArbonne'!H62-'Table 5C1B-DArbonne'!H76</f>
        <v>-2000410.4382809349</v>
      </c>
      <c r="L62" s="368">
        <f>-'Table 5C1C-Intl_VIBE'!H62</f>
        <v>0</v>
      </c>
      <c r="M62" s="368">
        <f>-'Table 5C1D-NOMMA'!H62</f>
        <v>0</v>
      </c>
      <c r="N62" s="368">
        <f>-'Table 5C1E-LFNO'!H62</f>
        <v>0</v>
      </c>
      <c r="O62" s="368">
        <f>-'Table 5C1F-Lake Charles Charter'!H62</f>
        <v>0</v>
      </c>
      <c r="P62" s="325">
        <f>-('Table 5C2 - LA Virtual Admy'!H59+'Table 5C2 - LA Virtual Admy'!I59)</f>
        <v>-22667.540377121077</v>
      </c>
      <c r="Q62" s="325">
        <f>-'Table 5C3 - LA Connections EBR'!H59-'Table 5C3 - LA Connections EBR'!I59</f>
        <v>-17000.655282840806</v>
      </c>
      <c r="R62" s="325">
        <f>-'Table 5D1 - New Vision'!G62</f>
        <v>0</v>
      </c>
      <c r="S62" s="325">
        <f>-'Table 5D2 - Glencoe'!G62</f>
        <v>0</v>
      </c>
      <c r="T62" s="325">
        <f>-'Table 5D3 - International'!G62</f>
        <v>0</v>
      </c>
      <c r="U62" s="325">
        <f>-'Table 5D4 - Avoyelles'!G62</f>
        <v>0</v>
      </c>
      <c r="V62" s="325">
        <f>-'Table 5D5 - Delhi'!G62</f>
        <v>0</v>
      </c>
      <c r="W62" s="325">
        <f>-'Table 5D6 - Milestone'!G62</f>
        <v>0</v>
      </c>
      <c r="X62" s="325">
        <f>-'Table 5D7 - Max'!G62</f>
        <v>0</v>
      </c>
      <c r="Y62" s="325">
        <f>-'Table 5D8 - Belle Chasse'!I62</f>
        <v>0</v>
      </c>
      <c r="Z62" s="325">
        <f>-'Table 5A4_LSDVI'!H62</f>
        <v>0</v>
      </c>
      <c r="AA62" s="325">
        <f>-'Table 5A5_SSD'!H62</f>
        <v>0</v>
      </c>
      <c r="AB62" s="325">
        <f>-'Table 5F Scholarships'!E66</f>
        <v>0</v>
      </c>
      <c r="AC62" s="579">
        <f t="shared" si="5"/>
        <v>14002346</v>
      </c>
      <c r="AD62" s="320">
        <f t="shared" si="6"/>
        <v>1166862</v>
      </c>
      <c r="AE62" s="320">
        <f>'Table 4A Stipends'!G59</f>
        <v>4000</v>
      </c>
      <c r="AF62" s="320">
        <f t="shared" si="7"/>
        <v>14006346</v>
      </c>
      <c r="AH62" s="1599">
        <f>('Table 8 2.1.12 MFP Funded'!G59*'Table 3 Levels 1&amp;2'!AP63)+'Table 2_State Distrib and Adjs'!F62</f>
        <v>14002400.774482485</v>
      </c>
      <c r="AI62" s="778">
        <f t="shared" si="10"/>
        <v>-54.774482484906912</v>
      </c>
      <c r="AJ62" s="292">
        <f t="shared" si="11"/>
        <v>-3.9117922252822623E-6</v>
      </c>
    </row>
    <row r="63" spans="1:36">
      <c r="A63" s="101">
        <v>57</v>
      </c>
      <c r="B63" s="311" t="s">
        <v>157</v>
      </c>
      <c r="C63" s="320">
        <f>'Table 3 Levels 1&amp;2'!AO64</f>
        <v>45728966.601220809</v>
      </c>
      <c r="D63" s="368">
        <v>-4708.5899474065081</v>
      </c>
      <c r="E63" s="368">
        <v>1554.3358524687792</v>
      </c>
      <c r="F63" s="368">
        <f t="shared" si="3"/>
        <v>-3154.254094937729</v>
      </c>
      <c r="G63" s="320">
        <f t="shared" si="2"/>
        <v>0</v>
      </c>
      <c r="H63" s="368">
        <f t="shared" si="4"/>
        <v>-3154.254094937729</v>
      </c>
      <c r="I63" s="368"/>
      <c r="J63" s="368">
        <f>-'Table 5C1A-Madison Prep'!H63</f>
        <v>0</v>
      </c>
      <c r="K63" s="368">
        <f>-'Table 5C1B-DArbonne'!H63</f>
        <v>0</v>
      </c>
      <c r="L63" s="368">
        <f>-'Table 5C1C-Intl_VIBE'!H63</f>
        <v>0</v>
      </c>
      <c r="M63" s="368">
        <f>-'Table 5C1D-NOMMA'!H63</f>
        <v>0</v>
      </c>
      <c r="N63" s="368">
        <f>-'Table 5C1E-LFNO'!H63</f>
        <v>0</v>
      </c>
      <c r="O63" s="368">
        <f>-'Table 5C1F-Lake Charles Charter'!H63</f>
        <v>0</v>
      </c>
      <c r="P63" s="325">
        <f>-('Table 5C2 - LA Virtual Admy'!H60+'Table 5C2 - LA Virtual Admy'!I60)</f>
        <v>-46385.066862342836</v>
      </c>
      <c r="Q63" s="325">
        <f>-'Table 5C3 - LA Connections EBR'!H60-'Table 5C3 - LA Connections EBR'!I60</f>
        <v>-36077.274226266651</v>
      </c>
      <c r="R63" s="325">
        <f>-'Table 5D1 - New Vision'!G63</f>
        <v>0</v>
      </c>
      <c r="S63" s="325">
        <f>-'Table 5D2 - Glencoe'!G63</f>
        <v>-9975.5799048874142</v>
      </c>
      <c r="T63" s="325">
        <f>-'Table 5D3 - International'!G63</f>
        <v>0</v>
      </c>
      <c r="U63" s="325">
        <f>-'Table 5D4 - Avoyelles'!G63</f>
        <v>0</v>
      </c>
      <c r="V63" s="325">
        <f>-'Table 5D5 - Delhi'!G63</f>
        <v>0</v>
      </c>
      <c r="W63" s="325">
        <f>-'Table 5D6 - Milestone'!G63</f>
        <v>0</v>
      </c>
      <c r="X63" s="325">
        <f>-'Table 5D7 - Max'!G63</f>
        <v>0</v>
      </c>
      <c r="Y63" s="325">
        <f>-'Table 5D8 - Belle Chasse'!I63</f>
        <v>0</v>
      </c>
      <c r="Z63" s="325">
        <f>-'Table 5A4_LSDVI'!H63</f>
        <v>0</v>
      </c>
      <c r="AA63" s="325">
        <f>-'Table 5A5_SSD'!H63</f>
        <v>-10307.792636076187</v>
      </c>
      <c r="AB63" s="325">
        <f>-'Table 5F Scholarships'!E67</f>
        <v>0</v>
      </c>
      <c r="AC63" s="579">
        <f t="shared" si="5"/>
        <v>45623067</v>
      </c>
      <c r="AD63" s="320">
        <f t="shared" si="6"/>
        <v>3801922</v>
      </c>
      <c r="AE63" s="320">
        <f>'Table 4A Stipends'!G60</f>
        <v>0</v>
      </c>
      <c r="AF63" s="320">
        <f t="shared" si="7"/>
        <v>45623067</v>
      </c>
      <c r="AH63" s="1599">
        <f>('Table 8 2.1.12 MFP Funded'!G60*'Table 3 Levels 1&amp;2'!AP64)+'Table 2_State Distrib and Adjs'!F63</f>
        <v>45622737.926746696</v>
      </c>
      <c r="AI63" s="778">
        <f t="shared" si="10"/>
        <v>329.07325330376625</v>
      </c>
      <c r="AJ63" s="292">
        <f t="shared" si="11"/>
        <v>7.2129220703969288E-6</v>
      </c>
    </row>
    <row r="64" spans="1:36">
      <c r="A64" s="101">
        <v>58</v>
      </c>
      <c r="B64" s="311" t="s">
        <v>158</v>
      </c>
      <c r="C64" s="320">
        <f>'Table 3 Levels 1&amp;2'!AO65</f>
        <v>57183868.69122</v>
      </c>
      <c r="D64" s="368">
        <v>39172.745744864194</v>
      </c>
      <c r="E64" s="368">
        <v>-168507.46004203026</v>
      </c>
      <c r="F64" s="368">
        <f t="shared" si="3"/>
        <v>-129334.71429716607</v>
      </c>
      <c r="G64" s="320">
        <f t="shared" si="2"/>
        <v>0</v>
      </c>
      <c r="H64" s="368">
        <f t="shared" si="4"/>
        <v>-129334.71429716607</v>
      </c>
      <c r="I64" s="368"/>
      <c r="J64" s="368">
        <f>-'Table 5C1A-Madison Prep'!H64</f>
        <v>0</v>
      </c>
      <c r="K64" s="368">
        <f>-'Table 5C1B-DArbonne'!H64</f>
        <v>0</v>
      </c>
      <c r="L64" s="368">
        <f>-'Table 5C1C-Intl_VIBE'!H64</f>
        <v>0</v>
      </c>
      <c r="M64" s="368">
        <f>-'Table 5C1D-NOMMA'!H64</f>
        <v>0</v>
      </c>
      <c r="N64" s="368">
        <f>-'Table 5C1E-LFNO'!H64</f>
        <v>0</v>
      </c>
      <c r="O64" s="368">
        <f>-'Table 5C1F-Lake Charles Charter'!H64</f>
        <v>0</v>
      </c>
      <c r="P64" s="325">
        <f>-('Table 5C2 - LA Virtual Admy'!H61+'Table 5C2 - LA Virtual Admy'!I61)</f>
        <v>-258985.90876065934</v>
      </c>
      <c r="Q64" s="325">
        <f>-'Table 5C3 - LA Connections EBR'!H61-'Table 5C3 - LA Connections EBR'!I61</f>
        <v>-72275.137328556084</v>
      </c>
      <c r="R64" s="325">
        <f>-'Table 5D1 - New Vision'!G64</f>
        <v>0</v>
      </c>
      <c r="S64" s="325">
        <f>-'Table 5D2 - Glencoe'!G64</f>
        <v>0</v>
      </c>
      <c r="T64" s="325">
        <f>-'Table 5D3 - International'!G64</f>
        <v>0</v>
      </c>
      <c r="U64" s="325">
        <f>-'Table 5D4 - Avoyelles'!G64</f>
        <v>0</v>
      </c>
      <c r="V64" s="325">
        <f>-'Table 5D5 - Delhi'!G64</f>
        <v>0</v>
      </c>
      <c r="W64" s="325">
        <f>-'Table 5D6 - Milestone'!G64</f>
        <v>0</v>
      </c>
      <c r="X64" s="325">
        <f>-'Table 5D7 - Max'!G64</f>
        <v>0</v>
      </c>
      <c r="Y64" s="325">
        <f>-'Table 5D8 - Belle Chasse'!I64</f>
        <v>0</v>
      </c>
      <c r="Z64" s="325">
        <f>-'Table 5A4_LSDVI'!H64</f>
        <v>0</v>
      </c>
      <c r="AA64" s="325">
        <f>-'Table 5A5_SSD'!H64</f>
        <v>-12045.856221426015</v>
      </c>
      <c r="AB64" s="325">
        <f>-'Table 5F Scholarships'!E68</f>
        <v>0</v>
      </c>
      <c r="AC64" s="579">
        <f t="shared" si="5"/>
        <v>56711227</v>
      </c>
      <c r="AD64" s="320">
        <f t="shared" si="6"/>
        <v>4725936</v>
      </c>
      <c r="AE64" s="320">
        <f>'Table 4A Stipends'!G61</f>
        <v>0</v>
      </c>
      <c r="AF64" s="320">
        <f t="shared" si="7"/>
        <v>56711227</v>
      </c>
      <c r="AH64" s="1599">
        <f>('Table 8 2.1.12 MFP Funded'!G61*'Table 3 Levels 1&amp;2'!AP65)+'Table 2_State Distrib and Adjs'!F64</f>
        <v>56711250.089045048</v>
      </c>
      <c r="AI64" s="778">
        <f t="shared" si="10"/>
        <v>-23.08904504776001</v>
      </c>
      <c r="AJ64" s="292">
        <f t="shared" si="11"/>
        <v>-4.0713341729386667E-7</v>
      </c>
    </row>
    <row r="65" spans="1:36">
      <c r="A65" s="101">
        <v>59</v>
      </c>
      <c r="B65" s="311" t="s">
        <v>159</v>
      </c>
      <c r="C65" s="320">
        <f>'Table 3 Levels 1&amp;2'!AO66</f>
        <v>36387242.653219998</v>
      </c>
      <c r="D65" s="368">
        <v>48562.380948314538</v>
      </c>
      <c r="E65" s="368">
        <v>-33714.628874737813</v>
      </c>
      <c r="F65" s="368">
        <f t="shared" si="3"/>
        <v>14847.752073576725</v>
      </c>
      <c r="G65" s="320">
        <f t="shared" si="2"/>
        <v>14847.752073576725</v>
      </c>
      <c r="H65" s="368">
        <f t="shared" si="4"/>
        <v>0</v>
      </c>
      <c r="I65" s="368"/>
      <c r="J65" s="368">
        <f>-'Table 5C1A-Madison Prep'!H65</f>
        <v>0</v>
      </c>
      <c r="K65" s="368">
        <f>-'Table 5C1B-DArbonne'!H65</f>
        <v>0</v>
      </c>
      <c r="L65" s="368">
        <f>-'Table 5C1C-Intl_VIBE'!H65</f>
        <v>0</v>
      </c>
      <c r="M65" s="368">
        <f>-'Table 5C1D-NOMMA'!H65</f>
        <v>0</v>
      </c>
      <c r="N65" s="368">
        <f>-'Table 5C1E-LFNO'!H65</f>
        <v>0</v>
      </c>
      <c r="O65" s="368">
        <f>-'Table 5C1F-Lake Charles Charter'!H65</f>
        <v>0</v>
      </c>
      <c r="P65" s="325">
        <f>-('Table 5C2 - LA Virtual Admy'!H62+'Table 5C2 - LA Virtual Admy'!I62)</f>
        <v>-63162.147258433943</v>
      </c>
      <c r="Q65" s="325">
        <f>-'Table 5C3 - LA Connections EBR'!H62-'Table 5C3 - LA Connections EBR'!I62</f>
        <v>-56144.13089638573</v>
      </c>
      <c r="R65" s="325">
        <f>-'Table 5D1 - New Vision'!G65</f>
        <v>0</v>
      </c>
      <c r="S65" s="325">
        <f>-'Table 5D2 - Glencoe'!G65</f>
        <v>0</v>
      </c>
      <c r="T65" s="325">
        <f>-'Table 5D3 - International'!G65</f>
        <v>0</v>
      </c>
      <c r="U65" s="325">
        <f>-'Table 5D4 - Avoyelles'!G65</f>
        <v>0</v>
      </c>
      <c r="V65" s="325">
        <f>-'Table 5D5 - Delhi'!G65</f>
        <v>0</v>
      </c>
      <c r="W65" s="325">
        <f>-'Table 5D6 - Milestone'!G65</f>
        <v>0</v>
      </c>
      <c r="X65" s="325">
        <f>-'Table 5D7 - Max'!G65</f>
        <v>0</v>
      </c>
      <c r="Y65" s="325">
        <f>-'Table 5D8 - Belle Chasse'!I65</f>
        <v>0</v>
      </c>
      <c r="Z65" s="325">
        <f>-'Table 5A4_LSDVI'!H65</f>
        <v>-7018.0163620482163</v>
      </c>
      <c r="AA65" s="325">
        <f>-'Table 5A5_SSD'!H65</f>
        <v>-49126.11453433751</v>
      </c>
      <c r="AB65" s="325">
        <f>-'Table 5F Scholarships'!E69</f>
        <v>0</v>
      </c>
      <c r="AC65" s="579">
        <f t="shared" si="5"/>
        <v>36226640</v>
      </c>
      <c r="AD65" s="320">
        <f t="shared" si="6"/>
        <v>3018887</v>
      </c>
      <c r="AE65" s="320">
        <f>'Table 4A Stipends'!G62</f>
        <v>0</v>
      </c>
      <c r="AF65" s="320">
        <f t="shared" si="7"/>
        <v>36226640</v>
      </c>
      <c r="AH65" s="1599">
        <f>('Table 8 2.1.12 MFP Funded'!G62*'Table 3 Levels 1&amp;2'!AP66)+'Table 2_State Distrib and Adjs'!F65</f>
        <v>36226645.648045644</v>
      </c>
      <c r="AI65" s="778">
        <f t="shared" si="10"/>
        <v>-5.6480456441640854</v>
      </c>
      <c r="AJ65" s="292">
        <f t="shared" si="11"/>
        <v>-1.5590860106223459E-7</v>
      </c>
    </row>
    <row r="66" spans="1:36">
      <c r="A66" s="102">
        <v>60</v>
      </c>
      <c r="B66" s="312" t="s">
        <v>160</v>
      </c>
      <c r="C66" s="329">
        <f>'Table 3 Levels 1&amp;2'!AO67</f>
        <v>35082020.247507997</v>
      </c>
      <c r="D66" s="369">
        <v>5520.7425693265977</v>
      </c>
      <c r="E66" s="369">
        <v>-2361.9967755083526</v>
      </c>
      <c r="F66" s="369">
        <f t="shared" si="3"/>
        <v>3158.7457938182451</v>
      </c>
      <c r="G66" s="329">
        <f t="shared" si="2"/>
        <v>3158.7457938182451</v>
      </c>
      <c r="H66" s="369">
        <f t="shared" si="4"/>
        <v>0</v>
      </c>
      <c r="I66" s="369"/>
      <c r="J66" s="369">
        <f>-'Table 5C1A-Madison Prep'!H66</f>
        <v>0</v>
      </c>
      <c r="K66" s="369">
        <f>-'Table 5C1B-DArbonne'!H66</f>
        <v>0</v>
      </c>
      <c r="L66" s="369">
        <f>-'Table 5C1C-Intl_VIBE'!H66</f>
        <v>0</v>
      </c>
      <c r="M66" s="369">
        <f>-'Table 5C1D-NOMMA'!H66</f>
        <v>0</v>
      </c>
      <c r="N66" s="369">
        <f>-'Table 5C1E-LFNO'!H66</f>
        <v>0</v>
      </c>
      <c r="O66" s="369">
        <f>-'Table 5C1F-Lake Charles Charter'!H66</f>
        <v>0</v>
      </c>
      <c r="P66" s="332">
        <f>-('Table 5C2 - LA Virtual Admy'!H63+'Table 5C2 - LA Virtual Admy'!I63)</f>
        <v>-92126.609492066113</v>
      </c>
      <c r="Q66" s="332">
        <f>-'Table 5C3 - LA Connections EBR'!H63-'Table 5C3 - LA Connections EBR'!I63</f>
        <v>-86707.397169003409</v>
      </c>
      <c r="R66" s="332">
        <f>-'Table 5D1 - New Vision'!G66</f>
        <v>0</v>
      </c>
      <c r="S66" s="332">
        <f>-'Table 5D2 - Glencoe'!G66</f>
        <v>0</v>
      </c>
      <c r="T66" s="332">
        <f>-'Table 5D3 - International'!G66</f>
        <v>0</v>
      </c>
      <c r="U66" s="332">
        <f>-'Table 5D4 - Avoyelles'!G66</f>
        <v>0</v>
      </c>
      <c r="V66" s="332">
        <f>-'Table 5D5 - Delhi'!G66</f>
        <v>0</v>
      </c>
      <c r="W66" s="332">
        <f>-'Table 5D6 - Milestone'!G66</f>
        <v>0</v>
      </c>
      <c r="X66" s="332">
        <f>-'Table 5D7 - Max'!G66</f>
        <v>0</v>
      </c>
      <c r="Y66" s="332">
        <f>-'Table 5D8 - Belle Chasse'!I66</f>
        <v>0</v>
      </c>
      <c r="Z66" s="332">
        <f>-'Table 5A4_LSDVI'!H66</f>
        <v>-16257.636969188137</v>
      </c>
      <c r="AA66" s="332">
        <f>-'Table 5A5_SSD'!H66</f>
        <v>-16257.636969188137</v>
      </c>
      <c r="AB66" s="332">
        <f>-'Table 5F Scholarships'!E70</f>
        <v>0</v>
      </c>
      <c r="AC66" s="580">
        <f t="shared" si="5"/>
        <v>34873830</v>
      </c>
      <c r="AD66" s="329">
        <f t="shared" si="6"/>
        <v>2906153</v>
      </c>
      <c r="AE66" s="329">
        <f>'Table 4A Stipends'!G63</f>
        <v>0</v>
      </c>
      <c r="AF66" s="329">
        <f t="shared" si="7"/>
        <v>34873830</v>
      </c>
      <c r="AH66" s="1599">
        <f>('Table 8 2.1.12 MFP Funded'!G63*'Table 3 Levels 1&amp;2'!AP67)+'Table 2_State Distrib and Adjs'!F66</f>
        <v>34873841.521931283</v>
      </c>
      <c r="AI66" s="778">
        <f t="shared" si="10"/>
        <v>-11.521931283175945</v>
      </c>
      <c r="AJ66" s="292">
        <f t="shared" si="11"/>
        <v>-3.3038893280311813E-7</v>
      </c>
    </row>
    <row r="67" spans="1:36">
      <c r="A67" s="101">
        <v>61</v>
      </c>
      <c r="B67" s="311" t="s">
        <v>161</v>
      </c>
      <c r="C67" s="320">
        <f>'Table 3 Levels 1&amp;2'!AO68</f>
        <v>13821399.6803184</v>
      </c>
      <c r="D67" s="368">
        <v>10825.019541124777</v>
      </c>
      <c r="E67" s="368">
        <v>-39717.822879361614</v>
      </c>
      <c r="F67" s="368">
        <f t="shared" si="3"/>
        <v>-28892.803338236838</v>
      </c>
      <c r="G67" s="320">
        <f t="shared" si="2"/>
        <v>0</v>
      </c>
      <c r="H67" s="368">
        <f t="shared" si="4"/>
        <v>-28892.803338236838</v>
      </c>
      <c r="I67" s="368"/>
      <c r="J67" s="368">
        <f>-'Table 5C1A-Madison Prep'!H67</f>
        <v>0</v>
      </c>
      <c r="K67" s="368">
        <f>-'Table 5C1B-DArbonne'!H67</f>
        <v>0</v>
      </c>
      <c r="L67" s="368">
        <f>-'Table 5C1C-Intl_VIBE'!H67</f>
        <v>0</v>
      </c>
      <c r="M67" s="368">
        <f>-'Table 5C1D-NOMMA'!H67</f>
        <v>0</v>
      </c>
      <c r="N67" s="368">
        <f>-'Table 5C1E-LFNO'!H67</f>
        <v>0</v>
      </c>
      <c r="O67" s="368">
        <f>-'Table 5C1F-Lake Charles Charter'!H67</f>
        <v>0</v>
      </c>
      <c r="P67" s="325">
        <f>-('Table 5C2 - LA Virtual Admy'!H64+'Table 5C2 - LA Virtual Admy'!I64)</f>
        <v>-62352.336583336451</v>
      </c>
      <c r="Q67" s="325">
        <f>-'Table 5C3 - LA Connections EBR'!H64-'Table 5C3 - LA Connections EBR'!I64</f>
        <v>0</v>
      </c>
      <c r="R67" s="325">
        <f>-'Table 5D1 - New Vision'!G67</f>
        <v>0</v>
      </c>
      <c r="S67" s="325">
        <f>-'Table 5D2 - Glencoe'!G67</f>
        <v>0</v>
      </c>
      <c r="T67" s="325">
        <f>-'Table 5D3 - International'!G67</f>
        <v>0</v>
      </c>
      <c r="U67" s="325">
        <f>-'Table 5D4 - Avoyelles'!G67</f>
        <v>0</v>
      </c>
      <c r="V67" s="325">
        <f>-'Table 5D5 - Delhi'!G67</f>
        <v>0</v>
      </c>
      <c r="W67" s="325">
        <f>-'Table 5D6 - Milestone'!G67</f>
        <v>0</v>
      </c>
      <c r="X67" s="325">
        <f>-'Table 5D7 - Max'!G67</f>
        <v>0</v>
      </c>
      <c r="Y67" s="325">
        <f>-'Table 5D8 - Belle Chasse'!I67</f>
        <v>0</v>
      </c>
      <c r="Z67" s="325">
        <f>-'Table 5A4_LSDVI'!H67</f>
        <v>-27279.147255209697</v>
      </c>
      <c r="AA67" s="325">
        <f>-'Table 5A5_SSD'!H67</f>
        <v>-11691.063109375584</v>
      </c>
      <c r="AB67" s="325">
        <f>-'Table 5F Scholarships'!E71</f>
        <v>0</v>
      </c>
      <c r="AC67" s="579">
        <f t="shared" si="5"/>
        <v>13691184</v>
      </c>
      <c r="AD67" s="320">
        <f t="shared" si="6"/>
        <v>1140932</v>
      </c>
      <c r="AE67" s="320">
        <f>'Table 4A Stipends'!G64</f>
        <v>0</v>
      </c>
      <c r="AF67" s="320">
        <f t="shared" si="7"/>
        <v>13691184</v>
      </c>
      <c r="AH67" s="1599">
        <f>('Table 8 2.1.12 MFP Funded'!G64*'Table 3 Levels 1&amp;2'!AP68)+'Table 2_State Distrib and Adjs'!F67</f>
        <v>13691194.107967397</v>
      </c>
      <c r="AI67" s="778">
        <f t="shared" si="10"/>
        <v>-10.107967397198081</v>
      </c>
      <c r="AJ67" s="292">
        <f t="shared" si="11"/>
        <v>-7.3828238190822899E-7</v>
      </c>
    </row>
    <row r="68" spans="1:36">
      <c r="A68" s="101">
        <v>62</v>
      </c>
      <c r="B68" s="311" t="s">
        <v>162</v>
      </c>
      <c r="C68" s="320">
        <f>'Table 3 Levels 1&amp;2'!AO69</f>
        <v>12970371.887228386</v>
      </c>
      <c r="D68" s="368">
        <v>3028.0577891186276</v>
      </c>
      <c r="E68" s="368">
        <v>-2210.5149423134189</v>
      </c>
      <c r="F68" s="368">
        <f t="shared" si="3"/>
        <v>817.54284680520868</v>
      </c>
      <c r="G68" s="320">
        <f t="shared" si="2"/>
        <v>817.54284680520868</v>
      </c>
      <c r="H68" s="368">
        <f t="shared" si="4"/>
        <v>0</v>
      </c>
      <c r="I68" s="368"/>
      <c r="J68" s="368">
        <f>-'Table 5C1A-Madison Prep'!H68</f>
        <v>0</v>
      </c>
      <c r="K68" s="368">
        <f>-'Table 5C1B-DArbonne'!H68</f>
        <v>0</v>
      </c>
      <c r="L68" s="368">
        <f>-'Table 5C1C-Intl_VIBE'!H68</f>
        <v>0</v>
      </c>
      <c r="M68" s="368">
        <f>-'Table 5C1D-NOMMA'!H68</f>
        <v>0</v>
      </c>
      <c r="N68" s="368">
        <f>-'Table 5C1E-LFNO'!H68</f>
        <v>0</v>
      </c>
      <c r="O68" s="368">
        <f>-'Table 5C1F-Lake Charles Charter'!H68</f>
        <v>0</v>
      </c>
      <c r="P68" s="325">
        <f>-('Table 5C2 - LA Virtual Admy'!H65+'Table 5C2 - LA Virtual Admy'!I65)</f>
        <v>-6080.725485869667</v>
      </c>
      <c r="Q68" s="325">
        <f>-'Table 5C3 - LA Connections EBR'!H65-'Table 5C3 - LA Connections EBR'!I65</f>
        <v>-12161.450971739334</v>
      </c>
      <c r="R68" s="325">
        <f>-'Table 5D1 - New Vision'!G68</f>
        <v>0</v>
      </c>
      <c r="S68" s="325">
        <f>-'Table 5D2 - Glencoe'!G68</f>
        <v>0</v>
      </c>
      <c r="T68" s="325">
        <f>-'Table 5D3 - International'!G68</f>
        <v>0</v>
      </c>
      <c r="U68" s="325">
        <f>-'Table 5D4 - Avoyelles'!G68</f>
        <v>0</v>
      </c>
      <c r="V68" s="325">
        <f>-'Table 5D5 - Delhi'!G68</f>
        <v>-188841.73993034719</v>
      </c>
      <c r="W68" s="325">
        <f>-'Table 5D6 - Milestone'!G68</f>
        <v>0</v>
      </c>
      <c r="X68" s="325">
        <f>-'Table 5D7 - Max'!G68</f>
        <v>0</v>
      </c>
      <c r="Y68" s="325">
        <f>-'Table 5D8 - Belle Chasse'!I68</f>
        <v>0</v>
      </c>
      <c r="Z68" s="325">
        <f>-'Table 5A4_LSDVI'!H68</f>
        <v>0</v>
      </c>
      <c r="AA68" s="325">
        <f>-'Table 5A5_SSD'!H68</f>
        <v>-12161.450971739334</v>
      </c>
      <c r="AB68" s="325">
        <f>-'Table 5F Scholarships'!E72</f>
        <v>0</v>
      </c>
      <c r="AC68" s="579">
        <f t="shared" si="5"/>
        <v>12751944</v>
      </c>
      <c r="AD68" s="320">
        <f t="shared" si="6"/>
        <v>1062662</v>
      </c>
      <c r="AE68" s="320">
        <f>'Table 4A Stipends'!G65</f>
        <v>0</v>
      </c>
      <c r="AF68" s="320">
        <f t="shared" si="7"/>
        <v>12751944</v>
      </c>
      <c r="AH68" s="1599">
        <f>('Table 8 2.1.12 MFP Funded'!G65*'Table 3 Levels 1&amp;2'!AP69)+'Table 2_State Distrib and Adjs'!F68</f>
        <v>12752280.199911</v>
      </c>
      <c r="AI68" s="778">
        <f t="shared" si="10"/>
        <v>-336.19991100020707</v>
      </c>
      <c r="AJ68" s="292">
        <f t="shared" si="11"/>
        <v>-2.6363905570593835E-5</v>
      </c>
    </row>
    <row r="69" spans="1:36">
      <c r="A69" s="101">
        <v>63</v>
      </c>
      <c r="B69" s="311" t="s">
        <v>163</v>
      </c>
      <c r="C69" s="320">
        <f>'Table 3 Levels 1&amp;2'!AO70</f>
        <v>10527635.824539199</v>
      </c>
      <c r="D69" s="368">
        <v>0</v>
      </c>
      <c r="E69" s="368">
        <v>-4463.0998398284391</v>
      </c>
      <c r="F69" s="368">
        <f t="shared" si="3"/>
        <v>-4463.0998398284391</v>
      </c>
      <c r="G69" s="320">
        <f t="shared" si="2"/>
        <v>0</v>
      </c>
      <c r="H69" s="368">
        <f t="shared" si="4"/>
        <v>-4463.0998398284391</v>
      </c>
      <c r="I69" s="368"/>
      <c r="J69" s="368">
        <f>-'Table 5C1A-Madison Prep'!H69</f>
        <v>0</v>
      </c>
      <c r="K69" s="368">
        <f>-'Table 5C1B-DArbonne'!H69</f>
        <v>0</v>
      </c>
      <c r="L69" s="368">
        <f>-'Table 5C1C-Intl_VIBE'!H69</f>
        <v>0</v>
      </c>
      <c r="M69" s="368">
        <f>-'Table 5C1D-NOMMA'!H69</f>
        <v>0</v>
      </c>
      <c r="N69" s="368">
        <f>-'Table 5C1E-LFNO'!H69</f>
        <v>0</v>
      </c>
      <c r="O69" s="368">
        <f>-'Table 5C1F-Lake Charles Charter'!H69</f>
        <v>0</v>
      </c>
      <c r="P69" s="325">
        <f>-('Table 5C2 - LA Virtual Admy'!H66+'Table 5C2 - LA Virtual Admy'!I66)</f>
        <v>0</v>
      </c>
      <c r="Q69" s="325">
        <f>-'Table 5C3 - LA Connections EBR'!H66-'Table 5C3 - LA Connections EBR'!I66</f>
        <v>-31025.805201981922</v>
      </c>
      <c r="R69" s="325">
        <f>-'Table 5D1 - New Vision'!G69</f>
        <v>0</v>
      </c>
      <c r="S69" s="325">
        <f>-'Table 5D2 - Glencoe'!G69</f>
        <v>0</v>
      </c>
      <c r="T69" s="325">
        <f>-'Table 5D3 - International'!G69</f>
        <v>0</v>
      </c>
      <c r="U69" s="325">
        <f>-'Table 5D4 - Avoyelles'!G69</f>
        <v>0</v>
      </c>
      <c r="V69" s="325">
        <f>-'Table 5D5 - Delhi'!G69</f>
        <v>0</v>
      </c>
      <c r="W69" s="325">
        <f>-'Table 5D6 - Milestone'!G69</f>
        <v>0</v>
      </c>
      <c r="X69" s="325">
        <f>-'Table 5D7 - Max'!G69</f>
        <v>0</v>
      </c>
      <c r="Y69" s="325">
        <f>-'Table 5D8 - Belle Chasse'!I69</f>
        <v>0</v>
      </c>
      <c r="Z69" s="325">
        <f>-'Table 5A4_LSDVI'!H69</f>
        <v>-5170.9675336636537</v>
      </c>
      <c r="AA69" s="325">
        <f>-'Table 5A5_SSD'!H69</f>
        <v>-5170.9675336636537</v>
      </c>
      <c r="AB69" s="325">
        <f>-'Table 5F Scholarships'!E73</f>
        <v>0</v>
      </c>
      <c r="AC69" s="579">
        <f t="shared" si="5"/>
        <v>10481805</v>
      </c>
      <c r="AD69" s="320">
        <f t="shared" si="6"/>
        <v>873484</v>
      </c>
      <c r="AE69" s="320">
        <f>'Table 4A Stipends'!G66</f>
        <v>0</v>
      </c>
      <c r="AF69" s="320">
        <f t="shared" si="7"/>
        <v>10481805</v>
      </c>
      <c r="AH69" s="1599">
        <f>('Table 8 2.1.12 MFP Funded'!G66*'Table 3 Levels 1&amp;2'!AP70)+'Table 2_State Distrib and Adjs'!F69</f>
        <v>10481806.768610809</v>
      </c>
      <c r="AI69" s="778">
        <f t="shared" si="10"/>
        <v>-1.7686108089983463</v>
      </c>
      <c r="AJ69" s="292">
        <f t="shared" si="11"/>
        <v>-1.6873148380245772E-7</v>
      </c>
    </row>
    <row r="70" spans="1:36">
      <c r="A70" s="101">
        <v>64</v>
      </c>
      <c r="B70" s="311" t="s">
        <v>164</v>
      </c>
      <c r="C70" s="320">
        <f>'Table 3 Levels 1&amp;2'!AO71</f>
        <v>15654924.385647999</v>
      </c>
      <c r="D70" s="368">
        <v>3170.2034215805688</v>
      </c>
      <c r="E70" s="368">
        <v>-4457.0456349186497</v>
      </c>
      <c r="F70" s="368">
        <f t="shared" si="3"/>
        <v>-1286.8422133380809</v>
      </c>
      <c r="G70" s="320">
        <f t="shared" si="2"/>
        <v>0</v>
      </c>
      <c r="H70" s="368">
        <f t="shared" si="4"/>
        <v>-1286.8422133380809</v>
      </c>
      <c r="I70" s="368"/>
      <c r="J70" s="368">
        <f>-'Table 5C1A-Madison Prep'!H70</f>
        <v>0</v>
      </c>
      <c r="K70" s="368">
        <f>-'Table 5C1B-DArbonne'!H70</f>
        <v>0</v>
      </c>
      <c r="L70" s="368">
        <f>-'Table 5C1C-Intl_VIBE'!H70</f>
        <v>0</v>
      </c>
      <c r="M70" s="368">
        <f>-'Table 5C1D-NOMMA'!H70</f>
        <v>0</v>
      </c>
      <c r="N70" s="368">
        <f>-'Table 5C1E-LFNO'!H70</f>
        <v>0</v>
      </c>
      <c r="O70" s="368">
        <f>-'Table 5C1F-Lake Charles Charter'!H70</f>
        <v>0</v>
      </c>
      <c r="P70" s="325">
        <f>-('Table 5C2 - LA Virtual Admy'!H67+'Table 5C2 - LA Virtual Admy'!I67)</f>
        <v>-12927.417162384805</v>
      </c>
      <c r="Q70" s="325">
        <f>-'Table 5C3 - LA Connections EBR'!H67-'Table 5C3 - LA Connections EBR'!I67</f>
        <v>-6463.7085811924026</v>
      </c>
      <c r="R70" s="325">
        <f>-'Table 5D1 - New Vision'!G70</f>
        <v>0</v>
      </c>
      <c r="S70" s="325">
        <f>-'Table 5D2 - Glencoe'!G70</f>
        <v>0</v>
      </c>
      <c r="T70" s="325">
        <f>-'Table 5D3 - International'!G70</f>
        <v>0</v>
      </c>
      <c r="U70" s="325">
        <f>-'Table 5D4 - Avoyelles'!G70</f>
        <v>0</v>
      </c>
      <c r="V70" s="325">
        <f>-'Table 5D5 - Delhi'!G70</f>
        <v>0</v>
      </c>
      <c r="W70" s="325">
        <f>-'Table 5D6 - Milestone'!G70</f>
        <v>0</v>
      </c>
      <c r="X70" s="325">
        <f>-'Table 5D7 - Max'!G70</f>
        <v>0</v>
      </c>
      <c r="Y70" s="325">
        <f>-'Table 5D8 - Belle Chasse'!I70</f>
        <v>0</v>
      </c>
      <c r="Z70" s="325">
        <f>-'Table 5A4_LSDVI'!H70</f>
        <v>-6463.7085811924026</v>
      </c>
      <c r="AA70" s="325">
        <f>-'Table 5A5_SSD'!H70</f>
        <v>-6463.7085811924026</v>
      </c>
      <c r="AB70" s="325">
        <f>-'Table 5F Scholarships'!E74</f>
        <v>0</v>
      </c>
      <c r="AC70" s="579">
        <f t="shared" si="5"/>
        <v>15621319</v>
      </c>
      <c r="AD70" s="320">
        <f t="shared" si="6"/>
        <v>1301777</v>
      </c>
      <c r="AE70" s="320">
        <f>'Table 4A Stipends'!G67</f>
        <v>0</v>
      </c>
      <c r="AF70" s="320">
        <f t="shared" si="7"/>
        <v>15621319</v>
      </c>
      <c r="AH70" s="1599">
        <f>('Table 8 2.1.12 MFP Funded'!G67*'Table 3 Levels 1&amp;2'!AP71)+'Table 2_State Distrib and Adjs'!F70</f>
        <v>15621319.367576594</v>
      </c>
      <c r="AI70" s="778">
        <f t="shared" si="10"/>
        <v>-0.3675765935331583</v>
      </c>
      <c r="AJ70" s="292">
        <f t="shared" si="11"/>
        <v>-2.3530444828885292E-8</v>
      </c>
    </row>
    <row r="71" spans="1:36">
      <c r="A71" s="102">
        <v>65</v>
      </c>
      <c r="B71" s="312" t="s">
        <v>165</v>
      </c>
      <c r="C71" s="329">
        <f>'Table 3 Levels 1&amp;2'!AO72</f>
        <v>46618009.191515908</v>
      </c>
      <c r="D71" s="369">
        <v>20847.866864983756</v>
      </c>
      <c r="E71" s="369">
        <v>-725108.40198985441</v>
      </c>
      <c r="F71" s="369">
        <f t="shared" si="3"/>
        <v>-704260.5351248706</v>
      </c>
      <c r="G71" s="329">
        <f>IF(F71&gt;0,F71,0)</f>
        <v>0</v>
      </c>
      <c r="H71" s="369">
        <f t="shared" si="4"/>
        <v>-704260.5351248706</v>
      </c>
      <c r="I71" s="369"/>
      <c r="J71" s="369">
        <f>-'Table 5C1A-Madison Prep'!H71</f>
        <v>0</v>
      </c>
      <c r="K71" s="369">
        <f>-'Table 5C1B-DArbonne'!H71</f>
        <v>0</v>
      </c>
      <c r="L71" s="369">
        <f>-'Table 5C1C-Intl_VIBE'!H71</f>
        <v>0</v>
      </c>
      <c r="M71" s="369">
        <f>-'Table 5C1D-NOMMA'!H71</f>
        <v>0</v>
      </c>
      <c r="N71" s="369">
        <f>-'Table 5C1E-LFNO'!H71</f>
        <v>0</v>
      </c>
      <c r="O71" s="369">
        <f>-'Table 5C1F-Lake Charles Charter'!H71</f>
        <v>0</v>
      </c>
      <c r="P71" s="332">
        <f>-('Table 5C2 - LA Virtual Admy'!H68+'Table 5C2 - LA Virtual Admy'!I68)</f>
        <v>-27156.623475659952</v>
      </c>
      <c r="Q71" s="332">
        <f>-'Table 5C3 - LA Connections EBR'!H68-'Table 5C3 - LA Connections EBR'!I68</f>
        <v>-10862.64939026398</v>
      </c>
      <c r="R71" s="332">
        <f>-'Table 5D1 - New Vision'!G71</f>
        <v>-952011.53884613467</v>
      </c>
      <c r="S71" s="332">
        <f>-'Table 5D2 - Glencoe'!G71</f>
        <v>0</v>
      </c>
      <c r="T71" s="332">
        <f>-'Table 5D3 - International'!G71</f>
        <v>0</v>
      </c>
      <c r="U71" s="332">
        <f>-'Table 5D4 - Avoyelles'!G71</f>
        <v>0</v>
      </c>
      <c r="V71" s="332">
        <f>-'Table 5D5 - Delhi'!G71</f>
        <v>0</v>
      </c>
      <c r="W71" s="332">
        <f>-'Table 5D6 - Milestone'!G71</f>
        <v>0</v>
      </c>
      <c r="X71" s="332">
        <f>-'Table 5D7 - Max'!G71</f>
        <v>0</v>
      </c>
      <c r="Y71" s="332">
        <f>-'Table 5D8 - Belle Chasse'!I71</f>
        <v>0</v>
      </c>
      <c r="Z71" s="332">
        <f>-'Table 5A4_LSDVI'!H71</f>
        <v>-16293.97408539597</v>
      </c>
      <c r="AA71" s="332">
        <f>-'Table 5A5_SSD'!H71</f>
        <v>0</v>
      </c>
      <c r="AB71" s="332">
        <f>-'Table 5F Scholarships'!E75</f>
        <v>0</v>
      </c>
      <c r="AC71" s="580">
        <f t="shared" si="5"/>
        <v>44907424</v>
      </c>
      <c r="AD71" s="329">
        <f t="shared" si="6"/>
        <v>3742285</v>
      </c>
      <c r="AE71" s="329">
        <f>'Table 4A Stipends'!G68</f>
        <v>0</v>
      </c>
      <c r="AF71" s="329">
        <f t="shared" si="7"/>
        <v>44907424</v>
      </c>
      <c r="AH71" s="1599">
        <f>('Table 8 2.1.12 MFP Funded'!G68*'Table 3 Levels 1&amp;2'!AP72)+'Table 2_State Distrib and Adjs'!F71</f>
        <v>44887685.568328097</v>
      </c>
      <c r="AI71" s="778">
        <f t="shared" si="10"/>
        <v>19738.431671902537</v>
      </c>
      <c r="AJ71" s="292">
        <f t="shared" si="11"/>
        <v>4.3972932491377105E-4</v>
      </c>
    </row>
    <row r="72" spans="1:36">
      <c r="A72" s="136">
        <v>66</v>
      </c>
      <c r="B72" s="313" t="s">
        <v>166</v>
      </c>
      <c r="C72" s="322">
        <f>'Table 3 Levels 1&amp;2'!AO73</f>
        <v>14359000.542099999</v>
      </c>
      <c r="D72" s="370">
        <v>0</v>
      </c>
      <c r="E72" s="370">
        <v>-24631.238222306732</v>
      </c>
      <c r="F72" s="370">
        <f>SUM(D72:E72)</f>
        <v>-24631.238222306732</v>
      </c>
      <c r="G72" s="322">
        <f>IF(F72&gt;0,F72,0)</f>
        <v>0</v>
      </c>
      <c r="H72" s="370">
        <f>IF(F72&lt;0,F72,0)</f>
        <v>-24631.238222306732</v>
      </c>
      <c r="I72" s="370"/>
      <c r="J72" s="370">
        <f>-'Table 5C1A-Madison Prep'!H72</f>
        <v>0</v>
      </c>
      <c r="K72" s="370">
        <f>-'Table 5C1B-DArbonne'!H72</f>
        <v>0</v>
      </c>
      <c r="L72" s="370">
        <f>-'Table 5C1C-Intl_VIBE'!H72</f>
        <v>0</v>
      </c>
      <c r="M72" s="370">
        <f>-'Table 5C1D-NOMMA'!H72</f>
        <v>0</v>
      </c>
      <c r="N72" s="370">
        <f>-'Table 5C1E-LFNO'!H72</f>
        <v>0</v>
      </c>
      <c r="O72" s="370">
        <f>-'Table 5C1F-Lake Charles Charter'!H72</f>
        <v>0</v>
      </c>
      <c r="P72" s="625">
        <f>-('Table 5C2 - LA Virtual Admy'!H69+'Table 5C2 - LA Virtual Admy'!I69)</f>
        <v>-27895.80489966003</v>
      </c>
      <c r="Q72" s="625">
        <f>-'Table 5C3 - LA Connections EBR'!H69-'Table 5C3 - LA Connections EBR'!I69</f>
        <v>-6973.9512249150075</v>
      </c>
      <c r="R72" s="625">
        <f>-'Table 5D1 - New Vision'!G72</f>
        <v>0</v>
      </c>
      <c r="S72" s="625">
        <f>-'Table 5D2 - Glencoe'!G72</f>
        <v>0</v>
      </c>
      <c r="T72" s="625">
        <f>-'Table 5D3 - International'!G72</f>
        <v>0</v>
      </c>
      <c r="U72" s="625">
        <f>-'Table 5D4 - Avoyelles'!G72</f>
        <v>0</v>
      </c>
      <c r="V72" s="625">
        <f>-'Table 5D5 - Delhi'!G72</f>
        <v>0</v>
      </c>
      <c r="W72" s="625">
        <f>-'Table 5D6 - Milestone'!G72</f>
        <v>0</v>
      </c>
      <c r="X72" s="625">
        <f>-'Table 5D7 - Max'!G72</f>
        <v>0</v>
      </c>
      <c r="Y72" s="625">
        <f>-'Table 5D8 - Belle Chasse'!I72</f>
        <v>0</v>
      </c>
      <c r="Z72" s="625">
        <f>-'Table 5A4_LSDVI'!H72</f>
        <v>-13947.902449830013</v>
      </c>
      <c r="AA72" s="625">
        <f>-'Table 5A5_SSD'!H72</f>
        <v>0</v>
      </c>
      <c r="AB72" s="625">
        <f>-'Table 5F Scholarships'!E76</f>
        <v>0</v>
      </c>
      <c r="AC72" s="581">
        <f t="shared" ref="AC72:AC75" si="12">ROUND(C72+F72+I72+J72+K72+L72+M72+N72+O72+P72+Q72+R72+S72+T72+U72+V72+W72+X72+Y72+Z72+AA72+AB72,0)</f>
        <v>14285552</v>
      </c>
      <c r="AD72" s="322">
        <f>ROUND(AC72/12,0)</f>
        <v>1190463</v>
      </c>
      <c r="AE72" s="322">
        <f>'Table 4A Stipends'!G69</f>
        <v>0</v>
      </c>
      <c r="AF72" s="322">
        <f>AC72+AE72</f>
        <v>14285552</v>
      </c>
      <c r="AH72" s="1599">
        <f>('Table 8 2.1.12 MFP Funded'!G69*'Table 3 Levels 1&amp;2'!AP73)+'Table 2_State Distrib and Adjs'!F72</f>
        <v>14285552.886298917</v>
      </c>
      <c r="AI72" s="778">
        <f t="shared" si="10"/>
        <v>-0.88629891723394394</v>
      </c>
      <c r="AJ72" s="292">
        <f t="shared" si="11"/>
        <v>-6.2041625150118018E-8</v>
      </c>
    </row>
    <row r="73" spans="1:36">
      <c r="A73" s="360">
        <v>67</v>
      </c>
      <c r="B73" s="314" t="s">
        <v>33</v>
      </c>
      <c r="C73" s="320">
        <f>'Table 3 Levels 1&amp;2'!AO74</f>
        <v>29235198.971705601</v>
      </c>
      <c r="D73" s="368">
        <v>-5731.1852061805694</v>
      </c>
      <c r="E73" s="368">
        <v>-12856.47998017897</v>
      </c>
      <c r="F73" s="368">
        <f>SUM(D73:E73)</f>
        <v>-18587.66518635954</v>
      </c>
      <c r="G73" s="320">
        <f>IF(F73&gt;0,F73,0)</f>
        <v>0</v>
      </c>
      <c r="H73" s="368">
        <f>IF(F73&lt;0,F73,0)</f>
        <v>-18587.66518635954</v>
      </c>
      <c r="I73" s="368"/>
      <c r="J73" s="368">
        <f>-'Table 5C1A-Madison Prep'!H73</f>
        <v>-11530.517979769513</v>
      </c>
      <c r="K73" s="368">
        <f>-'Table 5C1B-DArbonne'!H73</f>
        <v>0</v>
      </c>
      <c r="L73" s="368">
        <f>-'Table 5C1C-Intl_VIBE'!H73</f>
        <v>0</v>
      </c>
      <c r="M73" s="368">
        <f>-'Table 5C1D-NOMMA'!H73</f>
        <v>0</v>
      </c>
      <c r="N73" s="368">
        <f>-'Table 5C1E-LFNO'!H73</f>
        <v>0</v>
      </c>
      <c r="O73" s="368">
        <f>-'Table 5C1F-Lake Charles Charter'!H73</f>
        <v>0</v>
      </c>
      <c r="P73" s="325">
        <f>-('Table 5C2 - LA Virtual Admy'!H70+'Table 5C2 - LA Virtual Admy'!I70)</f>
        <v>-11530.517979769513</v>
      </c>
      <c r="Q73" s="325">
        <f>-'Table 5C3 - LA Connections EBR'!H70-'Table 5C3 - LA Connections EBR'!I70</f>
        <v>-23061.035959539025</v>
      </c>
      <c r="R73" s="325">
        <f>-'Table 5D1 - New Vision'!G73</f>
        <v>0</v>
      </c>
      <c r="S73" s="325">
        <f>-'Table 5D2 - Glencoe'!G73</f>
        <v>0</v>
      </c>
      <c r="T73" s="325">
        <f>-'Table 5D3 - International'!G73</f>
        <v>0</v>
      </c>
      <c r="U73" s="325">
        <f>-'Table 5D4 - Avoyelles'!G73</f>
        <v>0</v>
      </c>
      <c r="V73" s="325">
        <f>-'Table 5D5 - Delhi'!G73</f>
        <v>0</v>
      </c>
      <c r="W73" s="325">
        <f>-'Table 5D6 - Milestone'!G73</f>
        <v>0</v>
      </c>
      <c r="X73" s="325">
        <f>-'Table 5D7 - Max'!G73</f>
        <v>0</v>
      </c>
      <c r="Y73" s="325">
        <f>-'Table 5D8 - Belle Chasse'!I73</f>
        <v>0</v>
      </c>
      <c r="Z73" s="325">
        <f>-'Table 5A4_LSDVI'!H73</f>
        <v>-23061.035959539025</v>
      </c>
      <c r="AA73" s="325">
        <f>-'Table 5A5_SSD'!H73</f>
        <v>-11530.517979769513</v>
      </c>
      <c r="AB73" s="325">
        <f>-'Table 5F Scholarships'!E77</f>
        <v>0</v>
      </c>
      <c r="AC73" s="579">
        <f t="shared" si="12"/>
        <v>29135898</v>
      </c>
      <c r="AD73" s="320">
        <f>ROUND(AC73/12,0)</f>
        <v>2427992</v>
      </c>
      <c r="AE73" s="320">
        <f>'Table 4A Stipends'!G70</f>
        <v>0</v>
      </c>
      <c r="AF73" s="320">
        <f>AC73+AE73</f>
        <v>29135898</v>
      </c>
      <c r="AH73" s="1599">
        <f>('Table 8 2.1.12 MFP Funded'!G70*'Table 3 Levels 1&amp;2'!AP74)+'Table 2_State Distrib and Adjs'!F73</f>
        <v>29135898.866053086</v>
      </c>
      <c r="AI73" s="778">
        <f t="shared" si="10"/>
        <v>-0.86605308577418327</v>
      </c>
      <c r="AJ73" s="292">
        <f t="shared" si="11"/>
        <v>-2.9724605022680177E-8</v>
      </c>
    </row>
    <row r="74" spans="1:36">
      <c r="A74" s="101">
        <v>68</v>
      </c>
      <c r="B74" s="311" t="s">
        <v>31</v>
      </c>
      <c r="C74" s="320">
        <f>'Table 3 Levels 1&amp;2'!AO75</f>
        <v>11801918.192748001</v>
      </c>
      <c r="D74" s="368">
        <v>13426.484464937239</v>
      </c>
      <c r="E74" s="368">
        <v>20403.157698880837</v>
      </c>
      <c r="F74" s="368">
        <f>SUM(D74:E74)</f>
        <v>33829.642163818076</v>
      </c>
      <c r="G74" s="320">
        <f>IF(F74&gt;0,F74,0)</f>
        <v>33829.642163818076</v>
      </c>
      <c r="H74" s="368">
        <f>IF(F74&lt;0,F74,0)</f>
        <v>0</v>
      </c>
      <c r="I74" s="368"/>
      <c r="J74" s="368">
        <f>-'Table 5C1A-Madison Prep'!H74</f>
        <v>-26641.800322230247</v>
      </c>
      <c r="K74" s="368">
        <f>-'Table 5C1B-DArbonne'!H74</f>
        <v>0</v>
      </c>
      <c r="L74" s="368">
        <f>-'Table 5C1C-Intl_VIBE'!H74</f>
        <v>0</v>
      </c>
      <c r="M74" s="368">
        <f>-'Table 5C1D-NOMMA'!H74</f>
        <v>0</v>
      </c>
      <c r="N74" s="368">
        <f>-'Table 5C1E-LFNO'!H74</f>
        <v>0</v>
      </c>
      <c r="O74" s="368">
        <f>-'Table 5C1F-Lake Charles Charter'!H74</f>
        <v>0</v>
      </c>
      <c r="P74" s="325">
        <f>-('Table 5C2 - LA Virtual Admy'!H71+'Table 5C2 - LA Virtual Admy'!I71)</f>
        <v>-26641.800322230247</v>
      </c>
      <c r="Q74" s="325">
        <f>-'Table 5C3 - LA Connections EBR'!H71-'Table 5C3 - LA Connections EBR'!I71</f>
        <v>-6660.4500805575617</v>
      </c>
      <c r="R74" s="325">
        <f>-'Table 5D1 - New Vision'!G74</f>
        <v>0</v>
      </c>
      <c r="S74" s="325">
        <f>-'Table 5D2 - Glencoe'!G74</f>
        <v>0</v>
      </c>
      <c r="T74" s="325">
        <f>-'Table 5D3 - International'!G74</f>
        <v>0</v>
      </c>
      <c r="U74" s="325">
        <f>-'Table 5D4 - Avoyelles'!G74</f>
        <v>0</v>
      </c>
      <c r="V74" s="325">
        <f>-'Table 5D5 - Delhi'!G74</f>
        <v>0</v>
      </c>
      <c r="W74" s="325">
        <f>-'Table 5D6 - Milestone'!G74</f>
        <v>0</v>
      </c>
      <c r="X74" s="325">
        <f>-'Table 5D7 - Max'!G74</f>
        <v>0</v>
      </c>
      <c r="Y74" s="325">
        <f>-'Table 5D8 - Belle Chasse'!I74</f>
        <v>0</v>
      </c>
      <c r="Z74" s="325">
        <f>-'Table 5A4_LSDVI'!H74</f>
        <v>-33302.250402787809</v>
      </c>
      <c r="AA74" s="325">
        <f>-'Table 5A5_SSD'!H74</f>
        <v>0</v>
      </c>
      <c r="AB74" s="325">
        <f>-'Table 5F Scholarships'!E78</f>
        <v>0</v>
      </c>
      <c r="AC74" s="579">
        <f t="shared" si="12"/>
        <v>11742502</v>
      </c>
      <c r="AD74" s="320">
        <f>ROUND(AC74/12,0)</f>
        <v>978542</v>
      </c>
      <c r="AE74" s="320">
        <f>'Table 4A Stipends'!G71</f>
        <v>0</v>
      </c>
      <c r="AF74" s="320">
        <f>AC74+AE74</f>
        <v>11742502</v>
      </c>
      <c r="AH74" s="1599">
        <f>('Table 8 2.1.12 MFP Funded'!G71*'Table 3 Levels 1&amp;2'!AP75)+'Table 2_State Distrib and Adjs'!F74</f>
        <v>11742504.688919453</v>
      </c>
      <c r="AI74" s="778">
        <f t="shared" si="10"/>
        <v>-2.6889194529503584</v>
      </c>
      <c r="AJ74" s="292">
        <f t="shared" si="11"/>
        <v>-2.2899028139096219E-7</v>
      </c>
    </row>
    <row r="75" spans="1:36">
      <c r="A75" s="102">
        <v>69</v>
      </c>
      <c r="B75" s="312" t="s">
        <v>235</v>
      </c>
      <c r="C75" s="329">
        <f>'Table 3 Levels 1&amp;2'!AO76</f>
        <v>24501064.122550398</v>
      </c>
      <c r="D75" s="369">
        <v>6149.8948790881259</v>
      </c>
      <c r="E75" s="369">
        <v>-7326.8291458509821</v>
      </c>
      <c r="F75" s="369">
        <f>SUM(D75:E75)</f>
        <v>-1176.9342667628562</v>
      </c>
      <c r="G75" s="329">
        <f>IF(F75&gt;0,F75,0)</f>
        <v>0</v>
      </c>
      <c r="H75" s="369">
        <f>IF(F75&lt;0,F75,0)</f>
        <v>-1176.9342667628562</v>
      </c>
      <c r="I75" s="369"/>
      <c r="J75" s="369">
        <f>-'Table 5C1A-Madison Prep'!H75</f>
        <v>-12428.019457037992</v>
      </c>
      <c r="K75" s="369">
        <f>-'Table 5C1B-DArbonne'!H75</f>
        <v>0</v>
      </c>
      <c r="L75" s="369">
        <f>-'Table 5C1C-Intl_VIBE'!H75</f>
        <v>0</v>
      </c>
      <c r="M75" s="369">
        <f>-'Table 5C1D-NOMMA'!H75</f>
        <v>0</v>
      </c>
      <c r="N75" s="369">
        <f>-'Table 5C1E-LFNO'!H75</f>
        <v>0</v>
      </c>
      <c r="O75" s="369">
        <f>-'Table 5C1F-Lake Charles Charter'!H75</f>
        <v>0</v>
      </c>
      <c r="P75" s="332">
        <f>-('Table 5C2 - LA Virtual Admy'!H72+'Table 5C2 - LA Virtual Admy'!I72)</f>
        <v>-62140.097285189957</v>
      </c>
      <c r="Q75" s="332">
        <f>-'Table 5C3 - LA Connections EBR'!H72-'Table 5C3 - LA Connections EBR'!I72</f>
        <v>-6214.0097285189959</v>
      </c>
      <c r="R75" s="332">
        <f>-'Table 5D1 - New Vision'!G75</f>
        <v>0</v>
      </c>
      <c r="S75" s="332">
        <f>-'Table 5D2 - Glencoe'!G75</f>
        <v>0</v>
      </c>
      <c r="T75" s="332">
        <f>-'Table 5D3 - International'!G75</f>
        <v>0</v>
      </c>
      <c r="U75" s="332">
        <f>-'Table 5D4 - Avoyelles'!G75</f>
        <v>0</v>
      </c>
      <c r="V75" s="332">
        <f>-'Table 5D5 - Delhi'!G75</f>
        <v>0</v>
      </c>
      <c r="W75" s="332">
        <f>-'Table 5D6 - Milestone'!G75</f>
        <v>0</v>
      </c>
      <c r="X75" s="332">
        <f>-'Table 5D7 - Max'!G75</f>
        <v>0</v>
      </c>
      <c r="Y75" s="332">
        <f>-'Table 5D8 - Belle Chasse'!I75</f>
        <v>0</v>
      </c>
      <c r="Z75" s="332">
        <f>-'Table 5A4_LSDVI'!H75</f>
        <v>-12428.019457037992</v>
      </c>
      <c r="AA75" s="332">
        <f>-'Table 5A5_SSD'!H75</f>
        <v>-6214.0097285189959</v>
      </c>
      <c r="AB75" s="332">
        <f>-'Table 5F Scholarships'!E79</f>
        <v>0</v>
      </c>
      <c r="AC75" s="580">
        <f t="shared" si="12"/>
        <v>24400463</v>
      </c>
      <c r="AD75" s="329">
        <f>ROUND(AC75/12,0)</f>
        <v>2033372</v>
      </c>
      <c r="AE75" s="329">
        <f>'Table 4A Stipends'!G72</f>
        <v>0</v>
      </c>
      <c r="AF75" s="329">
        <f>AC75+AE75</f>
        <v>24400463</v>
      </c>
      <c r="AH75" s="1599">
        <f>('Table 8 2.1.12 MFP Funded'!G72*'Table 3 Levels 1&amp;2'!AP76)+'Table 2_State Distrib and Adjs'!F75</f>
        <v>24400466.182460453</v>
      </c>
      <c r="AI75" s="778">
        <f t="shared" si="10"/>
        <v>-3.1824604533612728</v>
      </c>
      <c r="AJ75" s="292">
        <f t="shared" si="11"/>
        <v>-1.3042621520276073E-7</v>
      </c>
    </row>
    <row r="76" spans="1:36" ht="13.5" thickBot="1">
      <c r="A76" s="428"/>
      <c r="B76" s="429" t="s">
        <v>167</v>
      </c>
      <c r="C76" s="436">
        <f t="shared" ref="C76:AD76" si="13">SUM(C7:C75)</f>
        <v>3404925470.5395784</v>
      </c>
      <c r="D76" s="436">
        <f t="shared" si="13"/>
        <v>1263215.6796504699</v>
      </c>
      <c r="E76" s="436">
        <f>SUM(E7:E75)</f>
        <v>-4207542.5383666772</v>
      </c>
      <c r="F76" s="436">
        <f>SUM(F7:F75)</f>
        <v>-2944326.8587162076</v>
      </c>
      <c r="G76" s="436">
        <f t="shared" si="13"/>
        <v>507437.02995532152</v>
      </c>
      <c r="H76" s="436">
        <f t="shared" si="13"/>
        <v>-3451763.8886715281</v>
      </c>
      <c r="I76" s="436">
        <f t="shared" si="13"/>
        <v>-139518605.89238623</v>
      </c>
      <c r="J76" s="436">
        <f t="shared" si="13"/>
        <v>-848176.57302091375</v>
      </c>
      <c r="K76" s="436">
        <f t="shared" si="13"/>
        <v>-2065062.9643966954</v>
      </c>
      <c r="L76" s="436">
        <f t="shared" si="13"/>
        <v>-1304333.6423195722</v>
      </c>
      <c r="M76" s="436">
        <f t="shared" si="13"/>
        <v>-419550.26640104403</v>
      </c>
      <c r="N76" s="436">
        <f t="shared" si="13"/>
        <v>-230091.28027088271</v>
      </c>
      <c r="O76" s="436">
        <f t="shared" si="13"/>
        <v>-3147048.1901722434</v>
      </c>
      <c r="P76" s="436">
        <f>SUM(P7:P75)</f>
        <v>-6261304.9972953051</v>
      </c>
      <c r="Q76" s="436">
        <f t="shared" si="13"/>
        <v>-3079091.1201542788</v>
      </c>
      <c r="R76" s="436">
        <f t="shared" si="13"/>
        <v>-1905644.2237364925</v>
      </c>
      <c r="S76" s="436">
        <f t="shared" si="13"/>
        <v>-1865517.8735031176</v>
      </c>
      <c r="T76" s="436">
        <f t="shared" si="13"/>
        <v>-2579262.9541252214</v>
      </c>
      <c r="U76" s="436">
        <f t="shared" si="13"/>
        <v>-3636158.5200969614</v>
      </c>
      <c r="V76" s="436">
        <f t="shared" si="13"/>
        <v>-3847051.7042449228</v>
      </c>
      <c r="W76" s="436">
        <f t="shared" si="13"/>
        <v>-1654359.5787436035</v>
      </c>
      <c r="X76" s="436">
        <f t="shared" si="13"/>
        <v>-471180.73818006867</v>
      </c>
      <c r="Y76" s="436">
        <f t="shared" si="13"/>
        <v>-3238372.9001210551</v>
      </c>
      <c r="Z76" s="436">
        <f t="shared" si="13"/>
        <v>-1099327.8311734488</v>
      </c>
      <c r="AA76" s="436">
        <f t="shared" si="13"/>
        <v>-1453552.0165221815</v>
      </c>
      <c r="AB76" s="436">
        <f t="shared" si="13"/>
        <v>-9523451.3774517681</v>
      </c>
      <c r="AC76" s="434">
        <f>SUM(AC7:AC75)</f>
        <v>3213833997</v>
      </c>
      <c r="AD76" s="436">
        <f t="shared" si="13"/>
        <v>267819502</v>
      </c>
      <c r="AE76" s="434">
        <f>SUM(AE7:AE75)</f>
        <v>656000</v>
      </c>
      <c r="AF76" s="436">
        <f>SUM(AF7:AF75)</f>
        <v>3214489997</v>
      </c>
    </row>
    <row r="77" spans="1:36" ht="13.5" thickTop="1">
      <c r="F77" s="49">
        <f>SUM(D76:E76)</f>
        <v>-2944326.8587162076</v>
      </c>
      <c r="I77" t="s">
        <v>701</v>
      </c>
      <c r="AC77" s="99"/>
      <c r="AF77" s="99"/>
    </row>
    <row r="79" spans="1:36" ht="17.25" customHeight="1">
      <c r="I79" s="1675"/>
      <c r="J79" s="1676"/>
      <c r="K79" s="1676"/>
      <c r="L79" s="1676"/>
      <c r="M79" s="1676"/>
      <c r="N79" s="1676"/>
      <c r="O79" s="1676"/>
      <c r="P79" s="1676"/>
      <c r="Q79" s="1676"/>
      <c r="R79" s="1676"/>
      <c r="S79" s="1676"/>
      <c r="T79" s="1676"/>
      <c r="U79" s="1676"/>
      <c r="V79" s="1676"/>
      <c r="W79" s="1676"/>
      <c r="X79" s="1676"/>
      <c r="Y79" s="1676"/>
      <c r="Z79" s="1676"/>
      <c r="AA79" s="1676"/>
      <c r="AB79" s="1676"/>
      <c r="AC79" s="49"/>
      <c r="AF79" s="49"/>
    </row>
    <row r="80" spans="1:36" ht="24" customHeight="1">
      <c r="I80" s="1675"/>
      <c r="J80" s="1675"/>
      <c r="K80" s="1675"/>
      <c r="L80" s="1675"/>
      <c r="M80" s="1675"/>
      <c r="N80" s="1675"/>
      <c r="O80" s="1675"/>
      <c r="P80" s="1675"/>
      <c r="Q80" s="1675"/>
      <c r="R80" s="1675"/>
      <c r="S80" s="1675"/>
      <c r="T80" s="1675"/>
      <c r="U80" s="1675"/>
      <c r="V80" s="1675"/>
      <c r="W80" s="1675"/>
      <c r="X80" s="1675"/>
      <c r="Y80" s="1675"/>
      <c r="Z80" s="1675"/>
      <c r="AA80" s="1675"/>
      <c r="AB80" s="1675"/>
    </row>
    <row r="81" spans="9:28" hidden="1">
      <c r="I81" s="1326"/>
      <c r="J81" s="1326"/>
      <c r="K81" s="1326"/>
      <c r="L81" s="1326"/>
      <c r="M81" s="1326"/>
      <c r="N81" s="1326"/>
      <c r="O81" s="1392">
        <f>SUM(J76:O76)</f>
        <v>-8014262.9165813513</v>
      </c>
      <c r="P81" s="990"/>
      <c r="Q81" s="1393">
        <f>SUM(P76:Q76)</f>
        <v>-9340396.1174495835</v>
      </c>
      <c r="R81" s="1127"/>
      <c r="S81" s="1129"/>
      <c r="T81" s="1129"/>
      <c r="U81" s="1129"/>
      <c r="V81" s="1129"/>
      <c r="W81" s="1129"/>
      <c r="X81" s="1129"/>
      <c r="Y81" s="1393">
        <f>SUM(R76:Y76)</f>
        <v>-19197548.492751442</v>
      </c>
      <c r="Z81" s="1127"/>
      <c r="AA81" s="1127"/>
      <c r="AB81" s="1129"/>
    </row>
    <row r="82" spans="9:28" hidden="1">
      <c r="I82" s="1326"/>
      <c r="J82" s="1326"/>
      <c r="K82" s="1326"/>
      <c r="L82" s="1326"/>
      <c r="M82" s="1326"/>
      <c r="N82" s="1326"/>
      <c r="O82" s="1326"/>
      <c r="P82" s="990"/>
      <c r="Q82" s="1129"/>
      <c r="R82" s="1127"/>
      <c r="S82" s="1129"/>
      <c r="T82" s="1129"/>
      <c r="U82" s="1129"/>
      <c r="V82" s="1129"/>
      <c r="W82" s="1129"/>
      <c r="X82" s="1129"/>
      <c r="Y82" s="1129"/>
      <c r="Z82" s="1127"/>
      <c r="AA82" s="1127"/>
      <c r="AB82" s="1129"/>
    </row>
    <row r="83" spans="9:28">
      <c r="I83" s="1326"/>
      <c r="J83" s="1326"/>
      <c r="K83" s="1326"/>
      <c r="L83" s="1326"/>
      <c r="M83" s="1326"/>
      <c r="N83" s="1326"/>
      <c r="O83" s="1326"/>
      <c r="P83" s="990"/>
      <c r="Q83" s="1129"/>
      <c r="R83" s="1127"/>
      <c r="S83" s="1129"/>
      <c r="T83" s="1129"/>
      <c r="U83" s="1129"/>
      <c r="V83" s="1129"/>
      <c r="W83" s="1129"/>
      <c r="X83" s="1129"/>
      <c r="Y83" s="1129"/>
      <c r="Z83" s="1127"/>
      <c r="AA83" s="1127"/>
      <c r="AB83" s="1129"/>
    </row>
    <row r="84" spans="9:28">
      <c r="I84" s="1326"/>
      <c r="J84" s="1326"/>
      <c r="K84" s="1326"/>
      <c r="L84" s="1326"/>
      <c r="M84" s="1326"/>
      <c r="N84" s="1326"/>
      <c r="O84" s="1326"/>
      <c r="P84" s="990"/>
      <c r="Q84" s="1129"/>
      <c r="R84" s="1127"/>
      <c r="S84" s="1129"/>
      <c r="T84" s="1129"/>
      <c r="U84" s="1129"/>
      <c r="V84" s="1129"/>
      <c r="W84" s="1129"/>
      <c r="X84" s="1129"/>
      <c r="Y84" s="1129"/>
      <c r="Z84" s="1127"/>
      <c r="AA84" s="1127"/>
      <c r="AB84" s="1129"/>
    </row>
    <row r="85" spans="9:28">
      <c r="I85" s="1326"/>
      <c r="J85" s="1326"/>
      <c r="K85" s="1326"/>
      <c r="L85" s="1326"/>
      <c r="M85" s="1326"/>
      <c r="N85" s="1326"/>
      <c r="O85" s="1326"/>
      <c r="P85" s="990"/>
      <c r="Q85" s="1129"/>
      <c r="R85" s="1127"/>
      <c r="S85" s="1129"/>
      <c r="T85" s="1129"/>
      <c r="U85" s="1129"/>
      <c r="V85" s="1129"/>
      <c r="W85" s="1129"/>
      <c r="X85" s="1129"/>
      <c r="Y85" s="1129"/>
      <c r="Z85" s="1127"/>
      <c r="AA85" s="1127"/>
      <c r="AB85" s="1129"/>
    </row>
  </sheetData>
  <mergeCells count="39">
    <mergeCell ref="AK42:BE42"/>
    <mergeCell ref="I79:AB79"/>
    <mergeCell ref="I80:AB80"/>
    <mergeCell ref="AF2:AF5"/>
    <mergeCell ref="D1:H1"/>
    <mergeCell ref="I2:I5"/>
    <mergeCell ref="AC2:AC5"/>
    <mergeCell ref="AD2:AD5"/>
    <mergeCell ref="J2:J5"/>
    <mergeCell ref="AB2:AB5"/>
    <mergeCell ref="L2:L5"/>
    <mergeCell ref="M2:M5"/>
    <mergeCell ref="N2:N5"/>
    <mergeCell ref="O2:O5"/>
    <mergeCell ref="W2:W5"/>
    <mergeCell ref="X2:X5"/>
    <mergeCell ref="A2:A5"/>
    <mergeCell ref="G2:H3"/>
    <mergeCell ref="G4:G5"/>
    <mergeCell ref="H4:H5"/>
    <mergeCell ref="C2:C5"/>
    <mergeCell ref="D2:D5"/>
    <mergeCell ref="E2:E5"/>
    <mergeCell ref="F2:F5"/>
    <mergeCell ref="AH3:AJ3"/>
    <mergeCell ref="AI4:AI6"/>
    <mergeCell ref="B2:B5"/>
    <mergeCell ref="AE2:AE5"/>
    <mergeCell ref="P2:P5"/>
    <mergeCell ref="R2:R5"/>
    <mergeCell ref="Z2:Z5"/>
    <mergeCell ref="AA2:AA5"/>
    <mergeCell ref="K2:K5"/>
    <mergeCell ref="Y2:Y5"/>
    <mergeCell ref="S2:S5"/>
    <mergeCell ref="T2:T5"/>
    <mergeCell ref="U2:U5"/>
    <mergeCell ref="V2:V5"/>
    <mergeCell ref="Q2:Q5"/>
  </mergeCells>
  <phoneticPr fontId="49" type="noConversion"/>
  <printOptions horizontalCentered="1"/>
  <pageMargins left="0.25" right="0.2" top="1.1399999999999999" bottom="0.49" header="0.5" footer="0.25"/>
  <pageSetup paperSize="5" scale="75" firstPageNumber="3" fitToWidth="12" orientation="portrait" useFirstPageNumber="1" r:id="rId1"/>
  <headerFooter alignWithMargins="0">
    <oddHeader>&amp;L&amp;"Arial,Bold"&amp;18Table 2:  FY2012-13 Budget Letter &amp;"Arial,Regular"&amp;10
&amp;"Arial,Bold"&amp;18Distribution and Adjustments</oddHeader>
    <oddFooter>&amp;R&amp;12&amp;P</oddFooter>
  </headerFooter>
  <colBreaks count="3" manualBreakCount="3">
    <brk id="8" max="76" man="1"/>
    <brk id="17" max="76" man="1"/>
    <brk id="25" max="7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7109375" customWidth="1"/>
    <col min="4" max="4" width="17" customWidth="1"/>
    <col min="5" max="5" width="11.140625" customWidth="1"/>
    <col min="6" max="6" width="12" customWidth="1"/>
    <col min="7" max="7" width="13.28515625" customWidth="1"/>
    <col min="8" max="8" width="14.5703125" customWidth="1"/>
    <col min="9" max="9" width="12.28515625" customWidth="1"/>
    <col min="10" max="10" width="12" bestFit="1" customWidth="1"/>
    <col min="11" max="11" width="15.5703125" customWidth="1"/>
    <col min="12" max="12" width="14" customWidth="1"/>
    <col min="13" max="13" width="9" bestFit="1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</row>
    <row r="2" spans="1:22" ht="45" customHeight="1">
      <c r="A2" s="1850" t="s">
        <v>1260</v>
      </c>
      <c r="B2" s="1851"/>
      <c r="C2" s="1843" t="s">
        <v>1250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2"/>
      <c r="N2" s="1770" t="s">
        <v>772</v>
      </c>
      <c r="O2" s="1771"/>
      <c r="P2" s="1771"/>
      <c r="Q2" s="1771"/>
      <c r="R2" s="1771"/>
      <c r="S2" s="1771"/>
      <c r="T2" s="1772"/>
      <c r="U2" s="1764" t="s">
        <v>1414</v>
      </c>
      <c r="V2" s="1764" t="s">
        <v>1389</v>
      </c>
    </row>
    <row r="3" spans="1:22" ht="81" customHeight="1">
      <c r="A3" s="1852"/>
      <c r="B3" s="1853"/>
      <c r="C3" s="1779" t="s">
        <v>1192</v>
      </c>
      <c r="D3" s="1781" t="s">
        <v>819</v>
      </c>
      <c r="E3" s="1781" t="s">
        <v>1406</v>
      </c>
      <c r="F3" s="1779" t="s">
        <v>1251</v>
      </c>
      <c r="G3" s="1779" t="s">
        <v>779</v>
      </c>
      <c r="H3" s="1779" t="s">
        <v>1407</v>
      </c>
      <c r="I3" s="1370" t="s">
        <v>813</v>
      </c>
      <c r="J3" s="1779" t="s">
        <v>1408</v>
      </c>
      <c r="K3" s="1779" t="s">
        <v>1197</v>
      </c>
      <c r="L3" s="1779" t="s">
        <v>1409</v>
      </c>
      <c r="M3" s="1781" t="s">
        <v>1410</v>
      </c>
      <c r="N3" s="1795" t="s">
        <v>1307</v>
      </c>
      <c r="O3" s="1598" t="s">
        <v>1411</v>
      </c>
      <c r="P3" s="1372" t="s">
        <v>815</v>
      </c>
      <c r="Q3" s="1795" t="s">
        <v>818</v>
      </c>
      <c r="R3" s="1795" t="s">
        <v>1197</v>
      </c>
      <c r="S3" s="1795" t="s">
        <v>1412</v>
      </c>
      <c r="T3" s="1598" t="s">
        <v>1413</v>
      </c>
      <c r="U3" s="1765"/>
      <c r="V3" s="1765"/>
    </row>
    <row r="4" spans="1:22" ht="26.25" customHeight="1">
      <c r="A4" s="1854"/>
      <c r="B4" s="1855"/>
      <c r="C4" s="1780"/>
      <c r="D4" s="1781"/>
      <c r="E4" s="1781"/>
      <c r="F4" s="1780"/>
      <c r="G4" s="1780"/>
      <c r="H4" s="1780"/>
      <c r="I4" s="1144">
        <v>2.5000000000000001E-3</v>
      </c>
      <c r="J4" s="1780"/>
      <c r="K4" s="1780"/>
      <c r="L4" s="1780"/>
      <c r="M4" s="1781"/>
      <c r="N4" s="1787"/>
      <c r="O4" s="1371"/>
      <c r="P4" s="1145">
        <v>2.5000000000000001E-3</v>
      </c>
      <c r="Q4" s="1787"/>
      <c r="R4" s="1787"/>
      <c r="S4" s="1787"/>
      <c r="T4" s="1371"/>
      <c r="U4" s="1766"/>
      <c r="V4" s="1766"/>
    </row>
    <row r="5" spans="1:22" ht="14.25" customHeight="1">
      <c r="A5" s="1012"/>
      <c r="B5" s="1013"/>
      <c r="C5" s="1014">
        <v>1</v>
      </c>
      <c r="D5" s="1014">
        <f t="shared" ref="D5" si="0">C5+1</f>
        <v>2</v>
      </c>
      <c r="E5" s="1014">
        <f>D5+1</f>
        <v>3</v>
      </c>
      <c r="F5" s="1014">
        <f t="shared" ref="F5:V5" si="1">E5+1</f>
        <v>4</v>
      </c>
      <c r="G5" s="1014">
        <f t="shared" si="1"/>
        <v>5</v>
      </c>
      <c r="H5" s="1014">
        <f t="shared" si="1"/>
        <v>6</v>
      </c>
      <c r="I5" s="1014">
        <f t="shared" si="1"/>
        <v>7</v>
      </c>
      <c r="J5" s="1014">
        <f t="shared" si="1"/>
        <v>8</v>
      </c>
      <c r="K5" s="1014">
        <f t="shared" si="1"/>
        <v>9</v>
      </c>
      <c r="L5" s="1014">
        <f t="shared" si="1"/>
        <v>10</v>
      </c>
      <c r="M5" s="1014">
        <f t="shared" si="1"/>
        <v>11</v>
      </c>
      <c r="N5" s="1014">
        <f t="shared" si="1"/>
        <v>12</v>
      </c>
      <c r="O5" s="1014">
        <f t="shared" si="1"/>
        <v>13</v>
      </c>
      <c r="P5" s="1014">
        <f t="shared" si="1"/>
        <v>14</v>
      </c>
      <c r="Q5" s="1014">
        <f t="shared" si="1"/>
        <v>15</v>
      </c>
      <c r="R5" s="1014">
        <f t="shared" si="1"/>
        <v>16</v>
      </c>
      <c r="S5" s="1014">
        <f t="shared" si="1"/>
        <v>17</v>
      </c>
      <c r="T5" s="1014">
        <f t="shared" si="1"/>
        <v>18</v>
      </c>
      <c r="U5" s="1014">
        <f t="shared" si="1"/>
        <v>19</v>
      </c>
      <c r="V5" s="1014">
        <f t="shared" si="1"/>
        <v>20</v>
      </c>
    </row>
    <row r="6" spans="1:22" ht="27" customHeight="1">
      <c r="A6" s="1076"/>
      <c r="B6" s="1077"/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  <c r="Q6" s="1077"/>
      <c r="R6" s="1077"/>
      <c r="S6" s="1077"/>
      <c r="T6" s="1077"/>
      <c r="U6" s="1077"/>
      <c r="V6" s="1077"/>
    </row>
    <row r="7" spans="1:22">
      <c r="A7" s="1021">
        <v>1</v>
      </c>
      <c r="B7" s="1022" t="s">
        <v>102</v>
      </c>
      <c r="C7" s="1023">
        <f>'Table 8 2.1.12 MFP Funded'!Z4</f>
        <v>0</v>
      </c>
      <c r="D7" s="1024">
        <f>'Table 3 Levels 1&amp;2'!AL8</f>
        <v>4621.8175818834352</v>
      </c>
      <c r="E7" s="1136">
        <f>C7*D7</f>
        <v>0</v>
      </c>
      <c r="F7" s="1136">
        <f>'Table 4 Level 3'!P6</f>
        <v>777.48</v>
      </c>
      <c r="G7" s="1136">
        <f>C7*F7</f>
        <v>0</v>
      </c>
      <c r="H7" s="1025">
        <f>E7+G7</f>
        <v>0</v>
      </c>
      <c r="I7" s="1146">
        <f>-(0.25%*H7)</f>
        <v>0</v>
      </c>
      <c r="J7" s="1025">
        <f>SUM(H7:I7)</f>
        <v>0</v>
      </c>
      <c r="K7" s="1025">
        <v>0</v>
      </c>
      <c r="L7" s="1025">
        <f>SUM(J7:K7)</f>
        <v>0</v>
      </c>
      <c r="M7" s="1025">
        <f>L7/12</f>
        <v>0</v>
      </c>
      <c r="N7" s="1086">
        <f>'[8]FY2012-13 Initial'!$K8</f>
        <v>2094</v>
      </c>
      <c r="O7" s="1026">
        <f>C7*N7</f>
        <v>0</v>
      </c>
      <c r="P7" s="1154">
        <f>-(0.25%*O7)</f>
        <v>0</v>
      </c>
      <c r="Q7" s="1026">
        <f>SUM(O7:P7)</f>
        <v>0</v>
      </c>
      <c r="R7" s="1026">
        <v>0</v>
      </c>
      <c r="S7" s="1026">
        <f>SUM(Q7:R7)</f>
        <v>0</v>
      </c>
      <c r="T7" s="1026">
        <f>S7/12</f>
        <v>0</v>
      </c>
      <c r="U7" s="1027">
        <f>L7+S7</f>
        <v>0</v>
      </c>
      <c r="V7" s="1027">
        <f>M7+T7</f>
        <v>0</v>
      </c>
    </row>
    <row r="8" spans="1:22">
      <c r="A8" s="1028">
        <v>2</v>
      </c>
      <c r="B8" s="1029" t="s">
        <v>103</v>
      </c>
      <c r="C8" s="1292">
        <f>'Table 8 2.1.12 MFP Funded'!Z5</f>
        <v>0</v>
      </c>
      <c r="D8" s="1031">
        <f>'Table 3 Levels 1&amp;2'!AL9</f>
        <v>6131.8351665660375</v>
      </c>
      <c r="E8" s="1137">
        <f t="shared" ref="E8:E71" si="2">C8*D8</f>
        <v>0</v>
      </c>
      <c r="F8" s="1137">
        <f>'Table 4 Level 3'!P7</f>
        <v>842.32</v>
      </c>
      <c r="G8" s="1137">
        <f t="shared" ref="G8:G71" si="3">C8*F8</f>
        <v>0</v>
      </c>
      <c r="H8" s="1087">
        <f t="shared" ref="H8:H71" si="4">E8+G8</f>
        <v>0</v>
      </c>
      <c r="I8" s="1147">
        <f t="shared" ref="I8:I71" si="5">-(0.25%*H8)</f>
        <v>0</v>
      </c>
      <c r="J8" s="1087">
        <f t="shared" ref="J8:J71" si="6">SUM(H8:I8)</f>
        <v>0</v>
      </c>
      <c r="K8" s="1087">
        <v>0</v>
      </c>
      <c r="L8" s="1087">
        <f t="shared" ref="L8:L71" si="7">SUM(J8:K8)</f>
        <v>0</v>
      </c>
      <c r="M8" s="1087">
        <f t="shared" ref="M8:M71" si="8">L8/12</f>
        <v>0</v>
      </c>
      <c r="N8" s="1086">
        <f>'[8]FY2012-13 Initial'!$K9</f>
        <v>2554</v>
      </c>
      <c r="O8" s="1088">
        <f t="shared" ref="O8:O71" si="9">C8*N8</f>
        <v>0</v>
      </c>
      <c r="P8" s="1155">
        <f t="shared" ref="P8:P71" si="10">-(0.25%*O8)</f>
        <v>0</v>
      </c>
      <c r="Q8" s="1088">
        <f t="shared" ref="Q8:Q71" si="11">SUM(O8:P8)</f>
        <v>0</v>
      </c>
      <c r="R8" s="1088">
        <v>0</v>
      </c>
      <c r="S8" s="1088">
        <f t="shared" ref="S8:S71" si="12">SUM(Q8:R8)</f>
        <v>0</v>
      </c>
      <c r="T8" s="1088">
        <f t="shared" ref="T8:T71" si="13">S8/12</f>
        <v>0</v>
      </c>
      <c r="U8" s="1089">
        <f t="shared" ref="U8:V71" si="14">L8+S8</f>
        <v>0</v>
      </c>
      <c r="V8" s="1089">
        <f t="shared" si="14"/>
        <v>0</v>
      </c>
    </row>
    <row r="9" spans="1:22">
      <c r="A9" s="1028">
        <v>3</v>
      </c>
      <c r="B9" s="1029" t="s">
        <v>104</v>
      </c>
      <c r="C9" s="1292">
        <f>'Table 8 2.1.12 MFP Funded'!Z6</f>
        <v>0</v>
      </c>
      <c r="D9" s="1031">
        <f>'Table 3 Levels 1&amp;2'!AL10</f>
        <v>4326.5384352059973</v>
      </c>
      <c r="E9" s="1137">
        <f t="shared" si="2"/>
        <v>0</v>
      </c>
      <c r="F9" s="1137">
        <f>'Table 4 Level 3'!P8</f>
        <v>596.84</v>
      </c>
      <c r="G9" s="1137">
        <f t="shared" si="3"/>
        <v>0</v>
      </c>
      <c r="H9" s="1087">
        <f t="shared" si="4"/>
        <v>0</v>
      </c>
      <c r="I9" s="1147">
        <f t="shared" si="5"/>
        <v>0</v>
      </c>
      <c r="J9" s="1087">
        <f t="shared" si="6"/>
        <v>0</v>
      </c>
      <c r="K9" s="1087">
        <v>0</v>
      </c>
      <c r="L9" s="1087">
        <f t="shared" si="7"/>
        <v>0</v>
      </c>
      <c r="M9" s="1087">
        <f t="shared" si="8"/>
        <v>0</v>
      </c>
      <c r="N9" s="1086">
        <f>'[8]FY2012-13 Initial'!$K10</f>
        <v>4995</v>
      </c>
      <c r="O9" s="1088">
        <f t="shared" si="9"/>
        <v>0</v>
      </c>
      <c r="P9" s="1155">
        <f t="shared" si="10"/>
        <v>0</v>
      </c>
      <c r="Q9" s="1088">
        <f t="shared" si="11"/>
        <v>0</v>
      </c>
      <c r="R9" s="1088">
        <v>0</v>
      </c>
      <c r="S9" s="1088">
        <f t="shared" si="12"/>
        <v>0</v>
      </c>
      <c r="T9" s="1088">
        <f t="shared" si="13"/>
        <v>0</v>
      </c>
      <c r="U9" s="1089">
        <f t="shared" si="14"/>
        <v>0</v>
      </c>
      <c r="V9" s="1089">
        <f t="shared" si="14"/>
        <v>0</v>
      </c>
    </row>
    <row r="10" spans="1:22">
      <c r="A10" s="1028">
        <v>4</v>
      </c>
      <c r="B10" s="1029" t="s">
        <v>105</v>
      </c>
      <c r="C10" s="1292">
        <f>'Table 8 2.1.12 MFP Funded'!Z7</f>
        <v>0</v>
      </c>
      <c r="D10" s="1031">
        <f>'Table 3 Levels 1&amp;2'!AL11</f>
        <v>6066.2659652331004</v>
      </c>
      <c r="E10" s="1137">
        <f t="shared" si="2"/>
        <v>0</v>
      </c>
      <c r="F10" s="1137">
        <f>'Table 4 Level 3'!P9</f>
        <v>585.76</v>
      </c>
      <c r="G10" s="1137">
        <f t="shared" si="3"/>
        <v>0</v>
      </c>
      <c r="H10" s="1087">
        <f t="shared" si="4"/>
        <v>0</v>
      </c>
      <c r="I10" s="1147">
        <f t="shared" si="5"/>
        <v>0</v>
      </c>
      <c r="J10" s="1087">
        <f t="shared" si="6"/>
        <v>0</v>
      </c>
      <c r="K10" s="1087">
        <v>0</v>
      </c>
      <c r="L10" s="1087">
        <f t="shared" si="7"/>
        <v>0</v>
      </c>
      <c r="M10" s="1087">
        <f t="shared" si="8"/>
        <v>0</v>
      </c>
      <c r="N10" s="1086">
        <f>'[8]FY2012-13 Initial'!$K11</f>
        <v>3361</v>
      </c>
      <c r="O10" s="1088">
        <f t="shared" si="9"/>
        <v>0</v>
      </c>
      <c r="P10" s="1155">
        <f t="shared" si="10"/>
        <v>0</v>
      </c>
      <c r="Q10" s="1088">
        <f t="shared" si="11"/>
        <v>0</v>
      </c>
      <c r="R10" s="1088">
        <v>0</v>
      </c>
      <c r="S10" s="1088">
        <f t="shared" si="12"/>
        <v>0</v>
      </c>
      <c r="T10" s="1088">
        <f t="shared" si="13"/>
        <v>0</v>
      </c>
      <c r="U10" s="1089">
        <f t="shared" si="14"/>
        <v>0</v>
      </c>
      <c r="V10" s="1089">
        <f t="shared" si="14"/>
        <v>0</v>
      </c>
    </row>
    <row r="11" spans="1:22">
      <c r="A11" s="1032">
        <v>5</v>
      </c>
      <c r="B11" s="1033" t="s">
        <v>106</v>
      </c>
      <c r="C11" s="1293">
        <f>'Table 8 2.1.12 MFP Funded'!Z8</f>
        <v>0</v>
      </c>
      <c r="D11" s="1035">
        <f>'Table 3 Levels 1&amp;2'!AL12</f>
        <v>4806.2126132223084</v>
      </c>
      <c r="E11" s="1138">
        <f t="shared" si="2"/>
        <v>0</v>
      </c>
      <c r="F11" s="1138">
        <f>'Table 4 Level 3'!P10</f>
        <v>555.91</v>
      </c>
      <c r="G11" s="1138">
        <f t="shared" si="3"/>
        <v>0</v>
      </c>
      <c r="H11" s="1090">
        <f t="shared" si="4"/>
        <v>0</v>
      </c>
      <c r="I11" s="1148">
        <f t="shared" si="5"/>
        <v>0</v>
      </c>
      <c r="J11" s="1090">
        <f t="shared" si="6"/>
        <v>0</v>
      </c>
      <c r="K11" s="1090">
        <v>0</v>
      </c>
      <c r="L11" s="1090">
        <f t="shared" si="7"/>
        <v>0</v>
      </c>
      <c r="M11" s="1090">
        <f t="shared" si="8"/>
        <v>0</v>
      </c>
      <c r="N11" s="1091">
        <f>'[8]FY2012-13 Initial'!$K12</f>
        <v>1146</v>
      </c>
      <c r="O11" s="1092">
        <f t="shared" si="9"/>
        <v>0</v>
      </c>
      <c r="P11" s="1156">
        <f t="shared" si="10"/>
        <v>0</v>
      </c>
      <c r="Q11" s="1092">
        <f t="shared" si="11"/>
        <v>0</v>
      </c>
      <c r="R11" s="1092">
        <v>0</v>
      </c>
      <c r="S11" s="1092">
        <f t="shared" si="12"/>
        <v>0</v>
      </c>
      <c r="T11" s="1092">
        <f t="shared" si="13"/>
        <v>0</v>
      </c>
      <c r="U11" s="1093">
        <f t="shared" si="14"/>
        <v>0</v>
      </c>
      <c r="V11" s="1093">
        <f t="shared" si="14"/>
        <v>0</v>
      </c>
    </row>
    <row r="12" spans="1:22">
      <c r="A12" s="1021">
        <v>6</v>
      </c>
      <c r="B12" s="1022" t="s">
        <v>107</v>
      </c>
      <c r="C12" s="1294">
        <f>'Table 8 2.1.12 MFP Funded'!Z9</f>
        <v>0</v>
      </c>
      <c r="D12" s="1024">
        <f>'Table 3 Levels 1&amp;2'!AL13</f>
        <v>5538.0879878550813</v>
      </c>
      <c r="E12" s="1136">
        <f t="shared" si="2"/>
        <v>0</v>
      </c>
      <c r="F12" s="1136">
        <f>'Table 4 Level 3'!P11</f>
        <v>545.4799999999999</v>
      </c>
      <c r="G12" s="1136">
        <f t="shared" si="3"/>
        <v>0</v>
      </c>
      <c r="H12" s="1025">
        <f t="shared" si="4"/>
        <v>0</v>
      </c>
      <c r="I12" s="1146">
        <f t="shared" si="5"/>
        <v>0</v>
      </c>
      <c r="J12" s="1025">
        <f t="shared" si="6"/>
        <v>0</v>
      </c>
      <c r="K12" s="1025">
        <v>0</v>
      </c>
      <c r="L12" s="1025">
        <f t="shared" si="7"/>
        <v>0</v>
      </c>
      <c r="M12" s="1025">
        <f t="shared" si="8"/>
        <v>0</v>
      </c>
      <c r="N12" s="1086">
        <f>'[8]FY2012-13 Initial'!$K13</f>
        <v>3431</v>
      </c>
      <c r="O12" s="1026">
        <f t="shared" si="9"/>
        <v>0</v>
      </c>
      <c r="P12" s="1154">
        <f t="shared" si="10"/>
        <v>0</v>
      </c>
      <c r="Q12" s="1026">
        <f t="shared" si="11"/>
        <v>0</v>
      </c>
      <c r="R12" s="1026">
        <v>0</v>
      </c>
      <c r="S12" s="1026">
        <f t="shared" si="12"/>
        <v>0</v>
      </c>
      <c r="T12" s="1026">
        <f t="shared" si="13"/>
        <v>0</v>
      </c>
      <c r="U12" s="1027">
        <f t="shared" si="14"/>
        <v>0</v>
      </c>
      <c r="V12" s="1027">
        <f t="shared" si="14"/>
        <v>0</v>
      </c>
    </row>
    <row r="13" spans="1:22">
      <c r="A13" s="1028">
        <v>7</v>
      </c>
      <c r="B13" s="1029" t="s">
        <v>108</v>
      </c>
      <c r="C13" s="1292">
        <f>'Table 8 2.1.12 MFP Funded'!Z10</f>
        <v>0</v>
      </c>
      <c r="D13" s="1031">
        <f>'Table 3 Levels 1&amp;2'!AL14</f>
        <v>1543.5712353471597</v>
      </c>
      <c r="E13" s="1137">
        <f t="shared" si="2"/>
        <v>0</v>
      </c>
      <c r="F13" s="1137">
        <f>'Table 4 Level 3'!P12</f>
        <v>756.91999999999985</v>
      </c>
      <c r="G13" s="1137">
        <f t="shared" si="3"/>
        <v>0</v>
      </c>
      <c r="H13" s="1087">
        <f t="shared" si="4"/>
        <v>0</v>
      </c>
      <c r="I13" s="1147">
        <f t="shared" si="5"/>
        <v>0</v>
      </c>
      <c r="J13" s="1087">
        <f t="shared" si="6"/>
        <v>0</v>
      </c>
      <c r="K13" s="1087">
        <v>0</v>
      </c>
      <c r="L13" s="1087">
        <f t="shared" si="7"/>
        <v>0</v>
      </c>
      <c r="M13" s="1087">
        <f t="shared" si="8"/>
        <v>0</v>
      </c>
      <c r="N13" s="1086">
        <f>'[8]FY2012-13 Initial'!$K14</f>
        <v>12974</v>
      </c>
      <c r="O13" s="1088">
        <f t="shared" si="9"/>
        <v>0</v>
      </c>
      <c r="P13" s="1155">
        <f t="shared" si="10"/>
        <v>0</v>
      </c>
      <c r="Q13" s="1088">
        <f t="shared" si="11"/>
        <v>0</v>
      </c>
      <c r="R13" s="1088">
        <v>0</v>
      </c>
      <c r="S13" s="1088">
        <f t="shared" si="12"/>
        <v>0</v>
      </c>
      <c r="T13" s="1088">
        <f t="shared" si="13"/>
        <v>0</v>
      </c>
      <c r="U13" s="1089">
        <f t="shared" si="14"/>
        <v>0</v>
      </c>
      <c r="V13" s="1089">
        <f t="shared" si="14"/>
        <v>0</v>
      </c>
    </row>
    <row r="14" spans="1:22">
      <c r="A14" s="1028">
        <v>8</v>
      </c>
      <c r="B14" s="1029" t="s">
        <v>109</v>
      </c>
      <c r="C14" s="1292">
        <f>'Table 8 2.1.12 MFP Funded'!Z11</f>
        <v>0</v>
      </c>
      <c r="D14" s="1031">
        <f>'Table 3 Levels 1&amp;2'!AL15</f>
        <v>4033.4866571910334</v>
      </c>
      <c r="E14" s="1137">
        <f t="shared" si="2"/>
        <v>0</v>
      </c>
      <c r="F14" s="1137">
        <f>'Table 4 Level 3'!P13</f>
        <v>725.76</v>
      </c>
      <c r="G14" s="1137">
        <f t="shared" si="3"/>
        <v>0</v>
      </c>
      <c r="H14" s="1087">
        <f t="shared" si="4"/>
        <v>0</v>
      </c>
      <c r="I14" s="1147">
        <f t="shared" si="5"/>
        <v>0</v>
      </c>
      <c r="J14" s="1087">
        <f t="shared" si="6"/>
        <v>0</v>
      </c>
      <c r="K14" s="1087">
        <v>0</v>
      </c>
      <c r="L14" s="1087">
        <f t="shared" si="7"/>
        <v>0</v>
      </c>
      <c r="M14" s="1087">
        <f t="shared" si="8"/>
        <v>0</v>
      </c>
      <c r="N14" s="1086">
        <f>'[8]FY2012-13 Initial'!$K15</f>
        <v>4234</v>
      </c>
      <c r="O14" s="1088">
        <f t="shared" si="9"/>
        <v>0</v>
      </c>
      <c r="P14" s="1155">
        <f t="shared" si="10"/>
        <v>0</v>
      </c>
      <c r="Q14" s="1088">
        <f t="shared" si="11"/>
        <v>0</v>
      </c>
      <c r="R14" s="1088">
        <v>0</v>
      </c>
      <c r="S14" s="1088">
        <f t="shared" si="12"/>
        <v>0</v>
      </c>
      <c r="T14" s="1088">
        <f t="shared" si="13"/>
        <v>0</v>
      </c>
      <c r="U14" s="1089">
        <f t="shared" si="14"/>
        <v>0</v>
      </c>
      <c r="V14" s="1089">
        <f t="shared" si="14"/>
        <v>0</v>
      </c>
    </row>
    <row r="15" spans="1:22">
      <c r="A15" s="1028">
        <v>9</v>
      </c>
      <c r="B15" s="1029" t="s">
        <v>110</v>
      </c>
      <c r="C15" s="1292">
        <f>'Table 8 2.1.12 MFP Funded'!Z12</f>
        <v>0</v>
      </c>
      <c r="D15" s="1031">
        <f>'Table 3 Levels 1&amp;2'!AL16</f>
        <v>4268.3217271902904</v>
      </c>
      <c r="E15" s="1137">
        <f t="shared" si="2"/>
        <v>0</v>
      </c>
      <c r="F15" s="1137">
        <f>'Table 4 Level 3'!P14</f>
        <v>744.76</v>
      </c>
      <c r="G15" s="1137">
        <f t="shared" si="3"/>
        <v>0</v>
      </c>
      <c r="H15" s="1087">
        <f t="shared" si="4"/>
        <v>0</v>
      </c>
      <c r="I15" s="1147">
        <f t="shared" si="5"/>
        <v>0</v>
      </c>
      <c r="J15" s="1087">
        <f t="shared" si="6"/>
        <v>0</v>
      </c>
      <c r="K15" s="1087">
        <v>0</v>
      </c>
      <c r="L15" s="1087">
        <f t="shared" si="7"/>
        <v>0</v>
      </c>
      <c r="M15" s="1087">
        <f t="shared" si="8"/>
        <v>0</v>
      </c>
      <c r="N15" s="1086">
        <f>'[8]FY2012-13 Initial'!$K16</f>
        <v>4539</v>
      </c>
      <c r="O15" s="1088">
        <f t="shared" si="9"/>
        <v>0</v>
      </c>
      <c r="P15" s="1155">
        <f t="shared" si="10"/>
        <v>0</v>
      </c>
      <c r="Q15" s="1088">
        <f t="shared" si="11"/>
        <v>0</v>
      </c>
      <c r="R15" s="1088">
        <v>0</v>
      </c>
      <c r="S15" s="1088">
        <f t="shared" si="12"/>
        <v>0</v>
      </c>
      <c r="T15" s="1088">
        <f t="shared" si="13"/>
        <v>0</v>
      </c>
      <c r="U15" s="1089">
        <f t="shared" si="14"/>
        <v>0</v>
      </c>
      <c r="V15" s="1089">
        <f t="shared" si="14"/>
        <v>0</v>
      </c>
    </row>
    <row r="16" spans="1:22">
      <c r="A16" s="1032">
        <v>10</v>
      </c>
      <c r="B16" s="1033" t="s">
        <v>111</v>
      </c>
      <c r="C16" s="1293">
        <f>'Table 8 2.1.12 MFP Funded'!Z13</f>
        <v>0</v>
      </c>
      <c r="D16" s="1035">
        <f>'Table 3 Levels 1&amp;2'!AL17</f>
        <v>4300.0681374076885</v>
      </c>
      <c r="E16" s="1138">
        <f t="shared" si="2"/>
        <v>0</v>
      </c>
      <c r="F16" s="1138">
        <f>'Table 4 Level 3'!P15</f>
        <v>608.04000000000008</v>
      </c>
      <c r="G16" s="1138">
        <f t="shared" si="3"/>
        <v>0</v>
      </c>
      <c r="H16" s="1090">
        <f t="shared" si="4"/>
        <v>0</v>
      </c>
      <c r="I16" s="1148">
        <f t="shared" si="5"/>
        <v>0</v>
      </c>
      <c r="J16" s="1090">
        <f t="shared" si="6"/>
        <v>0</v>
      </c>
      <c r="K16" s="1090">
        <v>0</v>
      </c>
      <c r="L16" s="1090">
        <f t="shared" si="7"/>
        <v>0</v>
      </c>
      <c r="M16" s="1090">
        <f t="shared" si="8"/>
        <v>0</v>
      </c>
      <c r="N16" s="1091">
        <f>'[8]FY2012-13 Initial'!$K17</f>
        <v>4312</v>
      </c>
      <c r="O16" s="1092">
        <f t="shared" si="9"/>
        <v>0</v>
      </c>
      <c r="P16" s="1156">
        <f t="shared" si="10"/>
        <v>0</v>
      </c>
      <c r="Q16" s="1092">
        <f t="shared" si="11"/>
        <v>0</v>
      </c>
      <c r="R16" s="1092">
        <v>0</v>
      </c>
      <c r="S16" s="1092">
        <f t="shared" si="12"/>
        <v>0</v>
      </c>
      <c r="T16" s="1092">
        <f t="shared" si="13"/>
        <v>0</v>
      </c>
      <c r="U16" s="1093">
        <f t="shared" si="14"/>
        <v>0</v>
      </c>
      <c r="V16" s="1093">
        <f t="shared" si="14"/>
        <v>0</v>
      </c>
    </row>
    <row r="17" spans="1:22">
      <c r="A17" s="1021">
        <v>11</v>
      </c>
      <c r="B17" s="1022" t="s">
        <v>112</v>
      </c>
      <c r="C17" s="1294">
        <f>'Table 8 2.1.12 MFP Funded'!Z14</f>
        <v>0</v>
      </c>
      <c r="D17" s="1024">
        <f>'Table 3 Levels 1&amp;2'!AL18</f>
        <v>6740.2393955908683</v>
      </c>
      <c r="E17" s="1136">
        <f t="shared" si="2"/>
        <v>0</v>
      </c>
      <c r="F17" s="1136">
        <f>'Table 4 Level 3'!P16</f>
        <v>706.55</v>
      </c>
      <c r="G17" s="1136">
        <f t="shared" si="3"/>
        <v>0</v>
      </c>
      <c r="H17" s="1025">
        <f t="shared" si="4"/>
        <v>0</v>
      </c>
      <c r="I17" s="1146">
        <f t="shared" si="5"/>
        <v>0</v>
      </c>
      <c r="J17" s="1025">
        <f t="shared" si="6"/>
        <v>0</v>
      </c>
      <c r="K17" s="1025">
        <v>0</v>
      </c>
      <c r="L17" s="1025">
        <f t="shared" si="7"/>
        <v>0</v>
      </c>
      <c r="M17" s="1025">
        <f t="shared" si="8"/>
        <v>0</v>
      </c>
      <c r="N17" s="1086">
        <f>'[8]FY2012-13 Initial'!$K18</f>
        <v>3004</v>
      </c>
      <c r="O17" s="1026">
        <f t="shared" si="9"/>
        <v>0</v>
      </c>
      <c r="P17" s="1154">
        <f t="shared" si="10"/>
        <v>0</v>
      </c>
      <c r="Q17" s="1026">
        <f t="shared" si="11"/>
        <v>0</v>
      </c>
      <c r="R17" s="1026">
        <v>0</v>
      </c>
      <c r="S17" s="1026">
        <f t="shared" si="12"/>
        <v>0</v>
      </c>
      <c r="T17" s="1026">
        <f t="shared" si="13"/>
        <v>0</v>
      </c>
      <c r="U17" s="1027">
        <f t="shared" si="14"/>
        <v>0</v>
      </c>
      <c r="V17" s="1027">
        <f t="shared" si="14"/>
        <v>0</v>
      </c>
    </row>
    <row r="18" spans="1:22">
      <c r="A18" s="1028">
        <v>12</v>
      </c>
      <c r="B18" s="1029" t="s">
        <v>113</v>
      </c>
      <c r="C18" s="1292">
        <f>'Table 8 2.1.12 MFP Funded'!Z15</f>
        <v>0</v>
      </c>
      <c r="D18" s="1031">
        <f>'Table 3 Levels 1&amp;2'!AL19</f>
        <v>1781.2877551020408</v>
      </c>
      <c r="E18" s="1137">
        <f t="shared" si="2"/>
        <v>0</v>
      </c>
      <c r="F18" s="1137">
        <f>'Table 4 Level 3'!P17</f>
        <v>1063.31</v>
      </c>
      <c r="G18" s="1137">
        <f t="shared" si="3"/>
        <v>0</v>
      </c>
      <c r="H18" s="1087">
        <f t="shared" si="4"/>
        <v>0</v>
      </c>
      <c r="I18" s="1147">
        <f t="shared" si="5"/>
        <v>0</v>
      </c>
      <c r="J18" s="1087">
        <f t="shared" si="6"/>
        <v>0</v>
      </c>
      <c r="K18" s="1087">
        <v>0</v>
      </c>
      <c r="L18" s="1087">
        <f t="shared" si="7"/>
        <v>0</v>
      </c>
      <c r="M18" s="1087">
        <f t="shared" si="8"/>
        <v>0</v>
      </c>
      <c r="N18" s="1086">
        <f>'[8]FY2012-13 Initial'!$K19</f>
        <v>12439</v>
      </c>
      <c r="O18" s="1088">
        <f t="shared" si="9"/>
        <v>0</v>
      </c>
      <c r="P18" s="1155">
        <f t="shared" si="10"/>
        <v>0</v>
      </c>
      <c r="Q18" s="1088">
        <f t="shared" si="11"/>
        <v>0</v>
      </c>
      <c r="R18" s="1088">
        <v>0</v>
      </c>
      <c r="S18" s="1088">
        <f t="shared" si="12"/>
        <v>0</v>
      </c>
      <c r="T18" s="1088">
        <f t="shared" si="13"/>
        <v>0</v>
      </c>
      <c r="U18" s="1089">
        <f t="shared" si="14"/>
        <v>0</v>
      </c>
      <c r="V18" s="1089">
        <f t="shared" si="14"/>
        <v>0</v>
      </c>
    </row>
    <row r="19" spans="1:22">
      <c r="A19" s="1028">
        <v>13</v>
      </c>
      <c r="B19" s="1029" t="s">
        <v>114</v>
      </c>
      <c r="C19" s="1292">
        <f>'Table 8 2.1.12 MFP Funded'!Z16</f>
        <v>0</v>
      </c>
      <c r="D19" s="1031">
        <f>'Table 3 Levels 1&amp;2'!AL20</f>
        <v>6125.5331903699798</v>
      </c>
      <c r="E19" s="1137">
        <f t="shared" si="2"/>
        <v>0</v>
      </c>
      <c r="F19" s="1137">
        <f>'Table 4 Level 3'!P18</f>
        <v>749.43000000000006</v>
      </c>
      <c r="G19" s="1137">
        <f t="shared" si="3"/>
        <v>0</v>
      </c>
      <c r="H19" s="1087">
        <f t="shared" si="4"/>
        <v>0</v>
      </c>
      <c r="I19" s="1147">
        <f t="shared" si="5"/>
        <v>0</v>
      </c>
      <c r="J19" s="1087">
        <f t="shared" si="6"/>
        <v>0</v>
      </c>
      <c r="K19" s="1087">
        <v>0</v>
      </c>
      <c r="L19" s="1087">
        <f t="shared" si="7"/>
        <v>0</v>
      </c>
      <c r="M19" s="1087">
        <f t="shared" si="8"/>
        <v>0</v>
      </c>
      <c r="N19" s="1086">
        <f>'[8]FY2012-13 Initial'!$K20</f>
        <v>2518</v>
      </c>
      <c r="O19" s="1088">
        <f t="shared" si="9"/>
        <v>0</v>
      </c>
      <c r="P19" s="1155">
        <f t="shared" si="10"/>
        <v>0</v>
      </c>
      <c r="Q19" s="1088">
        <f t="shared" si="11"/>
        <v>0</v>
      </c>
      <c r="R19" s="1088">
        <v>0</v>
      </c>
      <c r="S19" s="1088">
        <f t="shared" si="12"/>
        <v>0</v>
      </c>
      <c r="T19" s="1088">
        <f t="shared" si="13"/>
        <v>0</v>
      </c>
      <c r="U19" s="1089">
        <f t="shared" si="14"/>
        <v>0</v>
      </c>
      <c r="V19" s="1089">
        <f t="shared" si="14"/>
        <v>0</v>
      </c>
    </row>
    <row r="20" spans="1:22">
      <c r="A20" s="1028">
        <v>14</v>
      </c>
      <c r="B20" s="1029" t="s">
        <v>115</v>
      </c>
      <c r="C20" s="1292">
        <f>'Table 8 2.1.12 MFP Funded'!Z17</f>
        <v>0</v>
      </c>
      <c r="D20" s="1031">
        <f>'Table 3 Levels 1&amp;2'!AL21</f>
        <v>5278.0936993421856</v>
      </c>
      <c r="E20" s="1137">
        <f t="shared" si="2"/>
        <v>0</v>
      </c>
      <c r="F20" s="1137">
        <f>'Table 4 Level 3'!P19</f>
        <v>809.9799999999999</v>
      </c>
      <c r="G20" s="1137">
        <f t="shared" si="3"/>
        <v>0</v>
      </c>
      <c r="H20" s="1087">
        <f t="shared" si="4"/>
        <v>0</v>
      </c>
      <c r="I20" s="1147">
        <f t="shared" si="5"/>
        <v>0</v>
      </c>
      <c r="J20" s="1087">
        <f t="shared" si="6"/>
        <v>0</v>
      </c>
      <c r="K20" s="1087">
        <v>0</v>
      </c>
      <c r="L20" s="1087">
        <f t="shared" si="7"/>
        <v>0</v>
      </c>
      <c r="M20" s="1087">
        <f t="shared" si="8"/>
        <v>0</v>
      </c>
      <c r="N20" s="1086">
        <f>'[8]FY2012-13 Initial'!$K21</f>
        <v>3605</v>
      </c>
      <c r="O20" s="1088">
        <f t="shared" si="9"/>
        <v>0</v>
      </c>
      <c r="P20" s="1155">
        <f t="shared" si="10"/>
        <v>0</v>
      </c>
      <c r="Q20" s="1088">
        <f t="shared" si="11"/>
        <v>0</v>
      </c>
      <c r="R20" s="1088">
        <v>0</v>
      </c>
      <c r="S20" s="1088">
        <f t="shared" si="12"/>
        <v>0</v>
      </c>
      <c r="T20" s="1088">
        <f t="shared" si="13"/>
        <v>0</v>
      </c>
      <c r="U20" s="1089">
        <f t="shared" si="14"/>
        <v>0</v>
      </c>
      <c r="V20" s="1089">
        <f t="shared" si="14"/>
        <v>0</v>
      </c>
    </row>
    <row r="21" spans="1:22">
      <c r="A21" s="1032">
        <v>15</v>
      </c>
      <c r="B21" s="1033" t="s">
        <v>116</v>
      </c>
      <c r="C21" s="1293">
        <f>'Table 8 2.1.12 MFP Funded'!Z18</f>
        <v>0</v>
      </c>
      <c r="D21" s="1035">
        <f>'Table 3 Levels 1&amp;2'!AL22</f>
        <v>5428.9842692179664</v>
      </c>
      <c r="E21" s="1138">
        <f t="shared" si="2"/>
        <v>0</v>
      </c>
      <c r="F21" s="1138">
        <f>'Table 4 Level 3'!P20</f>
        <v>553.79999999999995</v>
      </c>
      <c r="G21" s="1138">
        <f t="shared" si="3"/>
        <v>0</v>
      </c>
      <c r="H21" s="1090">
        <f t="shared" si="4"/>
        <v>0</v>
      </c>
      <c r="I21" s="1148">
        <f t="shared" si="5"/>
        <v>0</v>
      </c>
      <c r="J21" s="1090">
        <f t="shared" si="6"/>
        <v>0</v>
      </c>
      <c r="K21" s="1090">
        <v>0</v>
      </c>
      <c r="L21" s="1090">
        <f t="shared" si="7"/>
        <v>0</v>
      </c>
      <c r="M21" s="1090">
        <f t="shared" si="8"/>
        <v>0</v>
      </c>
      <c r="N21" s="1091">
        <f>'[8]FY2012-13 Initial'!$K22</f>
        <v>2614</v>
      </c>
      <c r="O21" s="1092">
        <f t="shared" si="9"/>
        <v>0</v>
      </c>
      <c r="P21" s="1156">
        <f t="shared" si="10"/>
        <v>0</v>
      </c>
      <c r="Q21" s="1092">
        <f t="shared" si="11"/>
        <v>0</v>
      </c>
      <c r="R21" s="1092">
        <v>0</v>
      </c>
      <c r="S21" s="1092">
        <f t="shared" si="12"/>
        <v>0</v>
      </c>
      <c r="T21" s="1092">
        <f t="shared" si="13"/>
        <v>0</v>
      </c>
      <c r="U21" s="1093">
        <f t="shared" si="14"/>
        <v>0</v>
      </c>
      <c r="V21" s="1093">
        <f t="shared" si="14"/>
        <v>0</v>
      </c>
    </row>
    <row r="22" spans="1:22">
      <c r="A22" s="1021">
        <v>16</v>
      </c>
      <c r="B22" s="1022" t="s">
        <v>117</v>
      </c>
      <c r="C22" s="1294">
        <f>'Table 8 2.1.12 MFP Funded'!Z19</f>
        <v>0</v>
      </c>
      <c r="D22" s="1024">
        <f>'Table 3 Levels 1&amp;2'!AL23</f>
        <v>1501.2470754125757</v>
      </c>
      <c r="E22" s="1136">
        <f t="shared" si="2"/>
        <v>0</v>
      </c>
      <c r="F22" s="1136">
        <f>'Table 4 Level 3'!P21</f>
        <v>686.73</v>
      </c>
      <c r="G22" s="1136">
        <f t="shared" si="3"/>
        <v>0</v>
      </c>
      <c r="H22" s="1025">
        <f t="shared" si="4"/>
        <v>0</v>
      </c>
      <c r="I22" s="1146">
        <f t="shared" si="5"/>
        <v>0</v>
      </c>
      <c r="J22" s="1025">
        <f t="shared" si="6"/>
        <v>0</v>
      </c>
      <c r="K22" s="1025">
        <v>0</v>
      </c>
      <c r="L22" s="1025">
        <f t="shared" si="7"/>
        <v>0</v>
      </c>
      <c r="M22" s="1025">
        <f t="shared" si="8"/>
        <v>0</v>
      </c>
      <c r="N22" s="1086">
        <f>'[8]FY2012-13 Initial'!$K23</f>
        <v>16006</v>
      </c>
      <c r="O22" s="1026">
        <f t="shared" si="9"/>
        <v>0</v>
      </c>
      <c r="P22" s="1154">
        <f t="shared" si="10"/>
        <v>0</v>
      </c>
      <c r="Q22" s="1026">
        <f t="shared" si="11"/>
        <v>0</v>
      </c>
      <c r="R22" s="1026">
        <v>0</v>
      </c>
      <c r="S22" s="1026">
        <f t="shared" si="12"/>
        <v>0</v>
      </c>
      <c r="T22" s="1026">
        <f t="shared" si="13"/>
        <v>0</v>
      </c>
      <c r="U22" s="1027">
        <f t="shared" si="14"/>
        <v>0</v>
      </c>
      <c r="V22" s="1027">
        <f t="shared" si="14"/>
        <v>0</v>
      </c>
    </row>
    <row r="23" spans="1:22">
      <c r="A23" s="1028">
        <v>17</v>
      </c>
      <c r="B23" s="1029" t="s">
        <v>118</v>
      </c>
      <c r="C23" s="1292">
        <f>'Table 8 2.1.12 MFP Funded'!Z20</f>
        <v>0</v>
      </c>
      <c r="D23" s="1031">
        <f>'Table 3 Levels 1&amp;2'!AL24</f>
        <v>3386.5716964570697</v>
      </c>
      <c r="E23" s="1137">
        <f t="shared" si="2"/>
        <v>0</v>
      </c>
      <c r="F23" s="1137">
        <f>'Table 5B2_RSD_LA'!F7</f>
        <v>801.47762416806802</v>
      </c>
      <c r="G23" s="1137">
        <f t="shared" si="3"/>
        <v>0</v>
      </c>
      <c r="H23" s="1087">
        <f t="shared" si="4"/>
        <v>0</v>
      </c>
      <c r="I23" s="1147">
        <f t="shared" si="5"/>
        <v>0</v>
      </c>
      <c r="J23" s="1087">
        <f t="shared" si="6"/>
        <v>0</v>
      </c>
      <c r="K23" s="1087">
        <v>0</v>
      </c>
      <c r="L23" s="1087">
        <f t="shared" si="7"/>
        <v>0</v>
      </c>
      <c r="M23" s="1087">
        <f t="shared" si="8"/>
        <v>0</v>
      </c>
      <c r="N23" s="1086">
        <f>'[8]FY2012-13 Initial'!$K24</f>
        <v>6493</v>
      </c>
      <c r="O23" s="1088">
        <f t="shared" si="9"/>
        <v>0</v>
      </c>
      <c r="P23" s="1155">
        <f t="shared" si="10"/>
        <v>0</v>
      </c>
      <c r="Q23" s="1088">
        <f t="shared" si="11"/>
        <v>0</v>
      </c>
      <c r="R23" s="1088">
        <v>0</v>
      </c>
      <c r="S23" s="1088">
        <f t="shared" si="12"/>
        <v>0</v>
      </c>
      <c r="T23" s="1088">
        <f t="shared" si="13"/>
        <v>0</v>
      </c>
      <c r="U23" s="1089">
        <f t="shared" si="14"/>
        <v>0</v>
      </c>
      <c r="V23" s="1089">
        <f t="shared" si="14"/>
        <v>0</v>
      </c>
    </row>
    <row r="24" spans="1:22">
      <c r="A24" s="1028">
        <v>18</v>
      </c>
      <c r="B24" s="1029" t="s">
        <v>119</v>
      </c>
      <c r="C24" s="1292">
        <f>'Table 8 2.1.12 MFP Funded'!Z21</f>
        <v>0</v>
      </c>
      <c r="D24" s="1031">
        <f>'Table 3 Levels 1&amp;2'!AL25</f>
        <v>5798.0598063231446</v>
      </c>
      <c r="E24" s="1137">
        <f t="shared" si="2"/>
        <v>0</v>
      </c>
      <c r="F24" s="1137">
        <f>'Table 4 Level 3'!P23</f>
        <v>845.94999999999993</v>
      </c>
      <c r="G24" s="1137">
        <f t="shared" si="3"/>
        <v>0</v>
      </c>
      <c r="H24" s="1087">
        <f t="shared" si="4"/>
        <v>0</v>
      </c>
      <c r="I24" s="1147">
        <f t="shared" si="5"/>
        <v>0</v>
      </c>
      <c r="J24" s="1087">
        <f t="shared" si="6"/>
        <v>0</v>
      </c>
      <c r="K24" s="1087">
        <v>0</v>
      </c>
      <c r="L24" s="1087">
        <f t="shared" si="7"/>
        <v>0</v>
      </c>
      <c r="M24" s="1087">
        <f t="shared" si="8"/>
        <v>0</v>
      </c>
      <c r="N24" s="1086">
        <f>'[8]FY2012-13 Initial'!$K25</f>
        <v>2088</v>
      </c>
      <c r="O24" s="1088">
        <f t="shared" si="9"/>
        <v>0</v>
      </c>
      <c r="P24" s="1155">
        <f t="shared" si="10"/>
        <v>0</v>
      </c>
      <c r="Q24" s="1088">
        <f t="shared" si="11"/>
        <v>0</v>
      </c>
      <c r="R24" s="1088">
        <v>0</v>
      </c>
      <c r="S24" s="1088">
        <f t="shared" si="12"/>
        <v>0</v>
      </c>
      <c r="T24" s="1088">
        <f t="shared" si="13"/>
        <v>0</v>
      </c>
      <c r="U24" s="1089">
        <f t="shared" si="14"/>
        <v>0</v>
      </c>
      <c r="V24" s="1089">
        <f t="shared" si="14"/>
        <v>0</v>
      </c>
    </row>
    <row r="25" spans="1:22">
      <c r="A25" s="1028">
        <v>19</v>
      </c>
      <c r="B25" s="1029" t="s">
        <v>120</v>
      </c>
      <c r="C25" s="1292">
        <f>'Table 8 2.1.12 MFP Funded'!Z22</f>
        <v>0</v>
      </c>
      <c r="D25" s="1031">
        <f>'Table 3 Levels 1&amp;2'!AL26</f>
        <v>5219.1012787873206</v>
      </c>
      <c r="E25" s="1137">
        <f t="shared" si="2"/>
        <v>0</v>
      </c>
      <c r="F25" s="1137">
        <f>'Table 4 Level 3'!P24</f>
        <v>905.43</v>
      </c>
      <c r="G25" s="1137">
        <f t="shared" si="3"/>
        <v>0</v>
      </c>
      <c r="H25" s="1087">
        <f t="shared" si="4"/>
        <v>0</v>
      </c>
      <c r="I25" s="1147">
        <f t="shared" si="5"/>
        <v>0</v>
      </c>
      <c r="J25" s="1087">
        <f t="shared" si="6"/>
        <v>0</v>
      </c>
      <c r="K25" s="1087">
        <v>0</v>
      </c>
      <c r="L25" s="1087">
        <f t="shared" si="7"/>
        <v>0</v>
      </c>
      <c r="M25" s="1087">
        <f t="shared" si="8"/>
        <v>0</v>
      </c>
      <c r="N25" s="1086">
        <f>'[8]FY2012-13 Initial'!$K26</f>
        <v>2275</v>
      </c>
      <c r="O25" s="1088">
        <f t="shared" si="9"/>
        <v>0</v>
      </c>
      <c r="P25" s="1155">
        <f t="shared" si="10"/>
        <v>0</v>
      </c>
      <c r="Q25" s="1088">
        <f t="shared" si="11"/>
        <v>0</v>
      </c>
      <c r="R25" s="1088">
        <v>0</v>
      </c>
      <c r="S25" s="1088">
        <f t="shared" si="12"/>
        <v>0</v>
      </c>
      <c r="T25" s="1088">
        <f t="shared" si="13"/>
        <v>0</v>
      </c>
      <c r="U25" s="1089">
        <f t="shared" si="14"/>
        <v>0</v>
      </c>
      <c r="V25" s="1089">
        <f t="shared" si="14"/>
        <v>0</v>
      </c>
    </row>
    <row r="26" spans="1:22">
      <c r="A26" s="1032">
        <v>20</v>
      </c>
      <c r="B26" s="1033" t="s">
        <v>121</v>
      </c>
      <c r="C26" s="1293">
        <f>'Table 8 2.1.12 MFP Funded'!Z23</f>
        <v>0</v>
      </c>
      <c r="D26" s="1035">
        <f>'Table 3 Levels 1&amp;2'!AL27</f>
        <v>5441.7799844976798</v>
      </c>
      <c r="E26" s="1138">
        <f t="shared" si="2"/>
        <v>0</v>
      </c>
      <c r="F26" s="1138">
        <f>'Table 4 Level 3'!P25</f>
        <v>586.16999999999996</v>
      </c>
      <c r="G26" s="1138">
        <f t="shared" si="3"/>
        <v>0</v>
      </c>
      <c r="H26" s="1090">
        <f t="shared" si="4"/>
        <v>0</v>
      </c>
      <c r="I26" s="1148">
        <f t="shared" si="5"/>
        <v>0</v>
      </c>
      <c r="J26" s="1090">
        <f t="shared" si="6"/>
        <v>0</v>
      </c>
      <c r="K26" s="1090">
        <v>0</v>
      </c>
      <c r="L26" s="1090">
        <f t="shared" si="7"/>
        <v>0</v>
      </c>
      <c r="M26" s="1090">
        <f t="shared" si="8"/>
        <v>0</v>
      </c>
      <c r="N26" s="1091">
        <f>'[8]FY2012-13 Initial'!$K27</f>
        <v>2308</v>
      </c>
      <c r="O26" s="1092">
        <f t="shared" si="9"/>
        <v>0</v>
      </c>
      <c r="P26" s="1156">
        <f t="shared" si="10"/>
        <v>0</v>
      </c>
      <c r="Q26" s="1092">
        <f t="shared" si="11"/>
        <v>0</v>
      </c>
      <c r="R26" s="1092">
        <v>0</v>
      </c>
      <c r="S26" s="1092">
        <f t="shared" si="12"/>
        <v>0</v>
      </c>
      <c r="T26" s="1092">
        <f t="shared" si="13"/>
        <v>0</v>
      </c>
      <c r="U26" s="1093">
        <f t="shared" si="14"/>
        <v>0</v>
      </c>
      <c r="V26" s="1093">
        <f t="shared" si="14"/>
        <v>0</v>
      </c>
    </row>
    <row r="27" spans="1:22">
      <c r="A27" s="1021">
        <v>21</v>
      </c>
      <c r="B27" s="1022" t="s">
        <v>122</v>
      </c>
      <c r="C27" s="1294">
        <f>'Table 8 2.1.12 MFP Funded'!Z24</f>
        <v>0</v>
      </c>
      <c r="D27" s="1024">
        <f>'Table 3 Levels 1&amp;2'!AL28</f>
        <v>5718.7800910915075</v>
      </c>
      <c r="E27" s="1136">
        <f t="shared" si="2"/>
        <v>0</v>
      </c>
      <c r="F27" s="1136">
        <f>'Table 4 Level 3'!P26</f>
        <v>610.35</v>
      </c>
      <c r="G27" s="1136">
        <f t="shared" si="3"/>
        <v>0</v>
      </c>
      <c r="H27" s="1025">
        <f t="shared" si="4"/>
        <v>0</v>
      </c>
      <c r="I27" s="1146">
        <f t="shared" si="5"/>
        <v>0</v>
      </c>
      <c r="J27" s="1025">
        <f t="shared" si="6"/>
        <v>0</v>
      </c>
      <c r="K27" s="1025">
        <v>0</v>
      </c>
      <c r="L27" s="1025">
        <f t="shared" si="7"/>
        <v>0</v>
      </c>
      <c r="M27" s="1025">
        <f t="shared" si="8"/>
        <v>0</v>
      </c>
      <c r="N27" s="1086">
        <f>'[8]FY2012-13 Initial'!$K28</f>
        <v>2245</v>
      </c>
      <c r="O27" s="1026">
        <f t="shared" si="9"/>
        <v>0</v>
      </c>
      <c r="P27" s="1154">
        <f t="shared" si="10"/>
        <v>0</v>
      </c>
      <c r="Q27" s="1026">
        <f t="shared" si="11"/>
        <v>0</v>
      </c>
      <c r="R27" s="1026">
        <v>0</v>
      </c>
      <c r="S27" s="1026">
        <f t="shared" si="12"/>
        <v>0</v>
      </c>
      <c r="T27" s="1026">
        <f t="shared" si="13"/>
        <v>0</v>
      </c>
      <c r="U27" s="1027">
        <f t="shared" si="14"/>
        <v>0</v>
      </c>
      <c r="V27" s="1027">
        <f t="shared" si="14"/>
        <v>0</v>
      </c>
    </row>
    <row r="28" spans="1:22">
      <c r="A28" s="1028">
        <v>22</v>
      </c>
      <c r="B28" s="1029" t="s">
        <v>123</v>
      </c>
      <c r="C28" s="1292">
        <f>'Table 8 2.1.12 MFP Funded'!Z25</f>
        <v>0</v>
      </c>
      <c r="D28" s="1031">
        <f>'Table 3 Levels 1&amp;2'!AL29</f>
        <v>6198.830003500153</v>
      </c>
      <c r="E28" s="1137">
        <f t="shared" si="2"/>
        <v>0</v>
      </c>
      <c r="F28" s="1137">
        <f>'Table 4 Level 3'!P27</f>
        <v>496.36</v>
      </c>
      <c r="G28" s="1137">
        <f t="shared" si="3"/>
        <v>0</v>
      </c>
      <c r="H28" s="1087">
        <f t="shared" si="4"/>
        <v>0</v>
      </c>
      <c r="I28" s="1147">
        <f t="shared" si="5"/>
        <v>0</v>
      </c>
      <c r="J28" s="1087">
        <f t="shared" si="6"/>
        <v>0</v>
      </c>
      <c r="K28" s="1087">
        <v>0</v>
      </c>
      <c r="L28" s="1087">
        <f t="shared" si="7"/>
        <v>0</v>
      </c>
      <c r="M28" s="1087">
        <f t="shared" si="8"/>
        <v>0</v>
      </c>
      <c r="N28" s="1086">
        <f>'[8]FY2012-13 Initial'!$K29</f>
        <v>1445</v>
      </c>
      <c r="O28" s="1088">
        <f t="shared" si="9"/>
        <v>0</v>
      </c>
      <c r="P28" s="1155">
        <f t="shared" si="10"/>
        <v>0</v>
      </c>
      <c r="Q28" s="1088">
        <f t="shared" si="11"/>
        <v>0</v>
      </c>
      <c r="R28" s="1088">
        <v>0</v>
      </c>
      <c r="S28" s="1088">
        <f t="shared" si="12"/>
        <v>0</v>
      </c>
      <c r="T28" s="1088">
        <f t="shared" si="13"/>
        <v>0</v>
      </c>
      <c r="U28" s="1089">
        <f t="shared" si="14"/>
        <v>0</v>
      </c>
      <c r="V28" s="1089">
        <f t="shared" si="14"/>
        <v>0</v>
      </c>
    </row>
    <row r="29" spans="1:22">
      <c r="A29" s="1028">
        <v>23</v>
      </c>
      <c r="B29" s="1029" t="s">
        <v>124</v>
      </c>
      <c r="C29" s="1292">
        <f>'Table 8 2.1.12 MFP Funded'!Z26</f>
        <v>0</v>
      </c>
      <c r="D29" s="1031">
        <f>'Table 3 Levels 1&amp;2'!AL30</f>
        <v>4809.0299298140199</v>
      </c>
      <c r="E29" s="1137">
        <f t="shared" si="2"/>
        <v>0</v>
      </c>
      <c r="F29" s="1137">
        <f>'Table 4 Level 3'!P28</f>
        <v>688.58</v>
      </c>
      <c r="G29" s="1137">
        <f t="shared" si="3"/>
        <v>0</v>
      </c>
      <c r="H29" s="1087">
        <f t="shared" si="4"/>
        <v>0</v>
      </c>
      <c r="I29" s="1147">
        <f t="shared" si="5"/>
        <v>0</v>
      </c>
      <c r="J29" s="1087">
        <f t="shared" si="6"/>
        <v>0</v>
      </c>
      <c r="K29" s="1087">
        <v>0</v>
      </c>
      <c r="L29" s="1087">
        <f t="shared" si="7"/>
        <v>0</v>
      </c>
      <c r="M29" s="1087">
        <f t="shared" si="8"/>
        <v>0</v>
      </c>
      <c r="N29" s="1086">
        <f>'[8]FY2012-13 Initial'!$K30</f>
        <v>3295</v>
      </c>
      <c r="O29" s="1088">
        <f t="shared" si="9"/>
        <v>0</v>
      </c>
      <c r="P29" s="1155">
        <f t="shared" si="10"/>
        <v>0</v>
      </c>
      <c r="Q29" s="1088">
        <f t="shared" si="11"/>
        <v>0</v>
      </c>
      <c r="R29" s="1088">
        <v>0</v>
      </c>
      <c r="S29" s="1088">
        <f t="shared" si="12"/>
        <v>0</v>
      </c>
      <c r="T29" s="1088">
        <f t="shared" si="13"/>
        <v>0</v>
      </c>
      <c r="U29" s="1089">
        <f t="shared" si="14"/>
        <v>0</v>
      </c>
      <c r="V29" s="1089">
        <f t="shared" si="14"/>
        <v>0</v>
      </c>
    </row>
    <row r="30" spans="1:22">
      <c r="A30" s="1028">
        <v>24</v>
      </c>
      <c r="B30" s="1029" t="s">
        <v>125</v>
      </c>
      <c r="C30" s="1292">
        <f>'Table 8 2.1.12 MFP Funded'!Z27</f>
        <v>0</v>
      </c>
      <c r="D30" s="1031">
        <f>'Table 3 Levels 1&amp;2'!AL31</f>
        <v>2649.7787452556372</v>
      </c>
      <c r="E30" s="1137">
        <f t="shared" si="2"/>
        <v>0</v>
      </c>
      <c r="F30" s="1137">
        <f>'Table 4 Level 3'!P29</f>
        <v>854.24999999999989</v>
      </c>
      <c r="G30" s="1137">
        <f t="shared" si="3"/>
        <v>0</v>
      </c>
      <c r="H30" s="1087">
        <f t="shared" si="4"/>
        <v>0</v>
      </c>
      <c r="I30" s="1147">
        <f t="shared" si="5"/>
        <v>0</v>
      </c>
      <c r="J30" s="1087">
        <f t="shared" si="6"/>
        <v>0</v>
      </c>
      <c r="K30" s="1087">
        <v>0</v>
      </c>
      <c r="L30" s="1087">
        <f t="shared" si="7"/>
        <v>0</v>
      </c>
      <c r="M30" s="1087">
        <f t="shared" si="8"/>
        <v>0</v>
      </c>
      <c r="N30" s="1086">
        <f>'[8]FY2012-13 Initial'!$K31</f>
        <v>8769</v>
      </c>
      <c r="O30" s="1088">
        <f t="shared" si="9"/>
        <v>0</v>
      </c>
      <c r="P30" s="1155">
        <f t="shared" si="10"/>
        <v>0</v>
      </c>
      <c r="Q30" s="1088">
        <f t="shared" si="11"/>
        <v>0</v>
      </c>
      <c r="R30" s="1088">
        <v>0</v>
      </c>
      <c r="S30" s="1088">
        <f t="shared" si="12"/>
        <v>0</v>
      </c>
      <c r="T30" s="1088">
        <f t="shared" si="13"/>
        <v>0</v>
      </c>
      <c r="U30" s="1089">
        <f t="shared" si="14"/>
        <v>0</v>
      </c>
      <c r="V30" s="1089">
        <f t="shared" si="14"/>
        <v>0</v>
      </c>
    </row>
    <row r="31" spans="1:22">
      <c r="A31" s="1032">
        <v>25</v>
      </c>
      <c r="B31" s="1033" t="s">
        <v>126</v>
      </c>
      <c r="C31" s="1293">
        <f>'Table 8 2.1.12 MFP Funded'!Z28</f>
        <v>0</v>
      </c>
      <c r="D31" s="1035">
        <f>'Table 3 Levels 1&amp;2'!AL32</f>
        <v>3848.3923674564248</v>
      </c>
      <c r="E31" s="1138">
        <f t="shared" si="2"/>
        <v>0</v>
      </c>
      <c r="F31" s="1138">
        <f>'Table 4 Level 3'!P30</f>
        <v>653.73</v>
      </c>
      <c r="G31" s="1138">
        <f t="shared" si="3"/>
        <v>0</v>
      </c>
      <c r="H31" s="1090">
        <f t="shared" si="4"/>
        <v>0</v>
      </c>
      <c r="I31" s="1148">
        <f t="shared" si="5"/>
        <v>0</v>
      </c>
      <c r="J31" s="1090">
        <f t="shared" si="6"/>
        <v>0</v>
      </c>
      <c r="K31" s="1090">
        <v>0</v>
      </c>
      <c r="L31" s="1090">
        <f t="shared" si="7"/>
        <v>0</v>
      </c>
      <c r="M31" s="1090">
        <f t="shared" si="8"/>
        <v>0</v>
      </c>
      <c r="N31" s="1091">
        <f>'[8]FY2012-13 Initial'!$K32</f>
        <v>5187</v>
      </c>
      <c r="O31" s="1092">
        <f t="shared" si="9"/>
        <v>0</v>
      </c>
      <c r="P31" s="1156">
        <f t="shared" si="10"/>
        <v>0</v>
      </c>
      <c r="Q31" s="1092">
        <f t="shared" si="11"/>
        <v>0</v>
      </c>
      <c r="R31" s="1092">
        <v>0</v>
      </c>
      <c r="S31" s="1092">
        <f t="shared" si="12"/>
        <v>0</v>
      </c>
      <c r="T31" s="1092">
        <f t="shared" si="13"/>
        <v>0</v>
      </c>
      <c r="U31" s="1093">
        <f t="shared" si="14"/>
        <v>0</v>
      </c>
      <c r="V31" s="1093">
        <f t="shared" si="14"/>
        <v>0</v>
      </c>
    </row>
    <row r="32" spans="1:22">
      <c r="A32" s="1021">
        <v>26</v>
      </c>
      <c r="B32" s="1022" t="s">
        <v>127</v>
      </c>
      <c r="C32" s="1294">
        <f>'Table 8 2.1.12 MFP Funded'!Z29</f>
        <v>44</v>
      </c>
      <c r="D32" s="1024">
        <f>'Table 3 Levels 1&amp;2'!AL33</f>
        <v>3145.9192082835102</v>
      </c>
      <c r="E32" s="1136">
        <f t="shared" si="2"/>
        <v>138420.44516447445</v>
      </c>
      <c r="F32" s="1136">
        <f>'Table 4 Level 3'!P31</f>
        <v>836.83</v>
      </c>
      <c r="G32" s="1136">
        <f t="shared" si="3"/>
        <v>36820.520000000004</v>
      </c>
      <c r="H32" s="1025">
        <f t="shared" si="4"/>
        <v>175240.96516447444</v>
      </c>
      <c r="I32" s="1146">
        <f t="shared" si="5"/>
        <v>-438.10241291118609</v>
      </c>
      <c r="J32" s="1025">
        <f t="shared" si="6"/>
        <v>174802.86275156325</v>
      </c>
      <c r="K32" s="1384">
        <v>-7974.3558019593474</v>
      </c>
      <c r="L32" s="1025">
        <f t="shared" si="7"/>
        <v>166828.50694960391</v>
      </c>
      <c r="M32" s="1025">
        <f t="shared" si="8"/>
        <v>13902.375579133659</v>
      </c>
      <c r="N32" s="1086">
        <f>'[8]FY2012-13 Initial'!$K33</f>
        <v>5197</v>
      </c>
      <c r="O32" s="1026">
        <f t="shared" si="9"/>
        <v>228668</v>
      </c>
      <c r="P32" s="1154">
        <f t="shared" si="10"/>
        <v>-571.66999999999996</v>
      </c>
      <c r="Q32" s="1026">
        <f t="shared" si="11"/>
        <v>228096.33</v>
      </c>
      <c r="R32" s="1385">
        <v>-9296</v>
      </c>
      <c r="S32" s="1026">
        <f t="shared" si="12"/>
        <v>218800.33</v>
      </c>
      <c r="T32" s="1026">
        <f t="shared" si="13"/>
        <v>18233.360833333332</v>
      </c>
      <c r="U32" s="1027">
        <f t="shared" si="14"/>
        <v>385628.83694960386</v>
      </c>
      <c r="V32" s="1027">
        <f t="shared" si="14"/>
        <v>32135.736412466991</v>
      </c>
    </row>
    <row r="33" spans="1:22">
      <c r="A33" s="1028">
        <v>27</v>
      </c>
      <c r="B33" s="1029" t="s">
        <v>128</v>
      </c>
      <c r="C33" s="1295">
        <f>'Table 8 2.1.12 MFP Funded'!Z30</f>
        <v>0</v>
      </c>
      <c r="D33" s="1037">
        <f>'Table 3 Levels 1&amp;2'!AL34</f>
        <v>5653.5502977926608</v>
      </c>
      <c r="E33" s="1139">
        <f t="shared" si="2"/>
        <v>0</v>
      </c>
      <c r="F33" s="1139">
        <f>'Table 4 Level 3'!P32</f>
        <v>693.06</v>
      </c>
      <c r="G33" s="1139">
        <f t="shared" si="3"/>
        <v>0</v>
      </c>
      <c r="H33" s="1094">
        <f t="shared" si="4"/>
        <v>0</v>
      </c>
      <c r="I33" s="1149">
        <f t="shared" si="5"/>
        <v>0</v>
      </c>
      <c r="J33" s="1094">
        <f t="shared" si="6"/>
        <v>0</v>
      </c>
      <c r="K33" s="1094">
        <v>0</v>
      </c>
      <c r="L33" s="1094">
        <f t="shared" si="7"/>
        <v>0</v>
      </c>
      <c r="M33" s="1094">
        <f t="shared" si="8"/>
        <v>0</v>
      </c>
      <c r="N33" s="1086">
        <f>'[8]FY2012-13 Initial'!$K34</f>
        <v>3073</v>
      </c>
      <c r="O33" s="1088">
        <f t="shared" si="9"/>
        <v>0</v>
      </c>
      <c r="P33" s="1155">
        <f t="shared" si="10"/>
        <v>0</v>
      </c>
      <c r="Q33" s="1088">
        <f t="shared" si="11"/>
        <v>0</v>
      </c>
      <c r="R33" s="1088">
        <v>0</v>
      </c>
      <c r="S33" s="1088">
        <f t="shared" si="12"/>
        <v>0</v>
      </c>
      <c r="T33" s="1088">
        <f t="shared" si="13"/>
        <v>0</v>
      </c>
      <c r="U33" s="1089">
        <f t="shared" si="14"/>
        <v>0</v>
      </c>
      <c r="V33" s="1089">
        <f t="shared" si="14"/>
        <v>0</v>
      </c>
    </row>
    <row r="34" spans="1:22">
      <c r="A34" s="1028">
        <v>28</v>
      </c>
      <c r="B34" s="1029" t="s">
        <v>129</v>
      </c>
      <c r="C34" s="1295">
        <f>'Table 8 2.1.12 MFP Funded'!Z31</f>
        <v>0</v>
      </c>
      <c r="D34" s="1037">
        <f>'Table 3 Levels 1&amp;2'!AL35</f>
        <v>3200.5356505169011</v>
      </c>
      <c r="E34" s="1139">
        <f t="shared" si="2"/>
        <v>0</v>
      </c>
      <c r="F34" s="1139">
        <f>'Table 4 Level 3'!P33</f>
        <v>694.4</v>
      </c>
      <c r="G34" s="1139">
        <f t="shared" si="3"/>
        <v>0</v>
      </c>
      <c r="H34" s="1094">
        <f t="shared" si="4"/>
        <v>0</v>
      </c>
      <c r="I34" s="1149">
        <f t="shared" si="5"/>
        <v>0</v>
      </c>
      <c r="J34" s="1094">
        <f t="shared" si="6"/>
        <v>0</v>
      </c>
      <c r="K34" s="1094">
        <v>0</v>
      </c>
      <c r="L34" s="1094">
        <f t="shared" si="7"/>
        <v>0</v>
      </c>
      <c r="M34" s="1094">
        <f t="shared" si="8"/>
        <v>0</v>
      </c>
      <c r="N34" s="1086">
        <f>'[8]FY2012-13 Initial'!$K35</f>
        <v>5082</v>
      </c>
      <c r="O34" s="1088">
        <f t="shared" si="9"/>
        <v>0</v>
      </c>
      <c r="P34" s="1155">
        <f t="shared" si="10"/>
        <v>0</v>
      </c>
      <c r="Q34" s="1088">
        <f t="shared" si="11"/>
        <v>0</v>
      </c>
      <c r="R34" s="1088">
        <v>0</v>
      </c>
      <c r="S34" s="1088">
        <f t="shared" si="12"/>
        <v>0</v>
      </c>
      <c r="T34" s="1088">
        <f t="shared" si="13"/>
        <v>0</v>
      </c>
      <c r="U34" s="1089">
        <f t="shared" si="14"/>
        <v>0</v>
      </c>
      <c r="V34" s="1089">
        <f t="shared" si="14"/>
        <v>0</v>
      </c>
    </row>
    <row r="35" spans="1:22">
      <c r="A35" s="1028">
        <v>29</v>
      </c>
      <c r="B35" s="1029" t="s">
        <v>130</v>
      </c>
      <c r="C35" s="1295">
        <f>'Table 8 2.1.12 MFP Funded'!Z32</f>
        <v>0</v>
      </c>
      <c r="D35" s="1037">
        <f>'Table 3 Levels 1&amp;2'!AL36</f>
        <v>3945.0399545376122</v>
      </c>
      <c r="E35" s="1139">
        <f t="shared" si="2"/>
        <v>0</v>
      </c>
      <c r="F35" s="1139">
        <f>'Table 4 Level 3'!P34</f>
        <v>754.94999999999993</v>
      </c>
      <c r="G35" s="1139">
        <f t="shared" si="3"/>
        <v>0</v>
      </c>
      <c r="H35" s="1094">
        <f t="shared" si="4"/>
        <v>0</v>
      </c>
      <c r="I35" s="1149">
        <f t="shared" si="5"/>
        <v>0</v>
      </c>
      <c r="J35" s="1094">
        <f t="shared" si="6"/>
        <v>0</v>
      </c>
      <c r="K35" s="1094">
        <v>0</v>
      </c>
      <c r="L35" s="1094">
        <f t="shared" si="7"/>
        <v>0</v>
      </c>
      <c r="M35" s="1094">
        <f t="shared" si="8"/>
        <v>0</v>
      </c>
      <c r="N35" s="1086">
        <f>'[8]FY2012-13 Initial'!$K36</f>
        <v>4295</v>
      </c>
      <c r="O35" s="1088">
        <f t="shared" si="9"/>
        <v>0</v>
      </c>
      <c r="P35" s="1155">
        <f t="shared" si="10"/>
        <v>0</v>
      </c>
      <c r="Q35" s="1088">
        <f t="shared" si="11"/>
        <v>0</v>
      </c>
      <c r="R35" s="1088">
        <v>0</v>
      </c>
      <c r="S35" s="1088">
        <f t="shared" si="12"/>
        <v>0</v>
      </c>
      <c r="T35" s="1088">
        <f t="shared" si="13"/>
        <v>0</v>
      </c>
      <c r="U35" s="1089">
        <f t="shared" si="14"/>
        <v>0</v>
      </c>
      <c r="V35" s="1089">
        <f t="shared" si="14"/>
        <v>0</v>
      </c>
    </row>
    <row r="36" spans="1:22">
      <c r="A36" s="1032">
        <v>30</v>
      </c>
      <c r="B36" s="1033" t="s">
        <v>131</v>
      </c>
      <c r="C36" s="1296">
        <f>'Table 8 2.1.12 MFP Funded'!Z33</f>
        <v>0</v>
      </c>
      <c r="D36" s="1039">
        <f>'Table 3 Levels 1&amp;2'!AL37</f>
        <v>5594.8916667625617</v>
      </c>
      <c r="E36" s="1140">
        <f t="shared" si="2"/>
        <v>0</v>
      </c>
      <c r="F36" s="1140">
        <f>'Table 4 Level 3'!P35</f>
        <v>727.17</v>
      </c>
      <c r="G36" s="1140">
        <f t="shared" si="3"/>
        <v>0</v>
      </c>
      <c r="H36" s="1095">
        <f t="shared" si="4"/>
        <v>0</v>
      </c>
      <c r="I36" s="1150">
        <f t="shared" si="5"/>
        <v>0</v>
      </c>
      <c r="J36" s="1095">
        <f t="shared" si="6"/>
        <v>0</v>
      </c>
      <c r="K36" s="1095">
        <v>0</v>
      </c>
      <c r="L36" s="1095">
        <f t="shared" si="7"/>
        <v>0</v>
      </c>
      <c r="M36" s="1095">
        <f t="shared" si="8"/>
        <v>0</v>
      </c>
      <c r="N36" s="1091">
        <f>'[8]FY2012-13 Initial'!$K37</f>
        <v>3553</v>
      </c>
      <c r="O36" s="1092">
        <f t="shared" si="9"/>
        <v>0</v>
      </c>
      <c r="P36" s="1156">
        <f t="shared" si="10"/>
        <v>0</v>
      </c>
      <c r="Q36" s="1092">
        <f t="shared" si="11"/>
        <v>0</v>
      </c>
      <c r="R36" s="1092">
        <v>0</v>
      </c>
      <c r="S36" s="1092">
        <f t="shared" si="12"/>
        <v>0</v>
      </c>
      <c r="T36" s="1092">
        <f t="shared" si="13"/>
        <v>0</v>
      </c>
      <c r="U36" s="1093">
        <f t="shared" si="14"/>
        <v>0</v>
      </c>
      <c r="V36" s="1093">
        <f t="shared" si="14"/>
        <v>0</v>
      </c>
    </row>
    <row r="37" spans="1:22">
      <c r="A37" s="1021">
        <v>31</v>
      </c>
      <c r="B37" s="1022" t="s">
        <v>132</v>
      </c>
      <c r="C37" s="1297">
        <f>'Table 8 2.1.12 MFP Funded'!Z34</f>
        <v>0</v>
      </c>
      <c r="D37" s="1041">
        <f>'Table 3 Levels 1&amp;2'!AL38</f>
        <v>4159.5846806435638</v>
      </c>
      <c r="E37" s="1141">
        <f t="shared" si="2"/>
        <v>0</v>
      </c>
      <c r="F37" s="1141">
        <f>'Table 4 Level 3'!P36</f>
        <v>620.83000000000004</v>
      </c>
      <c r="G37" s="1141">
        <f t="shared" si="3"/>
        <v>0</v>
      </c>
      <c r="H37" s="1096">
        <f t="shared" si="4"/>
        <v>0</v>
      </c>
      <c r="I37" s="1151">
        <f t="shared" si="5"/>
        <v>0</v>
      </c>
      <c r="J37" s="1096">
        <f t="shared" si="6"/>
        <v>0</v>
      </c>
      <c r="K37" s="1096">
        <v>0</v>
      </c>
      <c r="L37" s="1096">
        <f t="shared" si="7"/>
        <v>0</v>
      </c>
      <c r="M37" s="1096">
        <f t="shared" si="8"/>
        <v>0</v>
      </c>
      <c r="N37" s="1086">
        <f>'[8]FY2012-13 Initial'!$K38</f>
        <v>4719</v>
      </c>
      <c r="O37" s="1026">
        <f t="shared" si="9"/>
        <v>0</v>
      </c>
      <c r="P37" s="1154">
        <f t="shared" si="10"/>
        <v>0</v>
      </c>
      <c r="Q37" s="1026">
        <f t="shared" si="11"/>
        <v>0</v>
      </c>
      <c r="R37" s="1026">
        <v>0</v>
      </c>
      <c r="S37" s="1026">
        <f t="shared" si="12"/>
        <v>0</v>
      </c>
      <c r="T37" s="1026">
        <f t="shared" si="13"/>
        <v>0</v>
      </c>
      <c r="U37" s="1027">
        <f t="shared" si="14"/>
        <v>0</v>
      </c>
      <c r="V37" s="1027">
        <f t="shared" si="14"/>
        <v>0</v>
      </c>
    </row>
    <row r="38" spans="1:22">
      <c r="A38" s="1028">
        <v>32</v>
      </c>
      <c r="B38" s="1029" t="s">
        <v>133</v>
      </c>
      <c r="C38" s="1295">
        <f>'Table 8 2.1.12 MFP Funded'!Z35</f>
        <v>0</v>
      </c>
      <c r="D38" s="1037">
        <f>'Table 3 Levels 1&amp;2'!AL39</f>
        <v>5475.1436637248598</v>
      </c>
      <c r="E38" s="1139">
        <f t="shared" si="2"/>
        <v>0</v>
      </c>
      <c r="F38" s="1139">
        <f>'Table 4 Level 3'!P37</f>
        <v>559.77</v>
      </c>
      <c r="G38" s="1139">
        <f t="shared" si="3"/>
        <v>0</v>
      </c>
      <c r="H38" s="1094">
        <f t="shared" si="4"/>
        <v>0</v>
      </c>
      <c r="I38" s="1149">
        <f t="shared" si="5"/>
        <v>0</v>
      </c>
      <c r="J38" s="1094">
        <f t="shared" si="6"/>
        <v>0</v>
      </c>
      <c r="K38" s="1094">
        <v>0</v>
      </c>
      <c r="L38" s="1094">
        <f t="shared" si="7"/>
        <v>0</v>
      </c>
      <c r="M38" s="1094">
        <f t="shared" si="8"/>
        <v>0</v>
      </c>
      <c r="N38" s="1086">
        <f>'[8]FY2012-13 Initial'!$K39</f>
        <v>1979</v>
      </c>
      <c r="O38" s="1088">
        <f t="shared" si="9"/>
        <v>0</v>
      </c>
      <c r="P38" s="1155">
        <f t="shared" si="10"/>
        <v>0</v>
      </c>
      <c r="Q38" s="1088">
        <f t="shared" si="11"/>
        <v>0</v>
      </c>
      <c r="R38" s="1088">
        <v>0</v>
      </c>
      <c r="S38" s="1088">
        <f t="shared" si="12"/>
        <v>0</v>
      </c>
      <c r="T38" s="1088">
        <f t="shared" si="13"/>
        <v>0</v>
      </c>
      <c r="U38" s="1089">
        <f t="shared" si="14"/>
        <v>0</v>
      </c>
      <c r="V38" s="1089">
        <f t="shared" si="14"/>
        <v>0</v>
      </c>
    </row>
    <row r="39" spans="1:22">
      <c r="A39" s="1028">
        <v>33</v>
      </c>
      <c r="B39" s="1029" t="s">
        <v>134</v>
      </c>
      <c r="C39" s="1295">
        <f>'Table 8 2.1.12 MFP Funded'!Z36</f>
        <v>0</v>
      </c>
      <c r="D39" s="1037">
        <f>'Table 3 Levels 1&amp;2'!AL40</f>
        <v>5397.5678422891451</v>
      </c>
      <c r="E39" s="1139">
        <f t="shared" si="2"/>
        <v>0</v>
      </c>
      <c r="F39" s="1139">
        <f>'Table 4 Level 3'!P38</f>
        <v>655.31000000000006</v>
      </c>
      <c r="G39" s="1139">
        <f t="shared" si="3"/>
        <v>0</v>
      </c>
      <c r="H39" s="1094">
        <f t="shared" si="4"/>
        <v>0</v>
      </c>
      <c r="I39" s="1149">
        <f t="shared" si="5"/>
        <v>0</v>
      </c>
      <c r="J39" s="1094">
        <f t="shared" si="6"/>
        <v>0</v>
      </c>
      <c r="K39" s="1094">
        <v>0</v>
      </c>
      <c r="L39" s="1094">
        <f t="shared" si="7"/>
        <v>0</v>
      </c>
      <c r="M39" s="1094">
        <f t="shared" si="8"/>
        <v>0</v>
      </c>
      <c r="N39" s="1086">
        <f>'[8]FY2012-13 Initial'!$K40</f>
        <v>3055</v>
      </c>
      <c r="O39" s="1088">
        <f t="shared" si="9"/>
        <v>0</v>
      </c>
      <c r="P39" s="1155">
        <f t="shared" si="10"/>
        <v>0</v>
      </c>
      <c r="Q39" s="1088">
        <f t="shared" si="11"/>
        <v>0</v>
      </c>
      <c r="R39" s="1088">
        <v>0</v>
      </c>
      <c r="S39" s="1088">
        <f t="shared" si="12"/>
        <v>0</v>
      </c>
      <c r="T39" s="1088">
        <f t="shared" si="13"/>
        <v>0</v>
      </c>
      <c r="U39" s="1089">
        <f t="shared" si="14"/>
        <v>0</v>
      </c>
      <c r="V39" s="1089">
        <f t="shared" si="14"/>
        <v>0</v>
      </c>
    </row>
    <row r="40" spans="1:22">
      <c r="A40" s="1028">
        <v>34</v>
      </c>
      <c r="B40" s="1029" t="s">
        <v>135</v>
      </c>
      <c r="C40" s="1295">
        <f>'Table 8 2.1.12 MFP Funded'!Z37</f>
        <v>0</v>
      </c>
      <c r="D40" s="1037">
        <f>'Table 3 Levels 1&amp;2'!AL41</f>
        <v>5843.9642210290731</v>
      </c>
      <c r="E40" s="1139">
        <f t="shared" si="2"/>
        <v>0</v>
      </c>
      <c r="F40" s="1139">
        <f>'Table 4 Level 3'!P39</f>
        <v>644.11000000000013</v>
      </c>
      <c r="G40" s="1139">
        <f t="shared" si="3"/>
        <v>0</v>
      </c>
      <c r="H40" s="1094">
        <f t="shared" si="4"/>
        <v>0</v>
      </c>
      <c r="I40" s="1149">
        <f t="shared" si="5"/>
        <v>0</v>
      </c>
      <c r="J40" s="1094">
        <f t="shared" si="6"/>
        <v>0</v>
      </c>
      <c r="K40" s="1094">
        <v>0</v>
      </c>
      <c r="L40" s="1094">
        <f t="shared" si="7"/>
        <v>0</v>
      </c>
      <c r="M40" s="1094">
        <f t="shared" si="8"/>
        <v>0</v>
      </c>
      <c r="N40" s="1086">
        <f>'[8]FY2012-13 Initial'!$K41</f>
        <v>2782</v>
      </c>
      <c r="O40" s="1088">
        <f t="shared" si="9"/>
        <v>0</v>
      </c>
      <c r="P40" s="1155">
        <f t="shared" si="10"/>
        <v>0</v>
      </c>
      <c r="Q40" s="1088">
        <f t="shared" si="11"/>
        <v>0</v>
      </c>
      <c r="R40" s="1088">
        <v>0</v>
      </c>
      <c r="S40" s="1088">
        <f t="shared" si="12"/>
        <v>0</v>
      </c>
      <c r="T40" s="1088">
        <f t="shared" si="13"/>
        <v>0</v>
      </c>
      <c r="U40" s="1089">
        <f t="shared" si="14"/>
        <v>0</v>
      </c>
      <c r="V40" s="1089">
        <f t="shared" si="14"/>
        <v>0</v>
      </c>
    </row>
    <row r="41" spans="1:22">
      <c r="A41" s="1032">
        <v>35</v>
      </c>
      <c r="B41" s="1033" t="s">
        <v>136</v>
      </c>
      <c r="C41" s="1296">
        <f>'Table 8 2.1.12 MFP Funded'!Z38</f>
        <v>0</v>
      </c>
      <c r="D41" s="1039">
        <f>'Table 3 Levels 1&amp;2'!AL42</f>
        <v>4830.9633412658623</v>
      </c>
      <c r="E41" s="1140">
        <f t="shared" si="2"/>
        <v>0</v>
      </c>
      <c r="F41" s="1140">
        <f>'Table 4 Level 3'!P40</f>
        <v>537.96</v>
      </c>
      <c r="G41" s="1140">
        <f t="shared" si="3"/>
        <v>0</v>
      </c>
      <c r="H41" s="1095">
        <f t="shared" si="4"/>
        <v>0</v>
      </c>
      <c r="I41" s="1150">
        <f t="shared" si="5"/>
        <v>0</v>
      </c>
      <c r="J41" s="1095">
        <f t="shared" si="6"/>
        <v>0</v>
      </c>
      <c r="K41" s="1095">
        <v>0</v>
      </c>
      <c r="L41" s="1095">
        <f t="shared" si="7"/>
        <v>0</v>
      </c>
      <c r="M41" s="1095">
        <f t="shared" si="8"/>
        <v>0</v>
      </c>
      <c r="N41" s="1091">
        <f>'[8]FY2012-13 Initial'!$K42</f>
        <v>3175</v>
      </c>
      <c r="O41" s="1092">
        <f t="shared" si="9"/>
        <v>0</v>
      </c>
      <c r="P41" s="1156">
        <f t="shared" si="10"/>
        <v>0</v>
      </c>
      <c r="Q41" s="1092">
        <f t="shared" si="11"/>
        <v>0</v>
      </c>
      <c r="R41" s="1092">
        <v>0</v>
      </c>
      <c r="S41" s="1092">
        <f t="shared" si="12"/>
        <v>0</v>
      </c>
      <c r="T41" s="1092">
        <f t="shared" si="13"/>
        <v>0</v>
      </c>
      <c r="U41" s="1093">
        <f t="shared" si="14"/>
        <v>0</v>
      </c>
      <c r="V41" s="1093">
        <f t="shared" si="14"/>
        <v>0</v>
      </c>
    </row>
    <row r="42" spans="1:22">
      <c r="A42" s="1021">
        <v>36</v>
      </c>
      <c r="B42" s="1022" t="s">
        <v>137</v>
      </c>
      <c r="C42" s="1297">
        <f>'Table 8 2.1.12 MFP Funded'!Z39</f>
        <v>52</v>
      </c>
      <c r="D42" s="1041">
        <f>'Table 3 Levels 1&amp;2'!AL43</f>
        <v>3493.4615493208294</v>
      </c>
      <c r="E42" s="1141">
        <f t="shared" si="2"/>
        <v>181660.00056468311</v>
      </c>
      <c r="F42" s="1141">
        <f>'Table 5B1_RSD_Orleans'!F78</f>
        <v>746.0335616438357</v>
      </c>
      <c r="G42" s="1141">
        <f t="shared" si="3"/>
        <v>38793.745205479456</v>
      </c>
      <c r="H42" s="1096">
        <f t="shared" si="4"/>
        <v>220453.74577016255</v>
      </c>
      <c r="I42" s="1151">
        <f t="shared" si="5"/>
        <v>-551.13436442540637</v>
      </c>
      <c r="J42" s="1096">
        <f t="shared" si="6"/>
        <v>219902.61140573715</v>
      </c>
      <c r="K42" s="1096">
        <v>0</v>
      </c>
      <c r="L42" s="1096">
        <f t="shared" si="7"/>
        <v>219902.61140573715</v>
      </c>
      <c r="M42" s="1096">
        <f t="shared" si="8"/>
        <v>18325.217617144761</v>
      </c>
      <c r="N42" s="1086">
        <f>'[8]FY2012-13 Initial'!$K43</f>
        <v>4785</v>
      </c>
      <c r="O42" s="1026">
        <f t="shared" si="9"/>
        <v>248820</v>
      </c>
      <c r="P42" s="1154">
        <f t="shared" si="10"/>
        <v>-622.05000000000007</v>
      </c>
      <c r="Q42" s="1026">
        <f t="shared" si="11"/>
        <v>248197.95</v>
      </c>
      <c r="R42" s="1026">
        <v>0</v>
      </c>
      <c r="S42" s="1026">
        <f t="shared" si="12"/>
        <v>248197.95</v>
      </c>
      <c r="T42" s="1026">
        <f t="shared" si="13"/>
        <v>20683.162500000002</v>
      </c>
      <c r="U42" s="1027">
        <f t="shared" si="14"/>
        <v>468100.56140573719</v>
      </c>
      <c r="V42" s="1027">
        <f t="shared" si="14"/>
        <v>39008.380117144763</v>
      </c>
    </row>
    <row r="43" spans="1:22">
      <c r="A43" s="1028">
        <v>37</v>
      </c>
      <c r="B43" s="1029" t="s">
        <v>138</v>
      </c>
      <c r="C43" s="1295">
        <f>'Table 8 2.1.12 MFP Funded'!Z40</f>
        <v>0</v>
      </c>
      <c r="D43" s="1037">
        <f>'Table 3 Levels 1&amp;2'!AL44</f>
        <v>5484.3026094077886</v>
      </c>
      <c r="E43" s="1139">
        <f t="shared" si="2"/>
        <v>0</v>
      </c>
      <c r="F43" s="1139">
        <f>'Table 4 Level 3'!P42</f>
        <v>653.61</v>
      </c>
      <c r="G43" s="1139">
        <f t="shared" si="3"/>
        <v>0</v>
      </c>
      <c r="H43" s="1094">
        <f t="shared" si="4"/>
        <v>0</v>
      </c>
      <c r="I43" s="1149">
        <f t="shared" si="5"/>
        <v>0</v>
      </c>
      <c r="J43" s="1094">
        <f t="shared" si="6"/>
        <v>0</v>
      </c>
      <c r="K43" s="1094">
        <v>0</v>
      </c>
      <c r="L43" s="1094">
        <f t="shared" si="7"/>
        <v>0</v>
      </c>
      <c r="M43" s="1094">
        <f t="shared" si="8"/>
        <v>0</v>
      </c>
      <c r="N43" s="1086">
        <f>'[8]FY2012-13 Initial'!$K44</f>
        <v>3112</v>
      </c>
      <c r="O43" s="1088">
        <f t="shared" si="9"/>
        <v>0</v>
      </c>
      <c r="P43" s="1155">
        <f t="shared" si="10"/>
        <v>0</v>
      </c>
      <c r="Q43" s="1088">
        <f t="shared" si="11"/>
        <v>0</v>
      </c>
      <c r="R43" s="1088">
        <v>0</v>
      </c>
      <c r="S43" s="1088">
        <f t="shared" si="12"/>
        <v>0</v>
      </c>
      <c r="T43" s="1088">
        <f t="shared" si="13"/>
        <v>0</v>
      </c>
      <c r="U43" s="1089">
        <f t="shared" si="14"/>
        <v>0</v>
      </c>
      <c r="V43" s="1089">
        <f t="shared" si="14"/>
        <v>0</v>
      </c>
    </row>
    <row r="44" spans="1:22">
      <c r="A44" s="1028">
        <v>38</v>
      </c>
      <c r="B44" s="1029" t="s">
        <v>139</v>
      </c>
      <c r="C44" s="1295">
        <f>'Table 8 2.1.12 MFP Funded'!Z41</f>
        <v>5</v>
      </c>
      <c r="D44" s="1037">
        <f>'Table 3 Levels 1&amp;2'!AL45</f>
        <v>2191.7415364583335</v>
      </c>
      <c r="E44" s="1139">
        <f t="shared" si="2"/>
        <v>10958.707682291668</v>
      </c>
      <c r="F44" s="1139">
        <f>'Table 4 Level 3'!P43</f>
        <v>829.92000000000007</v>
      </c>
      <c r="G44" s="1139">
        <f t="shared" si="3"/>
        <v>4149.6000000000004</v>
      </c>
      <c r="H44" s="1094">
        <f t="shared" si="4"/>
        <v>15108.307682291668</v>
      </c>
      <c r="I44" s="1149">
        <f t="shared" si="5"/>
        <v>-37.770769205729174</v>
      </c>
      <c r="J44" s="1094">
        <f t="shared" si="6"/>
        <v>15070.53691308594</v>
      </c>
      <c r="K44" s="1094">
        <v>0</v>
      </c>
      <c r="L44" s="1094">
        <f t="shared" si="7"/>
        <v>15070.53691308594</v>
      </c>
      <c r="M44" s="1094">
        <f t="shared" si="8"/>
        <v>1255.8780760904949</v>
      </c>
      <c r="N44" s="1086">
        <f>'[8]FY2012-13 Initial'!$K45</f>
        <v>9771</v>
      </c>
      <c r="O44" s="1088">
        <f t="shared" si="9"/>
        <v>48855</v>
      </c>
      <c r="P44" s="1155">
        <f t="shared" si="10"/>
        <v>-122.1375</v>
      </c>
      <c r="Q44" s="1088">
        <f t="shared" si="11"/>
        <v>48732.862500000003</v>
      </c>
      <c r="R44" s="1088">
        <v>0</v>
      </c>
      <c r="S44" s="1088">
        <f t="shared" si="12"/>
        <v>48732.862500000003</v>
      </c>
      <c r="T44" s="1088">
        <f t="shared" si="13"/>
        <v>4061.0718750000001</v>
      </c>
      <c r="U44" s="1089">
        <f t="shared" si="14"/>
        <v>63803.399413085943</v>
      </c>
      <c r="V44" s="1089">
        <f t="shared" si="14"/>
        <v>5316.9499510904952</v>
      </c>
    </row>
    <row r="45" spans="1:22">
      <c r="A45" s="1028">
        <v>39</v>
      </c>
      <c r="B45" s="1029" t="s">
        <v>140</v>
      </c>
      <c r="C45" s="1295">
        <f>'Table 8 2.1.12 MFP Funded'!Z42</f>
        <v>0</v>
      </c>
      <c r="D45" s="1037">
        <f>'Table 3 Levels 1&amp;2'!AL46</f>
        <v>3686.1886996918806</v>
      </c>
      <c r="E45" s="1139">
        <f t="shared" si="2"/>
        <v>0</v>
      </c>
      <c r="F45" s="1139">
        <f>'Table 5B2_RSD_LA'!F21</f>
        <v>779.65573042776441</v>
      </c>
      <c r="G45" s="1139">
        <f t="shared" si="3"/>
        <v>0</v>
      </c>
      <c r="H45" s="1094">
        <f t="shared" si="4"/>
        <v>0</v>
      </c>
      <c r="I45" s="1149">
        <f t="shared" si="5"/>
        <v>0</v>
      </c>
      <c r="J45" s="1094">
        <f t="shared" si="6"/>
        <v>0</v>
      </c>
      <c r="K45" s="1094">
        <v>0</v>
      </c>
      <c r="L45" s="1094">
        <f t="shared" si="7"/>
        <v>0</v>
      </c>
      <c r="M45" s="1094">
        <f t="shared" si="8"/>
        <v>0</v>
      </c>
      <c r="N45" s="1086">
        <f>'[8]FY2012-13 Initial'!$K46</f>
        <v>4190</v>
      </c>
      <c r="O45" s="1088">
        <f t="shared" si="9"/>
        <v>0</v>
      </c>
      <c r="P45" s="1155">
        <f t="shared" si="10"/>
        <v>0</v>
      </c>
      <c r="Q45" s="1088">
        <f t="shared" si="11"/>
        <v>0</v>
      </c>
      <c r="R45" s="1088">
        <v>0</v>
      </c>
      <c r="S45" s="1088">
        <f t="shared" si="12"/>
        <v>0</v>
      </c>
      <c r="T45" s="1088">
        <f t="shared" si="13"/>
        <v>0</v>
      </c>
      <c r="U45" s="1089">
        <f t="shared" si="14"/>
        <v>0</v>
      </c>
      <c r="V45" s="1089">
        <f t="shared" si="14"/>
        <v>0</v>
      </c>
    </row>
    <row r="46" spans="1:22">
      <c r="A46" s="1032">
        <v>40</v>
      </c>
      <c r="B46" s="1033" t="s">
        <v>141</v>
      </c>
      <c r="C46" s="1296">
        <f>'Table 8 2.1.12 MFP Funded'!Z43</f>
        <v>0</v>
      </c>
      <c r="D46" s="1039">
        <f>'Table 3 Levels 1&amp;2'!AL47</f>
        <v>4879.0185326187402</v>
      </c>
      <c r="E46" s="1140">
        <f t="shared" si="2"/>
        <v>0</v>
      </c>
      <c r="F46" s="1140">
        <f>'Table 4 Level 3'!P45</f>
        <v>700.2700000000001</v>
      </c>
      <c r="G46" s="1140">
        <f t="shared" si="3"/>
        <v>0</v>
      </c>
      <c r="H46" s="1095">
        <f t="shared" si="4"/>
        <v>0</v>
      </c>
      <c r="I46" s="1150">
        <f t="shared" si="5"/>
        <v>0</v>
      </c>
      <c r="J46" s="1095">
        <f t="shared" si="6"/>
        <v>0</v>
      </c>
      <c r="K46" s="1095">
        <v>0</v>
      </c>
      <c r="L46" s="1095">
        <f t="shared" si="7"/>
        <v>0</v>
      </c>
      <c r="M46" s="1095">
        <f t="shared" si="8"/>
        <v>0</v>
      </c>
      <c r="N46" s="1091">
        <f>'[8]FY2012-13 Initial'!$K47</f>
        <v>2887</v>
      </c>
      <c r="O46" s="1092">
        <f t="shared" si="9"/>
        <v>0</v>
      </c>
      <c r="P46" s="1156">
        <f t="shared" si="10"/>
        <v>0</v>
      </c>
      <c r="Q46" s="1092">
        <f t="shared" si="11"/>
        <v>0</v>
      </c>
      <c r="R46" s="1092">
        <v>0</v>
      </c>
      <c r="S46" s="1092">
        <f t="shared" si="12"/>
        <v>0</v>
      </c>
      <c r="T46" s="1092">
        <f t="shared" si="13"/>
        <v>0</v>
      </c>
      <c r="U46" s="1093">
        <f t="shared" si="14"/>
        <v>0</v>
      </c>
      <c r="V46" s="1093">
        <f t="shared" si="14"/>
        <v>0</v>
      </c>
    </row>
    <row r="47" spans="1:22">
      <c r="A47" s="1021">
        <v>41</v>
      </c>
      <c r="B47" s="1022" t="s">
        <v>142</v>
      </c>
      <c r="C47" s="1297">
        <f>'Table 8 2.1.12 MFP Funded'!Z44</f>
        <v>0</v>
      </c>
      <c r="D47" s="1041">
        <f>'Table 3 Levels 1&amp;2'!AL48</f>
        <v>1608.4303482587065</v>
      </c>
      <c r="E47" s="1141">
        <f t="shared" si="2"/>
        <v>0</v>
      </c>
      <c r="F47" s="1141">
        <f>'Table 4 Level 3'!P46</f>
        <v>886.22</v>
      </c>
      <c r="G47" s="1141">
        <f t="shared" si="3"/>
        <v>0</v>
      </c>
      <c r="H47" s="1096">
        <f t="shared" si="4"/>
        <v>0</v>
      </c>
      <c r="I47" s="1151">
        <f t="shared" si="5"/>
        <v>0</v>
      </c>
      <c r="J47" s="1096">
        <f t="shared" si="6"/>
        <v>0</v>
      </c>
      <c r="K47" s="1096">
        <v>0</v>
      </c>
      <c r="L47" s="1096">
        <f t="shared" si="7"/>
        <v>0</v>
      </c>
      <c r="M47" s="1096">
        <f t="shared" si="8"/>
        <v>0</v>
      </c>
      <c r="N47" s="1086">
        <f>'[8]FY2012-13 Initial'!$K48</f>
        <v>12470</v>
      </c>
      <c r="O47" s="1026">
        <f t="shared" si="9"/>
        <v>0</v>
      </c>
      <c r="P47" s="1154">
        <f t="shared" si="10"/>
        <v>0</v>
      </c>
      <c r="Q47" s="1026">
        <f t="shared" si="11"/>
        <v>0</v>
      </c>
      <c r="R47" s="1026">
        <v>0</v>
      </c>
      <c r="S47" s="1026">
        <f t="shared" si="12"/>
        <v>0</v>
      </c>
      <c r="T47" s="1026">
        <f t="shared" si="13"/>
        <v>0</v>
      </c>
      <c r="U47" s="1027">
        <f t="shared" si="14"/>
        <v>0</v>
      </c>
      <c r="V47" s="1027">
        <f t="shared" si="14"/>
        <v>0</v>
      </c>
    </row>
    <row r="48" spans="1:22">
      <c r="A48" s="1028">
        <v>42</v>
      </c>
      <c r="B48" s="1029" t="s">
        <v>143</v>
      </c>
      <c r="C48" s="1295">
        <f>'Table 8 2.1.12 MFP Funded'!Z45</f>
        <v>0</v>
      </c>
      <c r="D48" s="1037">
        <f>'Table 3 Levels 1&amp;2'!AL49</f>
        <v>5260.3047779801664</v>
      </c>
      <c r="E48" s="1139">
        <f t="shared" si="2"/>
        <v>0</v>
      </c>
      <c r="F48" s="1139">
        <f>'Table 4 Level 3'!P47</f>
        <v>534.28</v>
      </c>
      <c r="G48" s="1139">
        <f t="shared" si="3"/>
        <v>0</v>
      </c>
      <c r="H48" s="1094">
        <f t="shared" si="4"/>
        <v>0</v>
      </c>
      <c r="I48" s="1149">
        <f t="shared" si="5"/>
        <v>0</v>
      </c>
      <c r="J48" s="1094">
        <f t="shared" si="6"/>
        <v>0</v>
      </c>
      <c r="K48" s="1094">
        <v>0</v>
      </c>
      <c r="L48" s="1094">
        <f t="shared" si="7"/>
        <v>0</v>
      </c>
      <c r="M48" s="1094">
        <f t="shared" si="8"/>
        <v>0</v>
      </c>
      <c r="N48" s="1086">
        <f>'[8]FY2012-13 Initial'!$K49</f>
        <v>2353</v>
      </c>
      <c r="O48" s="1088">
        <f t="shared" si="9"/>
        <v>0</v>
      </c>
      <c r="P48" s="1155">
        <f t="shared" si="10"/>
        <v>0</v>
      </c>
      <c r="Q48" s="1088">
        <f t="shared" si="11"/>
        <v>0</v>
      </c>
      <c r="R48" s="1088">
        <v>0</v>
      </c>
      <c r="S48" s="1088">
        <f t="shared" si="12"/>
        <v>0</v>
      </c>
      <c r="T48" s="1088">
        <f t="shared" si="13"/>
        <v>0</v>
      </c>
      <c r="U48" s="1089">
        <f t="shared" si="14"/>
        <v>0</v>
      </c>
      <c r="V48" s="1089">
        <f t="shared" si="14"/>
        <v>0</v>
      </c>
    </row>
    <row r="49" spans="1:22">
      <c r="A49" s="1028">
        <v>43</v>
      </c>
      <c r="B49" s="1029" t="s">
        <v>144</v>
      </c>
      <c r="C49" s="1295">
        <f>'Table 8 2.1.12 MFP Funded'!Z46</f>
        <v>0</v>
      </c>
      <c r="D49" s="1037">
        <f>'Table 3 Levels 1&amp;2'!AL50</f>
        <v>5587.3492327608728</v>
      </c>
      <c r="E49" s="1139">
        <f t="shared" si="2"/>
        <v>0</v>
      </c>
      <c r="F49" s="1139">
        <f>'Table 4 Level 3'!P48</f>
        <v>574.6099999999999</v>
      </c>
      <c r="G49" s="1139">
        <f t="shared" si="3"/>
        <v>0</v>
      </c>
      <c r="H49" s="1094">
        <f t="shared" si="4"/>
        <v>0</v>
      </c>
      <c r="I49" s="1149">
        <f t="shared" si="5"/>
        <v>0</v>
      </c>
      <c r="J49" s="1094">
        <f t="shared" si="6"/>
        <v>0</v>
      </c>
      <c r="K49" s="1094">
        <v>0</v>
      </c>
      <c r="L49" s="1094">
        <f t="shared" si="7"/>
        <v>0</v>
      </c>
      <c r="M49" s="1094">
        <f t="shared" si="8"/>
        <v>0</v>
      </c>
      <c r="N49" s="1086">
        <f>'[8]FY2012-13 Initial'!$K50</f>
        <v>5599</v>
      </c>
      <c r="O49" s="1088">
        <f t="shared" si="9"/>
        <v>0</v>
      </c>
      <c r="P49" s="1155">
        <f t="shared" si="10"/>
        <v>0</v>
      </c>
      <c r="Q49" s="1088">
        <f t="shared" si="11"/>
        <v>0</v>
      </c>
      <c r="R49" s="1088">
        <v>0</v>
      </c>
      <c r="S49" s="1088">
        <f t="shared" si="12"/>
        <v>0</v>
      </c>
      <c r="T49" s="1088">
        <f t="shared" si="13"/>
        <v>0</v>
      </c>
      <c r="U49" s="1089">
        <f t="shared" si="14"/>
        <v>0</v>
      </c>
      <c r="V49" s="1089">
        <f t="shared" si="14"/>
        <v>0</v>
      </c>
    </row>
    <row r="50" spans="1:22">
      <c r="A50" s="1028">
        <v>44</v>
      </c>
      <c r="B50" s="1029" t="s">
        <v>145</v>
      </c>
      <c r="C50" s="1295">
        <f>'Table 8 2.1.12 MFP Funded'!Z47</f>
        <v>0</v>
      </c>
      <c r="D50" s="1037">
        <f>'Table 3 Levels 1&amp;2'!AL51</f>
        <v>4113.1787591918992</v>
      </c>
      <c r="E50" s="1139">
        <f t="shared" si="2"/>
        <v>0</v>
      </c>
      <c r="F50" s="1139">
        <f>'Table 4 Level 3'!P49</f>
        <v>663.16000000000008</v>
      </c>
      <c r="G50" s="1139">
        <f t="shared" si="3"/>
        <v>0</v>
      </c>
      <c r="H50" s="1094">
        <f t="shared" si="4"/>
        <v>0</v>
      </c>
      <c r="I50" s="1149">
        <f t="shared" si="5"/>
        <v>0</v>
      </c>
      <c r="J50" s="1094">
        <f t="shared" si="6"/>
        <v>0</v>
      </c>
      <c r="K50" s="1094">
        <v>0</v>
      </c>
      <c r="L50" s="1094">
        <f t="shared" si="7"/>
        <v>0</v>
      </c>
      <c r="M50" s="1094">
        <f t="shared" si="8"/>
        <v>0</v>
      </c>
      <c r="N50" s="1086">
        <f>'[8]FY2012-13 Initial'!$K51</f>
        <v>4661</v>
      </c>
      <c r="O50" s="1088">
        <f t="shared" si="9"/>
        <v>0</v>
      </c>
      <c r="P50" s="1155">
        <f t="shared" si="10"/>
        <v>0</v>
      </c>
      <c r="Q50" s="1088">
        <f t="shared" si="11"/>
        <v>0</v>
      </c>
      <c r="R50" s="1088">
        <v>0</v>
      </c>
      <c r="S50" s="1088">
        <f t="shared" si="12"/>
        <v>0</v>
      </c>
      <c r="T50" s="1088">
        <f t="shared" si="13"/>
        <v>0</v>
      </c>
      <c r="U50" s="1089">
        <f t="shared" si="14"/>
        <v>0</v>
      </c>
      <c r="V50" s="1089">
        <f t="shared" si="14"/>
        <v>0</v>
      </c>
    </row>
    <row r="51" spans="1:22">
      <c r="A51" s="1032">
        <v>45</v>
      </c>
      <c r="B51" s="1033" t="s">
        <v>146</v>
      </c>
      <c r="C51" s="1296">
        <f>'Table 8 2.1.12 MFP Funded'!Z48</f>
        <v>1</v>
      </c>
      <c r="D51" s="1039">
        <f>'Table 3 Levels 1&amp;2'!AL52</f>
        <v>2414.8479898164846</v>
      </c>
      <c r="E51" s="1140">
        <f t="shared" si="2"/>
        <v>2414.8479898164846</v>
      </c>
      <c r="F51" s="1140">
        <f>'Table 4 Level 3'!P50</f>
        <v>753.96000000000015</v>
      </c>
      <c r="G51" s="1140">
        <f t="shared" si="3"/>
        <v>753.96000000000015</v>
      </c>
      <c r="H51" s="1095">
        <f t="shared" si="4"/>
        <v>3168.8079898164847</v>
      </c>
      <c r="I51" s="1150">
        <f t="shared" si="5"/>
        <v>-7.9220199745412119</v>
      </c>
      <c r="J51" s="1095">
        <f t="shared" si="6"/>
        <v>3160.8859698419433</v>
      </c>
      <c r="K51" s="1095">
        <v>0</v>
      </c>
      <c r="L51" s="1095">
        <f t="shared" si="7"/>
        <v>3160.8859698419433</v>
      </c>
      <c r="M51" s="1095">
        <f t="shared" si="8"/>
        <v>263.40716415349527</v>
      </c>
      <c r="N51" s="1091">
        <f>'[8]FY2012-13 Initial'!$K52</f>
        <v>11650</v>
      </c>
      <c r="O51" s="1092">
        <f t="shared" si="9"/>
        <v>11650</v>
      </c>
      <c r="P51" s="1156">
        <f t="shared" si="10"/>
        <v>-29.125</v>
      </c>
      <c r="Q51" s="1092">
        <f t="shared" si="11"/>
        <v>11620.875</v>
      </c>
      <c r="R51" s="1092">
        <v>0</v>
      </c>
      <c r="S51" s="1092">
        <f t="shared" si="12"/>
        <v>11620.875</v>
      </c>
      <c r="T51" s="1092">
        <f t="shared" si="13"/>
        <v>968.40625</v>
      </c>
      <c r="U51" s="1093">
        <f t="shared" si="14"/>
        <v>14781.760969841944</v>
      </c>
      <c r="V51" s="1093">
        <f t="shared" si="14"/>
        <v>1231.8134141534952</v>
      </c>
    </row>
    <row r="52" spans="1:22">
      <c r="A52" s="1021">
        <v>46</v>
      </c>
      <c r="B52" s="1022" t="s">
        <v>147</v>
      </c>
      <c r="C52" s="1297">
        <f>'Table 8 2.1.12 MFP Funded'!Z49</f>
        <v>0</v>
      </c>
      <c r="D52" s="1041">
        <f>'Table 3 Levels 1&amp;2'!AL53</f>
        <v>5765.0314518803261</v>
      </c>
      <c r="E52" s="1141">
        <f t="shared" si="2"/>
        <v>0</v>
      </c>
      <c r="F52" s="1141">
        <f>'Table 4 Level 3'!P51</f>
        <v>728.06</v>
      </c>
      <c r="G52" s="1141">
        <f t="shared" si="3"/>
        <v>0</v>
      </c>
      <c r="H52" s="1096">
        <f t="shared" si="4"/>
        <v>0</v>
      </c>
      <c r="I52" s="1151">
        <f t="shared" si="5"/>
        <v>0</v>
      </c>
      <c r="J52" s="1096">
        <f t="shared" si="6"/>
        <v>0</v>
      </c>
      <c r="K52" s="1096">
        <v>0</v>
      </c>
      <c r="L52" s="1096">
        <f t="shared" si="7"/>
        <v>0</v>
      </c>
      <c r="M52" s="1096">
        <f t="shared" si="8"/>
        <v>0</v>
      </c>
      <c r="N52" s="1086">
        <f>'[8]FY2012-13 Initial'!$K53</f>
        <v>1789</v>
      </c>
      <c r="O52" s="1026">
        <f t="shared" si="9"/>
        <v>0</v>
      </c>
      <c r="P52" s="1154">
        <f t="shared" si="10"/>
        <v>0</v>
      </c>
      <c r="Q52" s="1026">
        <f t="shared" si="11"/>
        <v>0</v>
      </c>
      <c r="R52" s="1026">
        <v>0</v>
      </c>
      <c r="S52" s="1026">
        <f t="shared" si="12"/>
        <v>0</v>
      </c>
      <c r="T52" s="1026">
        <f t="shared" si="13"/>
        <v>0</v>
      </c>
      <c r="U52" s="1027">
        <f t="shared" si="14"/>
        <v>0</v>
      </c>
      <c r="V52" s="1027">
        <f t="shared" si="14"/>
        <v>0</v>
      </c>
    </row>
    <row r="53" spans="1:22">
      <c r="A53" s="1028">
        <v>47</v>
      </c>
      <c r="B53" s="1029" t="s">
        <v>148</v>
      </c>
      <c r="C53" s="1295">
        <f>'Table 8 2.1.12 MFP Funded'!Z50</f>
        <v>0</v>
      </c>
      <c r="D53" s="1037">
        <f>'Table 3 Levels 1&amp;2'!AL54</f>
        <v>3186.1712081166847</v>
      </c>
      <c r="E53" s="1139">
        <f t="shared" si="2"/>
        <v>0</v>
      </c>
      <c r="F53" s="1139">
        <f>'Table 4 Level 3'!P52</f>
        <v>910.76</v>
      </c>
      <c r="G53" s="1139">
        <f t="shared" si="3"/>
        <v>0</v>
      </c>
      <c r="H53" s="1094">
        <f t="shared" si="4"/>
        <v>0</v>
      </c>
      <c r="I53" s="1149">
        <f t="shared" si="5"/>
        <v>0</v>
      </c>
      <c r="J53" s="1094">
        <f t="shared" si="6"/>
        <v>0</v>
      </c>
      <c r="K53" s="1094">
        <v>0</v>
      </c>
      <c r="L53" s="1094">
        <f t="shared" si="7"/>
        <v>0</v>
      </c>
      <c r="M53" s="1094">
        <f t="shared" si="8"/>
        <v>0</v>
      </c>
      <c r="N53" s="1086">
        <f>'[8]FY2012-13 Initial'!$K54</f>
        <v>9947</v>
      </c>
      <c r="O53" s="1088">
        <f t="shared" si="9"/>
        <v>0</v>
      </c>
      <c r="P53" s="1155">
        <f t="shared" si="10"/>
        <v>0</v>
      </c>
      <c r="Q53" s="1088">
        <f t="shared" si="11"/>
        <v>0</v>
      </c>
      <c r="R53" s="1088">
        <v>0</v>
      </c>
      <c r="S53" s="1088">
        <f t="shared" si="12"/>
        <v>0</v>
      </c>
      <c r="T53" s="1088">
        <f t="shared" si="13"/>
        <v>0</v>
      </c>
      <c r="U53" s="1089">
        <f t="shared" si="14"/>
        <v>0</v>
      </c>
      <c r="V53" s="1089">
        <f t="shared" si="14"/>
        <v>0</v>
      </c>
    </row>
    <row r="54" spans="1:22">
      <c r="A54" s="1028">
        <v>48</v>
      </c>
      <c r="B54" s="1029" t="s">
        <v>222</v>
      </c>
      <c r="C54" s="1295">
        <f>'Table 8 2.1.12 MFP Funded'!Z51</f>
        <v>0</v>
      </c>
      <c r="D54" s="1037">
        <f>'Table 3 Levels 1&amp;2'!AL55</f>
        <v>4260.4872196136057</v>
      </c>
      <c r="E54" s="1139">
        <f t="shared" si="2"/>
        <v>0</v>
      </c>
      <c r="F54" s="1139">
        <f>'Table 4 Level 3'!P53</f>
        <v>871.07</v>
      </c>
      <c r="G54" s="1139">
        <f t="shared" si="3"/>
        <v>0</v>
      </c>
      <c r="H54" s="1094">
        <f t="shared" si="4"/>
        <v>0</v>
      </c>
      <c r="I54" s="1149">
        <f t="shared" si="5"/>
        <v>0</v>
      </c>
      <c r="J54" s="1094">
        <f t="shared" si="6"/>
        <v>0</v>
      </c>
      <c r="K54" s="1094">
        <v>0</v>
      </c>
      <c r="L54" s="1094">
        <f t="shared" si="7"/>
        <v>0</v>
      </c>
      <c r="M54" s="1094">
        <f t="shared" si="8"/>
        <v>0</v>
      </c>
      <c r="N54" s="1086">
        <f>'[8]FY2012-13 Initial'!$K55</f>
        <v>5325</v>
      </c>
      <c r="O54" s="1088">
        <f t="shared" si="9"/>
        <v>0</v>
      </c>
      <c r="P54" s="1155">
        <f t="shared" si="10"/>
        <v>0</v>
      </c>
      <c r="Q54" s="1088">
        <f t="shared" si="11"/>
        <v>0</v>
      </c>
      <c r="R54" s="1088">
        <v>0</v>
      </c>
      <c r="S54" s="1088">
        <f t="shared" si="12"/>
        <v>0</v>
      </c>
      <c r="T54" s="1088">
        <f t="shared" si="13"/>
        <v>0</v>
      </c>
      <c r="U54" s="1089">
        <f t="shared" si="14"/>
        <v>0</v>
      </c>
      <c r="V54" s="1089">
        <f t="shared" si="14"/>
        <v>0</v>
      </c>
    </row>
    <row r="55" spans="1:22">
      <c r="A55" s="1028">
        <v>49</v>
      </c>
      <c r="B55" s="1029" t="s">
        <v>149</v>
      </c>
      <c r="C55" s="1295">
        <f>'Table 8 2.1.12 MFP Funded'!Z52</f>
        <v>0</v>
      </c>
      <c r="D55" s="1037">
        <f>'Table 3 Levels 1&amp;2'!AL56</f>
        <v>4800.2172145077111</v>
      </c>
      <c r="E55" s="1139">
        <f t="shared" si="2"/>
        <v>0</v>
      </c>
      <c r="F55" s="1139">
        <f>'Table 4 Level 3'!P54</f>
        <v>574.43999999999994</v>
      </c>
      <c r="G55" s="1139">
        <f t="shared" si="3"/>
        <v>0</v>
      </c>
      <c r="H55" s="1094">
        <f t="shared" si="4"/>
        <v>0</v>
      </c>
      <c r="I55" s="1149">
        <f t="shared" si="5"/>
        <v>0</v>
      </c>
      <c r="J55" s="1094">
        <f t="shared" si="6"/>
        <v>0</v>
      </c>
      <c r="K55" s="1094">
        <v>0</v>
      </c>
      <c r="L55" s="1094">
        <f t="shared" si="7"/>
        <v>0</v>
      </c>
      <c r="M55" s="1094">
        <f t="shared" si="8"/>
        <v>0</v>
      </c>
      <c r="N55" s="1086">
        <f>'[8]FY2012-13 Initial'!$K56</f>
        <v>2326</v>
      </c>
      <c r="O55" s="1088">
        <f t="shared" si="9"/>
        <v>0</v>
      </c>
      <c r="P55" s="1155">
        <f t="shared" si="10"/>
        <v>0</v>
      </c>
      <c r="Q55" s="1088">
        <f t="shared" si="11"/>
        <v>0</v>
      </c>
      <c r="R55" s="1088">
        <v>0</v>
      </c>
      <c r="S55" s="1088">
        <f t="shared" si="12"/>
        <v>0</v>
      </c>
      <c r="T55" s="1088">
        <f t="shared" si="13"/>
        <v>0</v>
      </c>
      <c r="U55" s="1089">
        <f t="shared" si="14"/>
        <v>0</v>
      </c>
      <c r="V55" s="1089">
        <f t="shared" si="14"/>
        <v>0</v>
      </c>
    </row>
    <row r="56" spans="1:22">
      <c r="A56" s="1032">
        <v>50</v>
      </c>
      <c r="B56" s="1033" t="s">
        <v>150</v>
      </c>
      <c r="C56" s="1296">
        <f>'Table 8 2.1.12 MFP Funded'!Z53</f>
        <v>0</v>
      </c>
      <c r="D56" s="1039">
        <f>'Table 3 Levels 1&amp;2'!AL57</f>
        <v>5059.523754419537</v>
      </c>
      <c r="E56" s="1140">
        <f t="shared" si="2"/>
        <v>0</v>
      </c>
      <c r="F56" s="1140">
        <f>'Table 4 Level 3'!P55</f>
        <v>634.46</v>
      </c>
      <c r="G56" s="1140">
        <f t="shared" si="3"/>
        <v>0</v>
      </c>
      <c r="H56" s="1095">
        <f t="shared" si="4"/>
        <v>0</v>
      </c>
      <c r="I56" s="1150">
        <f t="shared" si="5"/>
        <v>0</v>
      </c>
      <c r="J56" s="1095">
        <f t="shared" si="6"/>
        <v>0</v>
      </c>
      <c r="K56" s="1095">
        <v>0</v>
      </c>
      <c r="L56" s="1095">
        <f t="shared" si="7"/>
        <v>0</v>
      </c>
      <c r="M56" s="1095">
        <f t="shared" si="8"/>
        <v>0</v>
      </c>
      <c r="N56" s="1091">
        <f>'[8]FY2012-13 Initial'!$K57</f>
        <v>2574</v>
      </c>
      <c r="O56" s="1092">
        <f t="shared" si="9"/>
        <v>0</v>
      </c>
      <c r="P56" s="1156">
        <f t="shared" si="10"/>
        <v>0</v>
      </c>
      <c r="Q56" s="1092">
        <f t="shared" si="11"/>
        <v>0</v>
      </c>
      <c r="R56" s="1092">
        <v>0</v>
      </c>
      <c r="S56" s="1092">
        <f t="shared" si="12"/>
        <v>0</v>
      </c>
      <c r="T56" s="1092">
        <f t="shared" si="13"/>
        <v>0</v>
      </c>
      <c r="U56" s="1093">
        <f t="shared" si="14"/>
        <v>0</v>
      </c>
      <c r="V56" s="1093">
        <f t="shared" si="14"/>
        <v>0</v>
      </c>
    </row>
    <row r="57" spans="1:22">
      <c r="A57" s="1021">
        <v>51</v>
      </c>
      <c r="B57" s="1022" t="s">
        <v>151</v>
      </c>
      <c r="C57" s="1297">
        <f>'Table 8 2.1.12 MFP Funded'!Z54</f>
        <v>0</v>
      </c>
      <c r="D57" s="1041">
        <f>'Table 3 Levels 1&amp;2'!AL58</f>
        <v>4384.0477116019692</v>
      </c>
      <c r="E57" s="1141">
        <f t="shared" si="2"/>
        <v>0</v>
      </c>
      <c r="F57" s="1141">
        <f>'Table 4 Level 3'!P56</f>
        <v>706.66</v>
      </c>
      <c r="G57" s="1141">
        <f t="shared" si="3"/>
        <v>0</v>
      </c>
      <c r="H57" s="1096">
        <f t="shared" si="4"/>
        <v>0</v>
      </c>
      <c r="I57" s="1151">
        <f t="shared" si="5"/>
        <v>0</v>
      </c>
      <c r="J57" s="1096">
        <f t="shared" si="6"/>
        <v>0</v>
      </c>
      <c r="K57" s="1096">
        <v>0</v>
      </c>
      <c r="L57" s="1096">
        <f t="shared" si="7"/>
        <v>0</v>
      </c>
      <c r="M57" s="1096">
        <f t="shared" si="8"/>
        <v>0</v>
      </c>
      <c r="N57" s="1086">
        <f>'[8]FY2012-13 Initial'!$K58</f>
        <v>3943</v>
      </c>
      <c r="O57" s="1026">
        <f t="shared" si="9"/>
        <v>0</v>
      </c>
      <c r="P57" s="1154">
        <f t="shared" si="10"/>
        <v>0</v>
      </c>
      <c r="Q57" s="1026">
        <f t="shared" si="11"/>
        <v>0</v>
      </c>
      <c r="R57" s="1026">
        <v>0</v>
      </c>
      <c r="S57" s="1026">
        <f t="shared" si="12"/>
        <v>0</v>
      </c>
      <c r="T57" s="1026">
        <f t="shared" si="13"/>
        <v>0</v>
      </c>
      <c r="U57" s="1027">
        <f t="shared" si="14"/>
        <v>0</v>
      </c>
      <c r="V57" s="1027">
        <f t="shared" si="14"/>
        <v>0</v>
      </c>
    </row>
    <row r="58" spans="1:22">
      <c r="A58" s="1028">
        <v>52</v>
      </c>
      <c r="B58" s="1029" t="s">
        <v>152</v>
      </c>
      <c r="C58" s="1295">
        <f>'Table 8 2.1.12 MFP Funded'!Z55</f>
        <v>1</v>
      </c>
      <c r="D58" s="1037">
        <f>'Table 3 Levels 1&amp;2'!AL59</f>
        <v>4920.0697942988754</v>
      </c>
      <c r="E58" s="1139">
        <f t="shared" si="2"/>
        <v>4920.0697942988754</v>
      </c>
      <c r="F58" s="1139">
        <f>'Table 4 Level 3'!P57</f>
        <v>658.37</v>
      </c>
      <c r="G58" s="1139">
        <f t="shared" si="3"/>
        <v>658.37</v>
      </c>
      <c r="H58" s="1094">
        <f t="shared" si="4"/>
        <v>5578.4397942988753</v>
      </c>
      <c r="I58" s="1149">
        <f t="shared" si="5"/>
        <v>-13.946099485747188</v>
      </c>
      <c r="J58" s="1094">
        <f t="shared" si="6"/>
        <v>5564.4936948131281</v>
      </c>
      <c r="K58" s="1094">
        <v>0</v>
      </c>
      <c r="L58" s="1094">
        <f t="shared" si="7"/>
        <v>5564.4936948131281</v>
      </c>
      <c r="M58" s="1094">
        <f t="shared" si="8"/>
        <v>463.70780790109399</v>
      </c>
      <c r="N58" s="1086">
        <f>'[8]FY2012-13 Initial'!$K59</f>
        <v>4750</v>
      </c>
      <c r="O58" s="1088">
        <f t="shared" si="9"/>
        <v>4750</v>
      </c>
      <c r="P58" s="1155">
        <f t="shared" si="10"/>
        <v>-11.875</v>
      </c>
      <c r="Q58" s="1088">
        <f t="shared" si="11"/>
        <v>4738.125</v>
      </c>
      <c r="R58" s="1088">
        <v>0</v>
      </c>
      <c r="S58" s="1088">
        <f t="shared" si="12"/>
        <v>4738.125</v>
      </c>
      <c r="T58" s="1088">
        <f t="shared" si="13"/>
        <v>394.84375</v>
      </c>
      <c r="U58" s="1089">
        <f t="shared" si="14"/>
        <v>10302.618694813129</v>
      </c>
      <c r="V58" s="1089">
        <f t="shared" si="14"/>
        <v>858.55155790109393</v>
      </c>
    </row>
    <row r="59" spans="1:22">
      <c r="A59" s="1028">
        <v>53</v>
      </c>
      <c r="B59" s="1029" t="s">
        <v>153</v>
      </c>
      <c r="C59" s="1295">
        <f>'Table 8 2.1.12 MFP Funded'!Z56</f>
        <v>0</v>
      </c>
      <c r="D59" s="1037">
        <f>'Table 3 Levels 1&amp;2'!AL60</f>
        <v>4784.2719870767614</v>
      </c>
      <c r="E59" s="1139">
        <f t="shared" si="2"/>
        <v>0</v>
      </c>
      <c r="F59" s="1139">
        <f>'Table 4 Level 3'!P58</f>
        <v>689.74</v>
      </c>
      <c r="G59" s="1139">
        <f t="shared" si="3"/>
        <v>0</v>
      </c>
      <c r="H59" s="1094">
        <f t="shared" si="4"/>
        <v>0</v>
      </c>
      <c r="I59" s="1149">
        <f t="shared" si="5"/>
        <v>0</v>
      </c>
      <c r="J59" s="1094">
        <f t="shared" si="6"/>
        <v>0</v>
      </c>
      <c r="K59" s="1094">
        <v>0</v>
      </c>
      <c r="L59" s="1094">
        <f t="shared" si="7"/>
        <v>0</v>
      </c>
      <c r="M59" s="1094">
        <f t="shared" si="8"/>
        <v>0</v>
      </c>
      <c r="N59" s="1086">
        <f>'[8]FY2012-13 Initial'!$K60</f>
        <v>1913</v>
      </c>
      <c r="O59" s="1088">
        <f t="shared" si="9"/>
        <v>0</v>
      </c>
      <c r="P59" s="1155">
        <f t="shared" si="10"/>
        <v>0</v>
      </c>
      <c r="Q59" s="1088">
        <f t="shared" si="11"/>
        <v>0</v>
      </c>
      <c r="R59" s="1088">
        <v>0</v>
      </c>
      <c r="S59" s="1088">
        <f t="shared" si="12"/>
        <v>0</v>
      </c>
      <c r="T59" s="1088">
        <f t="shared" si="13"/>
        <v>0</v>
      </c>
      <c r="U59" s="1089">
        <f t="shared" si="14"/>
        <v>0</v>
      </c>
      <c r="V59" s="1089">
        <f t="shared" si="14"/>
        <v>0</v>
      </c>
    </row>
    <row r="60" spans="1:22">
      <c r="A60" s="1028">
        <v>54</v>
      </c>
      <c r="B60" s="1029" t="s">
        <v>154</v>
      </c>
      <c r="C60" s="1295">
        <f>'Table 8 2.1.12 MFP Funded'!Z57</f>
        <v>0</v>
      </c>
      <c r="D60" s="1037">
        <f>'Table 3 Levels 1&amp;2'!AL61</f>
        <v>5982.5555386476462</v>
      </c>
      <c r="E60" s="1139">
        <f t="shared" si="2"/>
        <v>0</v>
      </c>
      <c r="F60" s="1139">
        <f>'Table 4 Level 3'!P59</f>
        <v>951.45</v>
      </c>
      <c r="G60" s="1139">
        <f t="shared" si="3"/>
        <v>0</v>
      </c>
      <c r="H60" s="1094">
        <f t="shared" si="4"/>
        <v>0</v>
      </c>
      <c r="I60" s="1149">
        <f t="shared" si="5"/>
        <v>0</v>
      </c>
      <c r="J60" s="1094">
        <f t="shared" si="6"/>
        <v>0</v>
      </c>
      <c r="K60" s="1094">
        <v>0</v>
      </c>
      <c r="L60" s="1094">
        <f t="shared" si="7"/>
        <v>0</v>
      </c>
      <c r="M60" s="1094">
        <f t="shared" si="8"/>
        <v>0</v>
      </c>
      <c r="N60" s="1086">
        <f>'[8]FY2012-13 Initial'!$K61</f>
        <v>3264</v>
      </c>
      <c r="O60" s="1088">
        <f t="shared" si="9"/>
        <v>0</v>
      </c>
      <c r="P60" s="1155">
        <f t="shared" si="10"/>
        <v>0</v>
      </c>
      <c r="Q60" s="1088">
        <f t="shared" si="11"/>
        <v>0</v>
      </c>
      <c r="R60" s="1088">
        <v>0</v>
      </c>
      <c r="S60" s="1088">
        <f t="shared" si="12"/>
        <v>0</v>
      </c>
      <c r="T60" s="1088">
        <f t="shared" si="13"/>
        <v>0</v>
      </c>
      <c r="U60" s="1089">
        <f t="shared" si="14"/>
        <v>0</v>
      </c>
      <c r="V60" s="1089">
        <f t="shared" si="14"/>
        <v>0</v>
      </c>
    </row>
    <row r="61" spans="1:22">
      <c r="A61" s="1032">
        <v>55</v>
      </c>
      <c r="B61" s="1033" t="s">
        <v>155</v>
      </c>
      <c r="C61" s="1296">
        <f>'Table 8 2.1.12 MFP Funded'!Z58</f>
        <v>0</v>
      </c>
      <c r="D61" s="1039">
        <f>'Table 3 Levels 1&amp;2'!AL62</f>
        <v>4087.4017448818722</v>
      </c>
      <c r="E61" s="1140">
        <f t="shared" si="2"/>
        <v>0</v>
      </c>
      <c r="F61" s="1140">
        <f>'Table 4 Level 3'!P60</f>
        <v>795.14</v>
      </c>
      <c r="G61" s="1140">
        <f t="shared" si="3"/>
        <v>0</v>
      </c>
      <c r="H61" s="1095">
        <f t="shared" si="4"/>
        <v>0</v>
      </c>
      <c r="I61" s="1150">
        <f t="shared" si="5"/>
        <v>0</v>
      </c>
      <c r="J61" s="1095">
        <f t="shared" si="6"/>
        <v>0</v>
      </c>
      <c r="K61" s="1095">
        <v>0</v>
      </c>
      <c r="L61" s="1095">
        <f t="shared" si="7"/>
        <v>0</v>
      </c>
      <c r="M61" s="1095">
        <f t="shared" si="8"/>
        <v>0</v>
      </c>
      <c r="N61" s="1091">
        <f>'[8]FY2012-13 Initial'!$K62</f>
        <v>3071</v>
      </c>
      <c r="O61" s="1092">
        <f t="shared" si="9"/>
        <v>0</v>
      </c>
      <c r="P61" s="1156">
        <f t="shared" si="10"/>
        <v>0</v>
      </c>
      <c r="Q61" s="1092">
        <f t="shared" si="11"/>
        <v>0</v>
      </c>
      <c r="R61" s="1092">
        <v>0</v>
      </c>
      <c r="S61" s="1092">
        <f t="shared" si="12"/>
        <v>0</v>
      </c>
      <c r="T61" s="1092">
        <f t="shared" si="13"/>
        <v>0</v>
      </c>
      <c r="U61" s="1093">
        <f t="shared" si="14"/>
        <v>0</v>
      </c>
      <c r="V61" s="1093">
        <f t="shared" si="14"/>
        <v>0</v>
      </c>
    </row>
    <row r="62" spans="1:22">
      <c r="A62" s="1021">
        <v>56</v>
      </c>
      <c r="B62" s="1022" t="s">
        <v>156</v>
      </c>
      <c r="C62" s="1297">
        <f>'Table 8 2.1.12 MFP Funded'!Z59</f>
        <v>0</v>
      </c>
      <c r="D62" s="1041">
        <f>'Table 3 Levels 1&amp;2'!AL63</f>
        <v>5052.2250942802684</v>
      </c>
      <c r="E62" s="1141">
        <f t="shared" si="2"/>
        <v>0</v>
      </c>
      <c r="F62" s="1141">
        <f>'Table 4 Level 3'!P61</f>
        <v>614.66000000000008</v>
      </c>
      <c r="G62" s="1141">
        <f t="shared" si="3"/>
        <v>0</v>
      </c>
      <c r="H62" s="1096">
        <f t="shared" si="4"/>
        <v>0</v>
      </c>
      <c r="I62" s="1151">
        <f t="shared" si="5"/>
        <v>0</v>
      </c>
      <c r="J62" s="1096">
        <f t="shared" si="6"/>
        <v>0</v>
      </c>
      <c r="K62" s="1096">
        <v>0</v>
      </c>
      <c r="L62" s="1096">
        <f t="shared" si="7"/>
        <v>0</v>
      </c>
      <c r="M62" s="1096">
        <f t="shared" si="8"/>
        <v>0</v>
      </c>
      <c r="N62" s="1086">
        <f>'[8]FY2012-13 Initial'!$K63</f>
        <v>2630</v>
      </c>
      <c r="O62" s="1026">
        <f t="shared" si="9"/>
        <v>0</v>
      </c>
      <c r="P62" s="1154">
        <f t="shared" si="10"/>
        <v>0</v>
      </c>
      <c r="Q62" s="1026">
        <f t="shared" si="11"/>
        <v>0</v>
      </c>
      <c r="R62" s="1026">
        <v>0</v>
      </c>
      <c r="S62" s="1026">
        <f t="shared" si="12"/>
        <v>0</v>
      </c>
      <c r="T62" s="1026">
        <f t="shared" si="13"/>
        <v>0</v>
      </c>
      <c r="U62" s="1027">
        <f t="shared" si="14"/>
        <v>0</v>
      </c>
      <c r="V62" s="1027">
        <f t="shared" si="14"/>
        <v>0</v>
      </c>
    </row>
    <row r="63" spans="1:22">
      <c r="A63" s="1028">
        <v>57</v>
      </c>
      <c r="B63" s="1029" t="s">
        <v>157</v>
      </c>
      <c r="C63" s="1295">
        <f>'Table 8 2.1.12 MFP Funded'!Z60</f>
        <v>0</v>
      </c>
      <c r="D63" s="1037">
        <f>'Table 3 Levels 1&amp;2'!AL64</f>
        <v>4389.3863180380931</v>
      </c>
      <c r="E63" s="1139">
        <f t="shared" si="2"/>
        <v>0</v>
      </c>
      <c r="F63" s="1139">
        <f>'Table 4 Level 3'!P62</f>
        <v>764.51</v>
      </c>
      <c r="G63" s="1139">
        <f t="shared" si="3"/>
        <v>0</v>
      </c>
      <c r="H63" s="1094">
        <f t="shared" si="4"/>
        <v>0</v>
      </c>
      <c r="I63" s="1149">
        <f t="shared" si="5"/>
        <v>0</v>
      </c>
      <c r="J63" s="1094">
        <f t="shared" si="6"/>
        <v>0</v>
      </c>
      <c r="K63" s="1094">
        <v>0</v>
      </c>
      <c r="L63" s="1094">
        <f t="shared" si="7"/>
        <v>0</v>
      </c>
      <c r="M63" s="1094">
        <f t="shared" si="8"/>
        <v>0</v>
      </c>
      <c r="N63" s="1086">
        <f>'[8]FY2012-13 Initial'!$K64</f>
        <v>3053</v>
      </c>
      <c r="O63" s="1088">
        <f t="shared" si="9"/>
        <v>0</v>
      </c>
      <c r="P63" s="1155">
        <f t="shared" si="10"/>
        <v>0</v>
      </c>
      <c r="Q63" s="1088">
        <f t="shared" si="11"/>
        <v>0</v>
      </c>
      <c r="R63" s="1088">
        <v>0</v>
      </c>
      <c r="S63" s="1088">
        <f t="shared" si="12"/>
        <v>0</v>
      </c>
      <c r="T63" s="1088">
        <f t="shared" si="13"/>
        <v>0</v>
      </c>
      <c r="U63" s="1089">
        <f t="shared" si="14"/>
        <v>0</v>
      </c>
      <c r="V63" s="1089">
        <f t="shared" si="14"/>
        <v>0</v>
      </c>
    </row>
    <row r="64" spans="1:22">
      <c r="A64" s="1028">
        <v>58</v>
      </c>
      <c r="B64" s="1029" t="s">
        <v>158</v>
      </c>
      <c r="C64" s="1295">
        <f>'Table 8 2.1.12 MFP Funded'!Z61</f>
        <v>0</v>
      </c>
      <c r="D64" s="1037">
        <f>'Table 3 Levels 1&amp;2'!AL65</f>
        <v>5325.8881107130073</v>
      </c>
      <c r="E64" s="1139">
        <f t="shared" si="2"/>
        <v>0</v>
      </c>
      <c r="F64" s="1139">
        <f>'Table 4 Level 3'!P63</f>
        <v>697.04</v>
      </c>
      <c r="G64" s="1139">
        <f t="shared" si="3"/>
        <v>0</v>
      </c>
      <c r="H64" s="1094">
        <f t="shared" si="4"/>
        <v>0</v>
      </c>
      <c r="I64" s="1149">
        <f t="shared" si="5"/>
        <v>0</v>
      </c>
      <c r="J64" s="1094">
        <f t="shared" si="6"/>
        <v>0</v>
      </c>
      <c r="K64" s="1094">
        <v>0</v>
      </c>
      <c r="L64" s="1094">
        <f t="shared" si="7"/>
        <v>0</v>
      </c>
      <c r="M64" s="1094">
        <f t="shared" si="8"/>
        <v>0</v>
      </c>
      <c r="N64" s="1086">
        <f>'[8]FY2012-13 Initial'!$K65</f>
        <v>1917</v>
      </c>
      <c r="O64" s="1088">
        <f t="shared" si="9"/>
        <v>0</v>
      </c>
      <c r="P64" s="1155">
        <f t="shared" si="10"/>
        <v>0</v>
      </c>
      <c r="Q64" s="1088">
        <f t="shared" si="11"/>
        <v>0</v>
      </c>
      <c r="R64" s="1088">
        <v>0</v>
      </c>
      <c r="S64" s="1088">
        <f t="shared" si="12"/>
        <v>0</v>
      </c>
      <c r="T64" s="1088">
        <f t="shared" si="13"/>
        <v>0</v>
      </c>
      <c r="U64" s="1089">
        <f t="shared" si="14"/>
        <v>0</v>
      </c>
      <c r="V64" s="1089">
        <f t="shared" si="14"/>
        <v>0</v>
      </c>
    </row>
    <row r="65" spans="1:22">
      <c r="A65" s="1028">
        <v>59</v>
      </c>
      <c r="B65" s="1029" t="s">
        <v>159</v>
      </c>
      <c r="C65" s="1295">
        <f>'Table 8 2.1.12 MFP Funded'!Z62</f>
        <v>0</v>
      </c>
      <c r="D65" s="1037">
        <f>'Table 3 Levels 1&amp;2'!AL66</f>
        <v>6328.4963620482158</v>
      </c>
      <c r="E65" s="1139">
        <f t="shared" si="2"/>
        <v>0</v>
      </c>
      <c r="F65" s="1139">
        <f>'Table 4 Level 3'!P64</f>
        <v>689.52</v>
      </c>
      <c r="G65" s="1139">
        <f t="shared" si="3"/>
        <v>0</v>
      </c>
      <c r="H65" s="1094">
        <f t="shared" si="4"/>
        <v>0</v>
      </c>
      <c r="I65" s="1149">
        <f t="shared" si="5"/>
        <v>0</v>
      </c>
      <c r="J65" s="1094">
        <f t="shared" si="6"/>
        <v>0</v>
      </c>
      <c r="K65" s="1094">
        <v>0</v>
      </c>
      <c r="L65" s="1094">
        <f t="shared" si="7"/>
        <v>0</v>
      </c>
      <c r="M65" s="1094">
        <f t="shared" si="8"/>
        <v>0</v>
      </c>
      <c r="N65" s="1086">
        <f>'[8]FY2012-13 Initial'!$K66</f>
        <v>1553</v>
      </c>
      <c r="O65" s="1088">
        <f t="shared" si="9"/>
        <v>0</v>
      </c>
      <c r="P65" s="1155">
        <f t="shared" si="10"/>
        <v>0</v>
      </c>
      <c r="Q65" s="1088">
        <f t="shared" si="11"/>
        <v>0</v>
      </c>
      <c r="R65" s="1088">
        <v>0</v>
      </c>
      <c r="S65" s="1088">
        <f t="shared" si="12"/>
        <v>0</v>
      </c>
      <c r="T65" s="1088">
        <f t="shared" si="13"/>
        <v>0</v>
      </c>
      <c r="U65" s="1089">
        <f t="shared" si="14"/>
        <v>0</v>
      </c>
      <c r="V65" s="1089">
        <f t="shared" si="14"/>
        <v>0</v>
      </c>
    </row>
    <row r="66" spans="1:22">
      <c r="A66" s="1032">
        <v>60</v>
      </c>
      <c r="B66" s="1033" t="s">
        <v>160</v>
      </c>
      <c r="C66" s="1296">
        <f>'Table 8 2.1.12 MFP Funded'!Z63</f>
        <v>0</v>
      </c>
      <c r="D66" s="1039">
        <f>'Table 3 Levels 1&amp;2'!AL67</f>
        <v>4825.1723230627122</v>
      </c>
      <c r="E66" s="1140">
        <f t="shared" si="2"/>
        <v>0</v>
      </c>
      <c r="F66" s="1140">
        <f>'Table 4 Level 3'!P65</f>
        <v>594.04</v>
      </c>
      <c r="G66" s="1140">
        <f t="shared" si="3"/>
        <v>0</v>
      </c>
      <c r="H66" s="1095">
        <f t="shared" si="4"/>
        <v>0</v>
      </c>
      <c r="I66" s="1150">
        <f t="shared" si="5"/>
        <v>0</v>
      </c>
      <c r="J66" s="1095">
        <f t="shared" si="6"/>
        <v>0</v>
      </c>
      <c r="K66" s="1095">
        <v>0</v>
      </c>
      <c r="L66" s="1095">
        <f t="shared" si="7"/>
        <v>0</v>
      </c>
      <c r="M66" s="1095">
        <f t="shared" si="8"/>
        <v>0</v>
      </c>
      <c r="N66" s="1091">
        <f>'[8]FY2012-13 Initial'!$K67</f>
        <v>3798</v>
      </c>
      <c r="O66" s="1092">
        <f t="shared" si="9"/>
        <v>0</v>
      </c>
      <c r="P66" s="1156">
        <f t="shared" si="10"/>
        <v>0</v>
      </c>
      <c r="Q66" s="1092">
        <f t="shared" si="11"/>
        <v>0</v>
      </c>
      <c r="R66" s="1092">
        <v>0</v>
      </c>
      <c r="S66" s="1092">
        <f t="shared" si="12"/>
        <v>0</v>
      </c>
      <c r="T66" s="1092">
        <f t="shared" si="13"/>
        <v>0</v>
      </c>
      <c r="U66" s="1093">
        <f t="shared" si="14"/>
        <v>0</v>
      </c>
      <c r="V66" s="1093">
        <f t="shared" si="14"/>
        <v>0</v>
      </c>
    </row>
    <row r="67" spans="1:22">
      <c r="A67" s="1021">
        <v>61</v>
      </c>
      <c r="B67" s="1022" t="s">
        <v>161</v>
      </c>
      <c r="C67" s="1297">
        <f>'Table 8 2.1.12 MFP Funded'!Z64</f>
        <v>0</v>
      </c>
      <c r="D67" s="1041">
        <f>'Table 3 Levels 1&amp;2'!AL68</f>
        <v>3063.3110364585282</v>
      </c>
      <c r="E67" s="1141">
        <f t="shared" si="2"/>
        <v>0</v>
      </c>
      <c r="F67" s="1141">
        <f>'Table 4 Level 3'!P66</f>
        <v>833.70999999999992</v>
      </c>
      <c r="G67" s="1141">
        <f t="shared" si="3"/>
        <v>0</v>
      </c>
      <c r="H67" s="1096">
        <f t="shared" si="4"/>
        <v>0</v>
      </c>
      <c r="I67" s="1151">
        <f t="shared" si="5"/>
        <v>0</v>
      </c>
      <c r="J67" s="1096">
        <f t="shared" si="6"/>
        <v>0</v>
      </c>
      <c r="K67" s="1096">
        <v>0</v>
      </c>
      <c r="L67" s="1096">
        <f t="shared" si="7"/>
        <v>0</v>
      </c>
      <c r="M67" s="1096">
        <f t="shared" si="8"/>
        <v>0</v>
      </c>
      <c r="N67" s="1086">
        <f>'[8]FY2012-13 Initial'!$K68</f>
        <v>6727</v>
      </c>
      <c r="O67" s="1026">
        <f t="shared" si="9"/>
        <v>0</v>
      </c>
      <c r="P67" s="1154">
        <f t="shared" si="10"/>
        <v>0</v>
      </c>
      <c r="Q67" s="1026">
        <f t="shared" si="11"/>
        <v>0</v>
      </c>
      <c r="R67" s="1026">
        <v>0</v>
      </c>
      <c r="S67" s="1026">
        <f t="shared" si="12"/>
        <v>0</v>
      </c>
      <c r="T67" s="1026">
        <f t="shared" si="13"/>
        <v>0</v>
      </c>
      <c r="U67" s="1027">
        <f t="shared" si="14"/>
        <v>0</v>
      </c>
      <c r="V67" s="1027">
        <f t="shared" si="14"/>
        <v>0</v>
      </c>
    </row>
    <row r="68" spans="1:22">
      <c r="A68" s="1028">
        <v>62</v>
      </c>
      <c r="B68" s="1029" t="s">
        <v>162</v>
      </c>
      <c r="C68" s="1295">
        <f>'Table 8 2.1.12 MFP Funded'!Z65</f>
        <v>0</v>
      </c>
      <c r="D68" s="1037">
        <f>'Table 3 Levels 1&amp;2'!AL69</f>
        <v>5564.645485869667</v>
      </c>
      <c r="E68" s="1139">
        <f t="shared" si="2"/>
        <v>0</v>
      </c>
      <c r="F68" s="1139">
        <f>'Table 4 Level 3'!P67</f>
        <v>516.08000000000004</v>
      </c>
      <c r="G68" s="1139">
        <f t="shared" si="3"/>
        <v>0</v>
      </c>
      <c r="H68" s="1094">
        <f t="shared" si="4"/>
        <v>0</v>
      </c>
      <c r="I68" s="1149">
        <f t="shared" si="5"/>
        <v>0</v>
      </c>
      <c r="J68" s="1094">
        <f t="shared" si="6"/>
        <v>0</v>
      </c>
      <c r="K68" s="1094">
        <v>0</v>
      </c>
      <c r="L68" s="1094">
        <f t="shared" si="7"/>
        <v>0</v>
      </c>
      <c r="M68" s="1094">
        <f t="shared" si="8"/>
        <v>0</v>
      </c>
      <c r="N68" s="1086">
        <f>'[8]FY2012-13 Initial'!$K69</f>
        <v>1678</v>
      </c>
      <c r="O68" s="1088">
        <f t="shared" si="9"/>
        <v>0</v>
      </c>
      <c r="P68" s="1155">
        <f t="shared" si="10"/>
        <v>0</v>
      </c>
      <c r="Q68" s="1088">
        <f t="shared" si="11"/>
        <v>0</v>
      </c>
      <c r="R68" s="1088">
        <v>0</v>
      </c>
      <c r="S68" s="1088">
        <f t="shared" si="12"/>
        <v>0</v>
      </c>
      <c r="T68" s="1088">
        <f t="shared" si="13"/>
        <v>0</v>
      </c>
      <c r="U68" s="1089">
        <f t="shared" si="14"/>
        <v>0</v>
      </c>
      <c r="V68" s="1089">
        <f t="shared" si="14"/>
        <v>0</v>
      </c>
    </row>
    <row r="69" spans="1:22">
      <c r="A69" s="1028">
        <v>63</v>
      </c>
      <c r="B69" s="1029" t="s">
        <v>163</v>
      </c>
      <c r="C69" s="1295">
        <f>'Table 8 2.1.12 MFP Funded'!Z66</f>
        <v>0</v>
      </c>
      <c r="D69" s="1037">
        <f>'Table 3 Levels 1&amp;2'!AL70</f>
        <v>4414.1775336636538</v>
      </c>
      <c r="E69" s="1139">
        <f t="shared" si="2"/>
        <v>0</v>
      </c>
      <c r="F69" s="1139">
        <f>'Table 4 Level 3'!P68</f>
        <v>756.79</v>
      </c>
      <c r="G69" s="1139">
        <f t="shared" si="3"/>
        <v>0</v>
      </c>
      <c r="H69" s="1094">
        <f t="shared" si="4"/>
        <v>0</v>
      </c>
      <c r="I69" s="1149">
        <f t="shared" si="5"/>
        <v>0</v>
      </c>
      <c r="J69" s="1094">
        <f t="shared" si="6"/>
        <v>0</v>
      </c>
      <c r="K69" s="1094">
        <v>0</v>
      </c>
      <c r="L69" s="1094">
        <f t="shared" si="7"/>
        <v>0</v>
      </c>
      <c r="M69" s="1094">
        <f t="shared" si="8"/>
        <v>0</v>
      </c>
      <c r="N69" s="1086">
        <f>'[8]FY2012-13 Initial'!$K70</f>
        <v>6524</v>
      </c>
      <c r="O69" s="1088">
        <f t="shared" si="9"/>
        <v>0</v>
      </c>
      <c r="P69" s="1155">
        <f t="shared" si="10"/>
        <v>0</v>
      </c>
      <c r="Q69" s="1088">
        <f t="shared" si="11"/>
        <v>0</v>
      </c>
      <c r="R69" s="1088">
        <v>0</v>
      </c>
      <c r="S69" s="1088">
        <f t="shared" si="12"/>
        <v>0</v>
      </c>
      <c r="T69" s="1088">
        <f t="shared" si="13"/>
        <v>0</v>
      </c>
      <c r="U69" s="1089">
        <f t="shared" si="14"/>
        <v>0</v>
      </c>
      <c r="V69" s="1089">
        <f t="shared" si="14"/>
        <v>0</v>
      </c>
    </row>
    <row r="70" spans="1:22">
      <c r="A70" s="1028">
        <v>64</v>
      </c>
      <c r="B70" s="1029" t="s">
        <v>164</v>
      </c>
      <c r="C70" s="1295">
        <f>'Table 8 2.1.12 MFP Funded'!Z67</f>
        <v>0</v>
      </c>
      <c r="D70" s="1037">
        <f>'Table 3 Levels 1&amp;2'!AL71</f>
        <v>5871.0485811924027</v>
      </c>
      <c r="E70" s="1139">
        <f t="shared" si="2"/>
        <v>0</v>
      </c>
      <c r="F70" s="1139">
        <f>'Table 4 Level 3'!P69</f>
        <v>592.66</v>
      </c>
      <c r="G70" s="1139">
        <f t="shared" si="3"/>
        <v>0</v>
      </c>
      <c r="H70" s="1094">
        <f t="shared" si="4"/>
        <v>0</v>
      </c>
      <c r="I70" s="1149">
        <f t="shared" si="5"/>
        <v>0</v>
      </c>
      <c r="J70" s="1094">
        <f t="shared" si="6"/>
        <v>0</v>
      </c>
      <c r="K70" s="1094">
        <v>0</v>
      </c>
      <c r="L70" s="1094">
        <f t="shared" si="7"/>
        <v>0</v>
      </c>
      <c r="M70" s="1094">
        <f t="shared" si="8"/>
        <v>0</v>
      </c>
      <c r="N70" s="1086">
        <f>'[8]FY2012-13 Initial'!$K71</f>
        <v>2658</v>
      </c>
      <c r="O70" s="1088">
        <f t="shared" si="9"/>
        <v>0</v>
      </c>
      <c r="P70" s="1155">
        <f t="shared" si="10"/>
        <v>0</v>
      </c>
      <c r="Q70" s="1088">
        <f t="shared" si="11"/>
        <v>0</v>
      </c>
      <c r="R70" s="1088">
        <v>0</v>
      </c>
      <c r="S70" s="1088">
        <f t="shared" si="12"/>
        <v>0</v>
      </c>
      <c r="T70" s="1088">
        <f t="shared" si="13"/>
        <v>0</v>
      </c>
      <c r="U70" s="1089">
        <f t="shared" si="14"/>
        <v>0</v>
      </c>
      <c r="V70" s="1089">
        <f t="shared" si="14"/>
        <v>0</v>
      </c>
    </row>
    <row r="71" spans="1:22">
      <c r="A71" s="1032">
        <v>65</v>
      </c>
      <c r="B71" s="1033" t="s">
        <v>165</v>
      </c>
      <c r="C71" s="1296">
        <f>'Table 8 2.1.12 MFP Funded'!Z68</f>
        <v>0</v>
      </c>
      <c r="D71" s="1039">
        <f>'Table 3 Levels 1&amp;2'!AL72</f>
        <v>4602.2046951319899</v>
      </c>
      <c r="E71" s="1140">
        <f t="shared" si="2"/>
        <v>0</v>
      </c>
      <c r="F71" s="1140">
        <f>'Table 4 Level 3'!P70</f>
        <v>829.12</v>
      </c>
      <c r="G71" s="1140">
        <f t="shared" si="3"/>
        <v>0</v>
      </c>
      <c r="H71" s="1095">
        <f t="shared" si="4"/>
        <v>0</v>
      </c>
      <c r="I71" s="1150">
        <f t="shared" si="5"/>
        <v>0</v>
      </c>
      <c r="J71" s="1095">
        <f t="shared" si="6"/>
        <v>0</v>
      </c>
      <c r="K71" s="1095">
        <v>0</v>
      </c>
      <c r="L71" s="1095">
        <f t="shared" si="7"/>
        <v>0</v>
      </c>
      <c r="M71" s="1095">
        <f t="shared" si="8"/>
        <v>0</v>
      </c>
      <c r="N71" s="1091">
        <f>'[8]FY2012-13 Initial'!$K72</f>
        <v>4631</v>
      </c>
      <c r="O71" s="1092">
        <f t="shared" si="9"/>
        <v>0</v>
      </c>
      <c r="P71" s="1156">
        <f t="shared" si="10"/>
        <v>0</v>
      </c>
      <c r="Q71" s="1092">
        <f t="shared" si="11"/>
        <v>0</v>
      </c>
      <c r="R71" s="1092">
        <v>0</v>
      </c>
      <c r="S71" s="1092">
        <f t="shared" si="12"/>
        <v>0</v>
      </c>
      <c r="T71" s="1092">
        <f t="shared" si="13"/>
        <v>0</v>
      </c>
      <c r="U71" s="1093">
        <f t="shared" si="14"/>
        <v>0</v>
      </c>
      <c r="V71" s="1093">
        <f t="shared" si="14"/>
        <v>0</v>
      </c>
    </row>
    <row r="72" spans="1:22">
      <c r="A72" s="1021">
        <v>66</v>
      </c>
      <c r="B72" s="1022" t="s">
        <v>166</v>
      </c>
      <c r="C72" s="1297">
        <f>'Table 8 2.1.12 MFP Funded'!Z69</f>
        <v>0</v>
      </c>
      <c r="D72" s="1041">
        <f>'Table 3 Levels 1&amp;2'!AL73</f>
        <v>6243.8912249150071</v>
      </c>
      <c r="E72" s="1141">
        <f t="shared" ref="E72:E75" si="15">C72*D72</f>
        <v>0</v>
      </c>
      <c r="F72" s="1141">
        <f>'Table 4 Level 3'!P71</f>
        <v>730.06</v>
      </c>
      <c r="G72" s="1141">
        <f t="shared" ref="G72:G75" si="16">C72*F72</f>
        <v>0</v>
      </c>
      <c r="H72" s="1096">
        <f t="shared" ref="H72:H75" si="17">E72+G72</f>
        <v>0</v>
      </c>
      <c r="I72" s="1151">
        <f t="shared" ref="I72:I75" si="18">-(0.25%*H72)</f>
        <v>0</v>
      </c>
      <c r="J72" s="1096">
        <f t="shared" ref="J72:J75" si="19">SUM(H72:I72)</f>
        <v>0</v>
      </c>
      <c r="K72" s="1096">
        <v>0</v>
      </c>
      <c r="L72" s="1096">
        <f t="shared" ref="L72:L75" si="20">SUM(J72:K72)</f>
        <v>0</v>
      </c>
      <c r="M72" s="1096">
        <f t="shared" ref="M72:M75" si="21">L72/12</f>
        <v>0</v>
      </c>
      <c r="N72" s="1086">
        <f>'[8]FY2012-13 Initial'!$K73</f>
        <v>3443</v>
      </c>
      <c r="O72" s="1026">
        <f t="shared" ref="O72:O75" si="22">C72*N72</f>
        <v>0</v>
      </c>
      <c r="P72" s="1154">
        <f t="shared" ref="P72:P75" si="23">-(0.25%*O72)</f>
        <v>0</v>
      </c>
      <c r="Q72" s="1026">
        <f t="shared" ref="Q72:Q75" si="24">SUM(O72:P72)</f>
        <v>0</v>
      </c>
      <c r="R72" s="1026">
        <v>0</v>
      </c>
      <c r="S72" s="1026">
        <f t="shared" ref="S72:S75" si="25">SUM(Q72:R72)</f>
        <v>0</v>
      </c>
      <c r="T72" s="1026">
        <f t="shared" ref="T72:T75" si="26">S72/12</f>
        <v>0</v>
      </c>
      <c r="U72" s="1027">
        <f t="shared" ref="U72:V75" si="27">L72+S72</f>
        <v>0</v>
      </c>
      <c r="V72" s="1027">
        <f t="shared" si="27"/>
        <v>0</v>
      </c>
    </row>
    <row r="73" spans="1:22">
      <c r="A73" s="1028">
        <v>67</v>
      </c>
      <c r="B73" s="1029" t="s">
        <v>33</v>
      </c>
      <c r="C73" s="1295">
        <f>'Table 8 2.1.12 MFP Funded'!Z70</f>
        <v>0</v>
      </c>
      <c r="D73" s="1037">
        <f>'Table 3 Levels 1&amp;2'!AL74</f>
        <v>5049.6489898847567</v>
      </c>
      <c r="E73" s="1139">
        <f t="shared" si="15"/>
        <v>0</v>
      </c>
      <c r="F73" s="1139">
        <f>'Table 4 Level 3'!P72</f>
        <v>715.61</v>
      </c>
      <c r="G73" s="1139">
        <f t="shared" si="16"/>
        <v>0</v>
      </c>
      <c r="H73" s="1094">
        <f t="shared" si="17"/>
        <v>0</v>
      </c>
      <c r="I73" s="1149">
        <f t="shared" si="18"/>
        <v>0</v>
      </c>
      <c r="J73" s="1094">
        <f t="shared" si="19"/>
        <v>0</v>
      </c>
      <c r="K73" s="1094">
        <v>0</v>
      </c>
      <c r="L73" s="1094">
        <f t="shared" si="20"/>
        <v>0</v>
      </c>
      <c r="M73" s="1094">
        <f t="shared" si="21"/>
        <v>0</v>
      </c>
      <c r="N73" s="1086">
        <f>'[8]FY2012-13 Initial'!$K74</f>
        <v>4502</v>
      </c>
      <c r="O73" s="1088">
        <f t="shared" si="22"/>
        <v>0</v>
      </c>
      <c r="P73" s="1155">
        <f t="shared" si="23"/>
        <v>0</v>
      </c>
      <c r="Q73" s="1088">
        <f t="shared" si="24"/>
        <v>0</v>
      </c>
      <c r="R73" s="1088">
        <v>0</v>
      </c>
      <c r="S73" s="1088">
        <f t="shared" si="25"/>
        <v>0</v>
      </c>
      <c r="T73" s="1088">
        <f t="shared" si="26"/>
        <v>0</v>
      </c>
      <c r="U73" s="1089">
        <f t="shared" si="27"/>
        <v>0</v>
      </c>
      <c r="V73" s="1089">
        <f t="shared" si="27"/>
        <v>0</v>
      </c>
    </row>
    <row r="74" spans="1:22">
      <c r="A74" s="1028">
        <v>68</v>
      </c>
      <c r="B74" s="1029" t="s">
        <v>31</v>
      </c>
      <c r="C74" s="1295">
        <f>'Table 8 2.1.12 MFP Funded'!Z71</f>
        <v>0</v>
      </c>
      <c r="D74" s="1037">
        <f>'Table 3 Levels 1&amp;2'!AL75</f>
        <v>5861.7500805575619</v>
      </c>
      <c r="E74" s="1139">
        <f t="shared" si="15"/>
        <v>0</v>
      </c>
      <c r="F74" s="1139">
        <f>'Table 4 Level 3'!P73</f>
        <v>798.7</v>
      </c>
      <c r="G74" s="1139">
        <f t="shared" si="16"/>
        <v>0</v>
      </c>
      <c r="H74" s="1094">
        <f t="shared" si="17"/>
        <v>0</v>
      </c>
      <c r="I74" s="1149">
        <f t="shared" si="18"/>
        <v>0</v>
      </c>
      <c r="J74" s="1094">
        <f t="shared" si="19"/>
        <v>0</v>
      </c>
      <c r="K74" s="1094">
        <v>0</v>
      </c>
      <c r="L74" s="1094">
        <f t="shared" si="20"/>
        <v>0</v>
      </c>
      <c r="M74" s="1094">
        <f t="shared" si="21"/>
        <v>0</v>
      </c>
      <c r="N74" s="1086">
        <f>'[8]FY2012-13 Initial'!$K75</f>
        <v>2587</v>
      </c>
      <c r="O74" s="1088">
        <f t="shared" si="22"/>
        <v>0</v>
      </c>
      <c r="P74" s="1155">
        <f t="shared" si="23"/>
        <v>0</v>
      </c>
      <c r="Q74" s="1088">
        <f t="shared" si="24"/>
        <v>0</v>
      </c>
      <c r="R74" s="1088">
        <v>0</v>
      </c>
      <c r="S74" s="1088">
        <f t="shared" si="25"/>
        <v>0</v>
      </c>
      <c r="T74" s="1088">
        <f t="shared" si="26"/>
        <v>0</v>
      </c>
      <c r="U74" s="1089">
        <f t="shared" si="27"/>
        <v>0</v>
      </c>
      <c r="V74" s="1089">
        <f t="shared" si="27"/>
        <v>0</v>
      </c>
    </row>
    <row r="75" spans="1:22">
      <c r="A75" s="1042">
        <v>69</v>
      </c>
      <c r="B75" s="1043" t="s">
        <v>235</v>
      </c>
      <c r="C75" s="1298">
        <f>'Table 8 2.1.12 MFP Funded'!Z72</f>
        <v>0</v>
      </c>
      <c r="D75" s="1045">
        <f>'Table 3 Levels 1&amp;2'!AL76</f>
        <v>5508.3397285189958</v>
      </c>
      <c r="E75" s="1142">
        <f t="shared" si="15"/>
        <v>0</v>
      </c>
      <c r="F75" s="1142">
        <f>'Table 4 Level 3'!P74</f>
        <v>705.67</v>
      </c>
      <c r="G75" s="1142">
        <f t="shared" si="16"/>
        <v>0</v>
      </c>
      <c r="H75" s="1097">
        <f t="shared" si="17"/>
        <v>0</v>
      </c>
      <c r="I75" s="1152">
        <f t="shared" si="18"/>
        <v>0</v>
      </c>
      <c r="J75" s="1097">
        <f t="shared" si="19"/>
        <v>0</v>
      </c>
      <c r="K75" s="1097">
        <v>0</v>
      </c>
      <c r="L75" s="1097">
        <f t="shared" si="20"/>
        <v>0</v>
      </c>
      <c r="M75" s="1097">
        <f t="shared" si="21"/>
        <v>0</v>
      </c>
      <c r="N75" s="1086">
        <f>'[8]FY2012-13 Initial'!$K76</f>
        <v>3233</v>
      </c>
      <c r="O75" s="1098">
        <f t="shared" si="22"/>
        <v>0</v>
      </c>
      <c r="P75" s="1157">
        <f t="shared" si="23"/>
        <v>0</v>
      </c>
      <c r="Q75" s="1098">
        <f t="shared" si="24"/>
        <v>0</v>
      </c>
      <c r="R75" s="1098">
        <v>0</v>
      </c>
      <c r="S75" s="1098">
        <f t="shared" si="25"/>
        <v>0</v>
      </c>
      <c r="T75" s="1098">
        <f t="shared" si="26"/>
        <v>0</v>
      </c>
      <c r="U75" s="1099">
        <f t="shared" si="27"/>
        <v>0</v>
      </c>
      <c r="V75" s="1099">
        <f t="shared" si="27"/>
        <v>0</v>
      </c>
    </row>
    <row r="76" spans="1:22" ht="13.5" thickBot="1">
      <c r="A76" s="1046"/>
      <c r="B76" s="1047" t="s">
        <v>167</v>
      </c>
      <c r="C76" s="1048">
        <f>SUM(C7:C75)</f>
        <v>103</v>
      </c>
      <c r="D76" s="1049">
        <f>'Table 3 Levels 1&amp;2'!AL77</f>
        <v>4325.8670725247357</v>
      </c>
      <c r="E76" s="1143">
        <f>SUM(E7:E75)</f>
        <v>338374.07119556458</v>
      </c>
      <c r="F76" s="1143">
        <f>'Table 4 Level 3'!P75</f>
        <v>703.90028204588873</v>
      </c>
      <c r="G76" s="1143">
        <f t="shared" ref="G76:L76" si="28">SUM(G7:G75)</f>
        <v>81176.195205479467</v>
      </c>
      <c r="H76" s="1050">
        <f t="shared" si="28"/>
        <v>419550.26640104403</v>
      </c>
      <c r="I76" s="1153">
        <f t="shared" si="28"/>
        <v>-1048.8756660026102</v>
      </c>
      <c r="J76" s="1050">
        <f t="shared" si="28"/>
        <v>418501.39073504147</v>
      </c>
      <c r="K76" s="1383">
        <f t="shared" si="28"/>
        <v>-7974.3558019593474</v>
      </c>
      <c r="L76" s="1050">
        <f t="shared" si="28"/>
        <v>410527.03493308206</v>
      </c>
      <c r="M76" s="1050">
        <f>SUM(M7:M75)</f>
        <v>34210.58624442351</v>
      </c>
      <c r="N76" s="1100"/>
      <c r="O76" s="1051">
        <f t="shared" ref="O76:V76" si="29">SUM(O7:O75)</f>
        <v>542743</v>
      </c>
      <c r="P76" s="1158">
        <f t="shared" si="29"/>
        <v>-1356.8575000000001</v>
      </c>
      <c r="Q76" s="1051">
        <f t="shared" si="29"/>
        <v>541386.14250000007</v>
      </c>
      <c r="R76" s="1386">
        <f t="shared" si="29"/>
        <v>-9296</v>
      </c>
      <c r="S76" s="1051">
        <f t="shared" si="29"/>
        <v>532090.14250000007</v>
      </c>
      <c r="T76" s="1051">
        <f t="shared" si="29"/>
        <v>44340.845208333332</v>
      </c>
      <c r="U76" s="1052">
        <f t="shared" si="29"/>
        <v>942617.17743308202</v>
      </c>
      <c r="V76" s="1052">
        <f t="shared" si="29"/>
        <v>78551.431452756849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6" right="0.35" top="0.75" bottom="0.75" header="0.3" footer="0.3"/>
  <pageSetup paperSize="5" scale="60" firstPageNumber="56" orientation="portrait" useFirstPageNumber="1" r:id="rId1"/>
  <headerFooter>
    <oddHeader>&amp;L&amp;"Arial,Bold"&amp;20Table 5C1-D: FY2012-13 MFP Budget Letter
New Orleans Military/Maritime Academy</oddHeader>
    <oddFooter>&amp;R&amp;P</oddFooter>
  </headerFooter>
  <colBreaks count="1" manualBreakCount="1">
    <brk id="1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7109375" customWidth="1"/>
    <col min="4" max="4" width="17" customWidth="1"/>
    <col min="5" max="5" width="11.140625" customWidth="1"/>
    <col min="6" max="6" width="12" customWidth="1"/>
    <col min="7" max="7" width="13.28515625" customWidth="1"/>
    <col min="8" max="8" width="14.5703125" customWidth="1"/>
    <col min="9" max="9" width="12.28515625" customWidth="1"/>
    <col min="10" max="10" width="16.28515625" customWidth="1"/>
    <col min="11" max="11" width="13.42578125" bestFit="1" customWidth="1"/>
    <col min="12" max="12" width="14" customWidth="1"/>
    <col min="13" max="13" width="9" bestFit="1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</row>
    <row r="2" spans="1:22" ht="45" customHeight="1">
      <c r="A2" s="1837" t="s">
        <v>1259</v>
      </c>
      <c r="B2" s="1838"/>
      <c r="C2" s="1843" t="s">
        <v>1250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2"/>
      <c r="N2" s="1770" t="s">
        <v>772</v>
      </c>
      <c r="O2" s="1771"/>
      <c r="P2" s="1771"/>
      <c r="Q2" s="1771"/>
      <c r="R2" s="1771"/>
      <c r="S2" s="1771"/>
      <c r="T2" s="1772"/>
      <c r="U2" s="1764" t="s">
        <v>1414</v>
      </c>
      <c r="V2" s="1764" t="s">
        <v>1389</v>
      </c>
    </row>
    <row r="3" spans="1:22" ht="81" customHeight="1">
      <c r="A3" s="1839"/>
      <c r="B3" s="1840"/>
      <c r="C3" s="1779" t="s">
        <v>1192</v>
      </c>
      <c r="D3" s="1781" t="s">
        <v>819</v>
      </c>
      <c r="E3" s="1781" t="s">
        <v>1406</v>
      </c>
      <c r="F3" s="1779" t="s">
        <v>1251</v>
      </c>
      <c r="G3" s="1779" t="s">
        <v>779</v>
      </c>
      <c r="H3" s="1779" t="s">
        <v>1407</v>
      </c>
      <c r="I3" s="1370" t="s">
        <v>813</v>
      </c>
      <c r="J3" s="1779" t="s">
        <v>1408</v>
      </c>
      <c r="K3" s="1779" t="s">
        <v>1197</v>
      </c>
      <c r="L3" s="1779" t="s">
        <v>1409</v>
      </c>
      <c r="M3" s="1781" t="s">
        <v>1410</v>
      </c>
      <c r="N3" s="1795" t="s">
        <v>1307</v>
      </c>
      <c r="O3" s="1598" t="s">
        <v>1411</v>
      </c>
      <c r="P3" s="1372" t="s">
        <v>815</v>
      </c>
      <c r="Q3" s="1795" t="s">
        <v>818</v>
      </c>
      <c r="R3" s="1795" t="s">
        <v>1197</v>
      </c>
      <c r="S3" s="1795" t="s">
        <v>1412</v>
      </c>
      <c r="T3" s="1598" t="s">
        <v>1413</v>
      </c>
      <c r="U3" s="1765"/>
      <c r="V3" s="1765"/>
    </row>
    <row r="4" spans="1:22" ht="26.25" customHeight="1">
      <c r="A4" s="1841"/>
      <c r="B4" s="1842"/>
      <c r="C4" s="1780"/>
      <c r="D4" s="1781"/>
      <c r="E4" s="1781"/>
      <c r="F4" s="1780"/>
      <c r="G4" s="1780"/>
      <c r="H4" s="1780"/>
      <c r="I4" s="1144">
        <v>2.5000000000000001E-3</v>
      </c>
      <c r="J4" s="1780"/>
      <c r="K4" s="1780"/>
      <c r="L4" s="1780"/>
      <c r="M4" s="1781"/>
      <c r="N4" s="1787"/>
      <c r="O4" s="1371"/>
      <c r="P4" s="1145">
        <v>2.5000000000000001E-3</v>
      </c>
      <c r="Q4" s="1787"/>
      <c r="R4" s="1787"/>
      <c r="S4" s="1787"/>
      <c r="T4" s="1371"/>
      <c r="U4" s="1766"/>
      <c r="V4" s="1766"/>
    </row>
    <row r="5" spans="1:22" ht="14.25" customHeight="1">
      <c r="A5" s="1012"/>
      <c r="B5" s="1013"/>
      <c r="C5" s="1014">
        <v>1</v>
      </c>
      <c r="D5" s="1014">
        <f t="shared" ref="D5" si="0">C5+1</f>
        <v>2</v>
      </c>
      <c r="E5" s="1014">
        <f>D5+1</f>
        <v>3</v>
      </c>
      <c r="F5" s="1014">
        <f t="shared" ref="F5:V5" si="1">E5+1</f>
        <v>4</v>
      </c>
      <c r="G5" s="1014">
        <f t="shared" si="1"/>
        <v>5</v>
      </c>
      <c r="H5" s="1014">
        <f t="shared" si="1"/>
        <v>6</v>
      </c>
      <c r="I5" s="1014">
        <f t="shared" si="1"/>
        <v>7</v>
      </c>
      <c r="J5" s="1014">
        <f t="shared" si="1"/>
        <v>8</v>
      </c>
      <c r="K5" s="1014">
        <f t="shared" si="1"/>
        <v>9</v>
      </c>
      <c r="L5" s="1014">
        <f t="shared" si="1"/>
        <v>10</v>
      </c>
      <c r="M5" s="1014">
        <f t="shared" si="1"/>
        <v>11</v>
      </c>
      <c r="N5" s="1014">
        <f t="shared" si="1"/>
        <v>12</v>
      </c>
      <c r="O5" s="1014">
        <f t="shared" si="1"/>
        <v>13</v>
      </c>
      <c r="P5" s="1014">
        <f t="shared" si="1"/>
        <v>14</v>
      </c>
      <c r="Q5" s="1014">
        <f t="shared" si="1"/>
        <v>15</v>
      </c>
      <c r="R5" s="1014">
        <f t="shared" si="1"/>
        <v>16</v>
      </c>
      <c r="S5" s="1014">
        <f t="shared" si="1"/>
        <v>17</v>
      </c>
      <c r="T5" s="1014">
        <f t="shared" si="1"/>
        <v>18</v>
      </c>
      <c r="U5" s="1014">
        <f t="shared" si="1"/>
        <v>19</v>
      </c>
      <c r="V5" s="1014">
        <f t="shared" si="1"/>
        <v>20</v>
      </c>
    </row>
    <row r="6" spans="1:22" ht="27" customHeight="1">
      <c r="A6" s="1076"/>
      <c r="B6" s="1077"/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  <c r="Q6" s="1077"/>
      <c r="R6" s="1077"/>
      <c r="S6" s="1077"/>
      <c r="T6" s="1077"/>
      <c r="U6" s="1077"/>
      <c r="V6" s="1077"/>
    </row>
    <row r="7" spans="1:22">
      <c r="A7" s="1021">
        <v>1</v>
      </c>
      <c r="B7" s="1022" t="s">
        <v>102</v>
      </c>
      <c r="C7" s="1023">
        <f>'Table 8 2.1.12 MFP Funded'!Y4</f>
        <v>0</v>
      </c>
      <c r="D7" s="1024">
        <f>'Table 3 Levels 1&amp;2'!AL8</f>
        <v>4621.8175818834352</v>
      </c>
      <c r="E7" s="1136">
        <f>C7*D7</f>
        <v>0</v>
      </c>
      <c r="F7" s="1136">
        <f>'Table 4 Level 3'!P6</f>
        <v>777.48</v>
      </c>
      <c r="G7" s="1136">
        <f>C7*F7</f>
        <v>0</v>
      </c>
      <c r="H7" s="1025">
        <f>E7+G7</f>
        <v>0</v>
      </c>
      <c r="I7" s="1146">
        <f>-(0.25%*H7)</f>
        <v>0</v>
      </c>
      <c r="J7" s="1025">
        <f>SUM(H7:I7)</f>
        <v>0</v>
      </c>
      <c r="K7" s="1025">
        <v>0</v>
      </c>
      <c r="L7" s="1025">
        <f>SUM(J7:K7)</f>
        <v>0</v>
      </c>
      <c r="M7" s="1025">
        <f>L7/12</f>
        <v>0</v>
      </c>
      <c r="N7" s="1086">
        <f>'[8]FY2012-13 Initial'!$K8</f>
        <v>2094</v>
      </c>
      <c r="O7" s="1026">
        <f>C7*N7</f>
        <v>0</v>
      </c>
      <c r="P7" s="1154">
        <f>-(0.25%*O7)</f>
        <v>0</v>
      </c>
      <c r="Q7" s="1026">
        <f>SUM(O7:P7)</f>
        <v>0</v>
      </c>
      <c r="R7" s="1026">
        <v>0</v>
      </c>
      <c r="S7" s="1026">
        <f>SUM(Q7:R7)</f>
        <v>0</v>
      </c>
      <c r="T7" s="1026">
        <f>S7/12</f>
        <v>0</v>
      </c>
      <c r="U7" s="1027">
        <f>L7+S7</f>
        <v>0</v>
      </c>
      <c r="V7" s="1027">
        <f>M7+T7</f>
        <v>0</v>
      </c>
    </row>
    <row r="8" spans="1:22">
      <c r="A8" s="1028">
        <v>2</v>
      </c>
      <c r="B8" s="1029" t="s">
        <v>103</v>
      </c>
      <c r="C8" s="1292">
        <f>'Table 8 2.1.12 MFP Funded'!Y5</f>
        <v>0</v>
      </c>
      <c r="D8" s="1031">
        <f>'Table 3 Levels 1&amp;2'!AL9</f>
        <v>6131.8351665660375</v>
      </c>
      <c r="E8" s="1137">
        <f t="shared" ref="E8:E71" si="2">C8*D8</f>
        <v>0</v>
      </c>
      <c r="F8" s="1137">
        <f>'Table 4 Level 3'!P7</f>
        <v>842.32</v>
      </c>
      <c r="G8" s="1137">
        <f t="shared" ref="G8:G71" si="3">C8*F8</f>
        <v>0</v>
      </c>
      <c r="H8" s="1087">
        <f t="shared" ref="H8:H71" si="4">E8+G8</f>
        <v>0</v>
      </c>
      <c r="I8" s="1147">
        <f t="shared" ref="I8:I71" si="5">-(0.25%*H8)</f>
        <v>0</v>
      </c>
      <c r="J8" s="1087">
        <f t="shared" ref="J8:J71" si="6">SUM(H8:I8)</f>
        <v>0</v>
      </c>
      <c r="K8" s="1087">
        <v>0</v>
      </c>
      <c r="L8" s="1087">
        <f t="shared" ref="L8:L71" si="7">SUM(J8:K8)</f>
        <v>0</v>
      </c>
      <c r="M8" s="1087">
        <f t="shared" ref="M8:M71" si="8">L8/12</f>
        <v>0</v>
      </c>
      <c r="N8" s="1086">
        <f>'[8]FY2012-13 Initial'!$K9</f>
        <v>2554</v>
      </c>
      <c r="O8" s="1088">
        <f t="shared" ref="O8:O71" si="9">C8*N8</f>
        <v>0</v>
      </c>
      <c r="P8" s="1155">
        <f t="shared" ref="P8:P71" si="10">-(0.25%*O8)</f>
        <v>0</v>
      </c>
      <c r="Q8" s="1088">
        <f t="shared" ref="Q8:Q71" si="11">SUM(O8:P8)</f>
        <v>0</v>
      </c>
      <c r="R8" s="1088">
        <v>0</v>
      </c>
      <c r="S8" s="1088">
        <f t="shared" ref="S8:S71" si="12">SUM(Q8:R8)</f>
        <v>0</v>
      </c>
      <c r="T8" s="1088">
        <f t="shared" ref="T8:T71" si="13">S8/12</f>
        <v>0</v>
      </c>
      <c r="U8" s="1089">
        <f t="shared" ref="U8:V71" si="14">L8+S8</f>
        <v>0</v>
      </c>
      <c r="V8" s="1089">
        <f t="shared" si="14"/>
        <v>0</v>
      </c>
    </row>
    <row r="9" spans="1:22">
      <c r="A9" s="1028">
        <v>3</v>
      </c>
      <c r="B9" s="1029" t="s">
        <v>104</v>
      </c>
      <c r="C9" s="1292">
        <f>'Table 8 2.1.12 MFP Funded'!Y6</f>
        <v>0</v>
      </c>
      <c r="D9" s="1031">
        <f>'Table 3 Levels 1&amp;2'!AL10</f>
        <v>4326.5384352059973</v>
      </c>
      <c r="E9" s="1137">
        <f t="shared" si="2"/>
        <v>0</v>
      </c>
      <c r="F9" s="1137">
        <f>'Table 4 Level 3'!P8</f>
        <v>596.84</v>
      </c>
      <c r="G9" s="1137">
        <f t="shared" si="3"/>
        <v>0</v>
      </c>
      <c r="H9" s="1087">
        <f t="shared" si="4"/>
        <v>0</v>
      </c>
      <c r="I9" s="1147">
        <f t="shared" si="5"/>
        <v>0</v>
      </c>
      <c r="J9" s="1087">
        <f t="shared" si="6"/>
        <v>0</v>
      </c>
      <c r="K9" s="1087">
        <v>0</v>
      </c>
      <c r="L9" s="1087">
        <f t="shared" si="7"/>
        <v>0</v>
      </c>
      <c r="M9" s="1087">
        <f t="shared" si="8"/>
        <v>0</v>
      </c>
      <c r="N9" s="1086">
        <f>'[8]FY2012-13 Initial'!$K10</f>
        <v>4995</v>
      </c>
      <c r="O9" s="1088">
        <f t="shared" si="9"/>
        <v>0</v>
      </c>
      <c r="P9" s="1155">
        <f t="shared" si="10"/>
        <v>0</v>
      </c>
      <c r="Q9" s="1088">
        <f t="shared" si="11"/>
        <v>0</v>
      </c>
      <c r="R9" s="1088">
        <v>0</v>
      </c>
      <c r="S9" s="1088">
        <f t="shared" si="12"/>
        <v>0</v>
      </c>
      <c r="T9" s="1088">
        <f t="shared" si="13"/>
        <v>0</v>
      </c>
      <c r="U9" s="1089">
        <f t="shared" si="14"/>
        <v>0</v>
      </c>
      <c r="V9" s="1089">
        <f t="shared" si="14"/>
        <v>0</v>
      </c>
    </row>
    <row r="10" spans="1:22">
      <c r="A10" s="1028">
        <v>4</v>
      </c>
      <c r="B10" s="1029" t="s">
        <v>105</v>
      </c>
      <c r="C10" s="1292">
        <f>'Table 8 2.1.12 MFP Funded'!Y7</f>
        <v>0</v>
      </c>
      <c r="D10" s="1031">
        <f>'Table 3 Levels 1&amp;2'!AL11</f>
        <v>6066.2659652331004</v>
      </c>
      <c r="E10" s="1137">
        <f t="shared" si="2"/>
        <v>0</v>
      </c>
      <c r="F10" s="1137">
        <f>'Table 4 Level 3'!P9</f>
        <v>585.76</v>
      </c>
      <c r="G10" s="1137">
        <f t="shared" si="3"/>
        <v>0</v>
      </c>
      <c r="H10" s="1087">
        <f t="shared" si="4"/>
        <v>0</v>
      </c>
      <c r="I10" s="1147">
        <f t="shared" si="5"/>
        <v>0</v>
      </c>
      <c r="J10" s="1087">
        <f t="shared" si="6"/>
        <v>0</v>
      </c>
      <c r="K10" s="1087">
        <v>0</v>
      </c>
      <c r="L10" s="1087">
        <f t="shared" si="7"/>
        <v>0</v>
      </c>
      <c r="M10" s="1087">
        <f t="shared" si="8"/>
        <v>0</v>
      </c>
      <c r="N10" s="1086">
        <f>'[8]FY2012-13 Initial'!$K11</f>
        <v>3361</v>
      </c>
      <c r="O10" s="1088">
        <f t="shared" si="9"/>
        <v>0</v>
      </c>
      <c r="P10" s="1155">
        <f t="shared" si="10"/>
        <v>0</v>
      </c>
      <c r="Q10" s="1088">
        <f t="shared" si="11"/>
        <v>0</v>
      </c>
      <c r="R10" s="1088">
        <v>0</v>
      </c>
      <c r="S10" s="1088">
        <f t="shared" si="12"/>
        <v>0</v>
      </c>
      <c r="T10" s="1088">
        <f t="shared" si="13"/>
        <v>0</v>
      </c>
      <c r="U10" s="1089">
        <f t="shared" si="14"/>
        <v>0</v>
      </c>
      <c r="V10" s="1089">
        <f t="shared" si="14"/>
        <v>0</v>
      </c>
    </row>
    <row r="11" spans="1:22">
      <c r="A11" s="1032">
        <v>5</v>
      </c>
      <c r="B11" s="1033" t="s">
        <v>106</v>
      </c>
      <c r="C11" s="1293">
        <f>'Table 8 2.1.12 MFP Funded'!Y8</f>
        <v>0</v>
      </c>
      <c r="D11" s="1035">
        <f>'Table 3 Levels 1&amp;2'!AL12</f>
        <v>4806.2126132223084</v>
      </c>
      <c r="E11" s="1138">
        <f t="shared" si="2"/>
        <v>0</v>
      </c>
      <c r="F11" s="1138">
        <f>'Table 4 Level 3'!P10</f>
        <v>555.91</v>
      </c>
      <c r="G11" s="1138">
        <f t="shared" si="3"/>
        <v>0</v>
      </c>
      <c r="H11" s="1090">
        <f t="shared" si="4"/>
        <v>0</v>
      </c>
      <c r="I11" s="1148">
        <f t="shared" si="5"/>
        <v>0</v>
      </c>
      <c r="J11" s="1090">
        <f t="shared" si="6"/>
        <v>0</v>
      </c>
      <c r="K11" s="1090">
        <v>0</v>
      </c>
      <c r="L11" s="1090">
        <f t="shared" si="7"/>
        <v>0</v>
      </c>
      <c r="M11" s="1090">
        <f t="shared" si="8"/>
        <v>0</v>
      </c>
      <c r="N11" s="1091">
        <f>'[8]FY2012-13 Initial'!$K12</f>
        <v>1146</v>
      </c>
      <c r="O11" s="1092">
        <f t="shared" si="9"/>
        <v>0</v>
      </c>
      <c r="P11" s="1156">
        <f t="shared" si="10"/>
        <v>0</v>
      </c>
      <c r="Q11" s="1092">
        <f t="shared" si="11"/>
        <v>0</v>
      </c>
      <c r="R11" s="1092">
        <v>0</v>
      </c>
      <c r="S11" s="1092">
        <f t="shared" si="12"/>
        <v>0</v>
      </c>
      <c r="T11" s="1092">
        <f t="shared" si="13"/>
        <v>0</v>
      </c>
      <c r="U11" s="1093">
        <f t="shared" si="14"/>
        <v>0</v>
      </c>
      <c r="V11" s="1093">
        <f t="shared" si="14"/>
        <v>0</v>
      </c>
    </row>
    <row r="12" spans="1:22">
      <c r="A12" s="1021">
        <v>6</v>
      </c>
      <c r="B12" s="1022" t="s">
        <v>107</v>
      </c>
      <c r="C12" s="1294">
        <f>'Table 8 2.1.12 MFP Funded'!Y9</f>
        <v>0</v>
      </c>
      <c r="D12" s="1024">
        <f>'Table 3 Levels 1&amp;2'!AL13</f>
        <v>5538.0879878550813</v>
      </c>
      <c r="E12" s="1136">
        <f t="shared" si="2"/>
        <v>0</v>
      </c>
      <c r="F12" s="1136">
        <f>'Table 4 Level 3'!P11</f>
        <v>545.4799999999999</v>
      </c>
      <c r="G12" s="1136">
        <f t="shared" si="3"/>
        <v>0</v>
      </c>
      <c r="H12" s="1025">
        <f t="shared" si="4"/>
        <v>0</v>
      </c>
      <c r="I12" s="1146">
        <f t="shared" si="5"/>
        <v>0</v>
      </c>
      <c r="J12" s="1025">
        <f t="shared" si="6"/>
        <v>0</v>
      </c>
      <c r="K12" s="1025">
        <v>0</v>
      </c>
      <c r="L12" s="1025">
        <f t="shared" si="7"/>
        <v>0</v>
      </c>
      <c r="M12" s="1025">
        <f t="shared" si="8"/>
        <v>0</v>
      </c>
      <c r="N12" s="1086">
        <f>'[8]FY2012-13 Initial'!$K13</f>
        <v>3431</v>
      </c>
      <c r="O12" s="1026">
        <f t="shared" si="9"/>
        <v>0</v>
      </c>
      <c r="P12" s="1154">
        <f t="shared" si="10"/>
        <v>0</v>
      </c>
      <c r="Q12" s="1026">
        <f t="shared" si="11"/>
        <v>0</v>
      </c>
      <c r="R12" s="1026">
        <v>0</v>
      </c>
      <c r="S12" s="1026">
        <f t="shared" si="12"/>
        <v>0</v>
      </c>
      <c r="T12" s="1026">
        <f t="shared" si="13"/>
        <v>0</v>
      </c>
      <c r="U12" s="1027">
        <f t="shared" si="14"/>
        <v>0</v>
      </c>
      <c r="V12" s="1027">
        <f t="shared" si="14"/>
        <v>0</v>
      </c>
    </row>
    <row r="13" spans="1:22">
      <c r="A13" s="1028">
        <v>7</v>
      </c>
      <c r="B13" s="1029" t="s">
        <v>108</v>
      </c>
      <c r="C13" s="1292">
        <f>'Table 8 2.1.12 MFP Funded'!Y10</f>
        <v>0</v>
      </c>
      <c r="D13" s="1031">
        <f>'Table 3 Levels 1&amp;2'!AL14</f>
        <v>1543.5712353471597</v>
      </c>
      <c r="E13" s="1137">
        <f t="shared" si="2"/>
        <v>0</v>
      </c>
      <c r="F13" s="1137">
        <f>'Table 4 Level 3'!P12</f>
        <v>756.91999999999985</v>
      </c>
      <c r="G13" s="1137">
        <f t="shared" si="3"/>
        <v>0</v>
      </c>
      <c r="H13" s="1087">
        <f t="shared" si="4"/>
        <v>0</v>
      </c>
      <c r="I13" s="1147">
        <f t="shared" si="5"/>
        <v>0</v>
      </c>
      <c r="J13" s="1087">
        <f t="shared" si="6"/>
        <v>0</v>
      </c>
      <c r="K13" s="1087">
        <v>0</v>
      </c>
      <c r="L13" s="1087">
        <f t="shared" si="7"/>
        <v>0</v>
      </c>
      <c r="M13" s="1087">
        <f t="shared" si="8"/>
        <v>0</v>
      </c>
      <c r="N13" s="1086">
        <f>'[8]FY2012-13 Initial'!$K14</f>
        <v>12974</v>
      </c>
      <c r="O13" s="1088">
        <f t="shared" si="9"/>
        <v>0</v>
      </c>
      <c r="P13" s="1155">
        <f t="shared" si="10"/>
        <v>0</v>
      </c>
      <c r="Q13" s="1088">
        <f t="shared" si="11"/>
        <v>0</v>
      </c>
      <c r="R13" s="1088">
        <v>0</v>
      </c>
      <c r="S13" s="1088">
        <f t="shared" si="12"/>
        <v>0</v>
      </c>
      <c r="T13" s="1088">
        <f t="shared" si="13"/>
        <v>0</v>
      </c>
      <c r="U13" s="1089">
        <f t="shared" si="14"/>
        <v>0</v>
      </c>
      <c r="V13" s="1089">
        <f t="shared" si="14"/>
        <v>0</v>
      </c>
    </row>
    <row r="14" spans="1:22">
      <c r="A14" s="1028">
        <v>8</v>
      </c>
      <c r="B14" s="1029" t="s">
        <v>109</v>
      </c>
      <c r="C14" s="1292">
        <f>'Table 8 2.1.12 MFP Funded'!Y11</f>
        <v>0</v>
      </c>
      <c r="D14" s="1031">
        <f>'Table 3 Levels 1&amp;2'!AL15</f>
        <v>4033.4866571910334</v>
      </c>
      <c r="E14" s="1137">
        <f t="shared" si="2"/>
        <v>0</v>
      </c>
      <c r="F14" s="1137">
        <f>'Table 4 Level 3'!P13</f>
        <v>725.76</v>
      </c>
      <c r="G14" s="1137">
        <f t="shared" si="3"/>
        <v>0</v>
      </c>
      <c r="H14" s="1087">
        <f t="shared" si="4"/>
        <v>0</v>
      </c>
      <c r="I14" s="1147">
        <f t="shared" si="5"/>
        <v>0</v>
      </c>
      <c r="J14" s="1087">
        <f t="shared" si="6"/>
        <v>0</v>
      </c>
      <c r="K14" s="1087">
        <v>0</v>
      </c>
      <c r="L14" s="1087">
        <f t="shared" si="7"/>
        <v>0</v>
      </c>
      <c r="M14" s="1087">
        <f t="shared" si="8"/>
        <v>0</v>
      </c>
      <c r="N14" s="1086">
        <f>'[8]FY2012-13 Initial'!$K15</f>
        <v>4234</v>
      </c>
      <c r="O14" s="1088">
        <f t="shared" si="9"/>
        <v>0</v>
      </c>
      <c r="P14" s="1155">
        <f t="shared" si="10"/>
        <v>0</v>
      </c>
      <c r="Q14" s="1088">
        <f t="shared" si="11"/>
        <v>0</v>
      </c>
      <c r="R14" s="1088">
        <v>0</v>
      </c>
      <c r="S14" s="1088">
        <f t="shared" si="12"/>
        <v>0</v>
      </c>
      <c r="T14" s="1088">
        <f t="shared" si="13"/>
        <v>0</v>
      </c>
      <c r="U14" s="1089">
        <f t="shared" si="14"/>
        <v>0</v>
      </c>
      <c r="V14" s="1089">
        <f t="shared" si="14"/>
        <v>0</v>
      </c>
    </row>
    <row r="15" spans="1:22">
      <c r="A15" s="1028">
        <v>9</v>
      </c>
      <c r="B15" s="1029" t="s">
        <v>110</v>
      </c>
      <c r="C15" s="1292">
        <f>'Table 8 2.1.12 MFP Funded'!Y12</f>
        <v>0</v>
      </c>
      <c r="D15" s="1031">
        <f>'Table 3 Levels 1&amp;2'!AL16</f>
        <v>4268.3217271902904</v>
      </c>
      <c r="E15" s="1137">
        <f t="shared" si="2"/>
        <v>0</v>
      </c>
      <c r="F15" s="1137">
        <f>'Table 4 Level 3'!P14</f>
        <v>744.76</v>
      </c>
      <c r="G15" s="1137">
        <f t="shared" si="3"/>
        <v>0</v>
      </c>
      <c r="H15" s="1087">
        <f t="shared" si="4"/>
        <v>0</v>
      </c>
      <c r="I15" s="1147">
        <f t="shared" si="5"/>
        <v>0</v>
      </c>
      <c r="J15" s="1087">
        <f t="shared" si="6"/>
        <v>0</v>
      </c>
      <c r="K15" s="1087">
        <v>0</v>
      </c>
      <c r="L15" s="1087">
        <f t="shared" si="7"/>
        <v>0</v>
      </c>
      <c r="M15" s="1087">
        <f t="shared" si="8"/>
        <v>0</v>
      </c>
      <c r="N15" s="1086">
        <f>'[8]FY2012-13 Initial'!$K16</f>
        <v>4539</v>
      </c>
      <c r="O15" s="1088">
        <f t="shared" si="9"/>
        <v>0</v>
      </c>
      <c r="P15" s="1155">
        <f t="shared" si="10"/>
        <v>0</v>
      </c>
      <c r="Q15" s="1088">
        <f t="shared" si="11"/>
        <v>0</v>
      </c>
      <c r="R15" s="1088">
        <v>0</v>
      </c>
      <c r="S15" s="1088">
        <f t="shared" si="12"/>
        <v>0</v>
      </c>
      <c r="T15" s="1088">
        <f t="shared" si="13"/>
        <v>0</v>
      </c>
      <c r="U15" s="1089">
        <f t="shared" si="14"/>
        <v>0</v>
      </c>
      <c r="V15" s="1089">
        <f t="shared" si="14"/>
        <v>0</v>
      </c>
    </row>
    <row r="16" spans="1:22">
      <c r="A16" s="1032">
        <v>10</v>
      </c>
      <c r="B16" s="1033" t="s">
        <v>111</v>
      </c>
      <c r="C16" s="1293">
        <f>'Table 8 2.1.12 MFP Funded'!Y13</f>
        <v>0</v>
      </c>
      <c r="D16" s="1035">
        <f>'Table 3 Levels 1&amp;2'!AL17</f>
        <v>4300.0681374076885</v>
      </c>
      <c r="E16" s="1138">
        <f t="shared" si="2"/>
        <v>0</v>
      </c>
      <c r="F16" s="1138">
        <f>'Table 4 Level 3'!P15</f>
        <v>608.04000000000008</v>
      </c>
      <c r="G16" s="1138">
        <f t="shared" si="3"/>
        <v>0</v>
      </c>
      <c r="H16" s="1090">
        <f t="shared" si="4"/>
        <v>0</v>
      </c>
      <c r="I16" s="1148">
        <f t="shared" si="5"/>
        <v>0</v>
      </c>
      <c r="J16" s="1090">
        <f t="shared" si="6"/>
        <v>0</v>
      </c>
      <c r="K16" s="1090">
        <v>0</v>
      </c>
      <c r="L16" s="1090">
        <f t="shared" si="7"/>
        <v>0</v>
      </c>
      <c r="M16" s="1090">
        <f t="shared" si="8"/>
        <v>0</v>
      </c>
      <c r="N16" s="1091">
        <f>'[8]FY2012-13 Initial'!$K17</f>
        <v>4312</v>
      </c>
      <c r="O16" s="1092">
        <f t="shared" si="9"/>
        <v>0</v>
      </c>
      <c r="P16" s="1156">
        <f t="shared" si="10"/>
        <v>0</v>
      </c>
      <c r="Q16" s="1092">
        <f t="shared" si="11"/>
        <v>0</v>
      </c>
      <c r="R16" s="1092">
        <v>0</v>
      </c>
      <c r="S16" s="1092">
        <f t="shared" si="12"/>
        <v>0</v>
      </c>
      <c r="T16" s="1092">
        <f t="shared" si="13"/>
        <v>0</v>
      </c>
      <c r="U16" s="1093">
        <f t="shared" si="14"/>
        <v>0</v>
      </c>
      <c r="V16" s="1093">
        <f t="shared" si="14"/>
        <v>0</v>
      </c>
    </row>
    <row r="17" spans="1:22">
      <c r="A17" s="1021">
        <v>11</v>
      </c>
      <c r="B17" s="1022" t="s">
        <v>112</v>
      </c>
      <c r="C17" s="1294">
        <f>'Table 8 2.1.12 MFP Funded'!Y14</f>
        <v>0</v>
      </c>
      <c r="D17" s="1024">
        <f>'Table 3 Levels 1&amp;2'!AL18</f>
        <v>6740.2393955908683</v>
      </c>
      <c r="E17" s="1136">
        <f t="shared" si="2"/>
        <v>0</v>
      </c>
      <c r="F17" s="1136">
        <f>'Table 4 Level 3'!P16</f>
        <v>706.55</v>
      </c>
      <c r="G17" s="1136">
        <f t="shared" si="3"/>
        <v>0</v>
      </c>
      <c r="H17" s="1025">
        <f t="shared" si="4"/>
        <v>0</v>
      </c>
      <c r="I17" s="1146">
        <f t="shared" si="5"/>
        <v>0</v>
      </c>
      <c r="J17" s="1025">
        <f t="shared" si="6"/>
        <v>0</v>
      </c>
      <c r="K17" s="1025">
        <v>0</v>
      </c>
      <c r="L17" s="1025">
        <f t="shared" si="7"/>
        <v>0</v>
      </c>
      <c r="M17" s="1025">
        <f t="shared" si="8"/>
        <v>0</v>
      </c>
      <c r="N17" s="1086">
        <f>'[8]FY2012-13 Initial'!$K18</f>
        <v>3004</v>
      </c>
      <c r="O17" s="1026">
        <f t="shared" si="9"/>
        <v>0</v>
      </c>
      <c r="P17" s="1154">
        <f t="shared" si="10"/>
        <v>0</v>
      </c>
      <c r="Q17" s="1026">
        <f t="shared" si="11"/>
        <v>0</v>
      </c>
      <c r="R17" s="1026">
        <v>0</v>
      </c>
      <c r="S17" s="1026">
        <f t="shared" si="12"/>
        <v>0</v>
      </c>
      <c r="T17" s="1026">
        <f t="shared" si="13"/>
        <v>0</v>
      </c>
      <c r="U17" s="1027">
        <f t="shared" si="14"/>
        <v>0</v>
      </c>
      <c r="V17" s="1027">
        <f t="shared" si="14"/>
        <v>0</v>
      </c>
    </row>
    <row r="18" spans="1:22">
      <c r="A18" s="1028">
        <v>12</v>
      </c>
      <c r="B18" s="1029" t="s">
        <v>113</v>
      </c>
      <c r="C18" s="1292">
        <f>'Table 8 2.1.12 MFP Funded'!Y15</f>
        <v>0</v>
      </c>
      <c r="D18" s="1031">
        <f>'Table 3 Levels 1&amp;2'!AL19</f>
        <v>1781.2877551020408</v>
      </c>
      <c r="E18" s="1137">
        <f t="shared" si="2"/>
        <v>0</v>
      </c>
      <c r="F18" s="1137">
        <f>'Table 4 Level 3'!P17</f>
        <v>1063.31</v>
      </c>
      <c r="G18" s="1137">
        <f t="shared" si="3"/>
        <v>0</v>
      </c>
      <c r="H18" s="1087">
        <f t="shared" si="4"/>
        <v>0</v>
      </c>
      <c r="I18" s="1147">
        <f t="shared" si="5"/>
        <v>0</v>
      </c>
      <c r="J18" s="1087">
        <f t="shared" si="6"/>
        <v>0</v>
      </c>
      <c r="K18" s="1087">
        <v>0</v>
      </c>
      <c r="L18" s="1087">
        <f t="shared" si="7"/>
        <v>0</v>
      </c>
      <c r="M18" s="1087">
        <f t="shared" si="8"/>
        <v>0</v>
      </c>
      <c r="N18" s="1086">
        <f>'[8]FY2012-13 Initial'!$K19</f>
        <v>12439</v>
      </c>
      <c r="O18" s="1088">
        <f t="shared" si="9"/>
        <v>0</v>
      </c>
      <c r="P18" s="1155">
        <f t="shared" si="10"/>
        <v>0</v>
      </c>
      <c r="Q18" s="1088">
        <f t="shared" si="11"/>
        <v>0</v>
      </c>
      <c r="R18" s="1088">
        <v>0</v>
      </c>
      <c r="S18" s="1088">
        <f t="shared" si="12"/>
        <v>0</v>
      </c>
      <c r="T18" s="1088">
        <f t="shared" si="13"/>
        <v>0</v>
      </c>
      <c r="U18" s="1089">
        <f t="shared" si="14"/>
        <v>0</v>
      </c>
      <c r="V18" s="1089">
        <f t="shared" si="14"/>
        <v>0</v>
      </c>
    </row>
    <row r="19" spans="1:22">
      <c r="A19" s="1028">
        <v>13</v>
      </c>
      <c r="B19" s="1029" t="s">
        <v>114</v>
      </c>
      <c r="C19" s="1292">
        <f>'Table 8 2.1.12 MFP Funded'!Y16</f>
        <v>0</v>
      </c>
      <c r="D19" s="1031">
        <f>'Table 3 Levels 1&amp;2'!AL20</f>
        <v>6125.5331903699798</v>
      </c>
      <c r="E19" s="1137">
        <f t="shared" si="2"/>
        <v>0</v>
      </c>
      <c r="F19" s="1137">
        <f>'Table 4 Level 3'!P18</f>
        <v>749.43000000000006</v>
      </c>
      <c r="G19" s="1137">
        <f t="shared" si="3"/>
        <v>0</v>
      </c>
      <c r="H19" s="1087">
        <f t="shared" si="4"/>
        <v>0</v>
      </c>
      <c r="I19" s="1147">
        <f t="shared" si="5"/>
        <v>0</v>
      </c>
      <c r="J19" s="1087">
        <f t="shared" si="6"/>
        <v>0</v>
      </c>
      <c r="K19" s="1087">
        <v>0</v>
      </c>
      <c r="L19" s="1087">
        <f t="shared" si="7"/>
        <v>0</v>
      </c>
      <c r="M19" s="1087">
        <f t="shared" si="8"/>
        <v>0</v>
      </c>
      <c r="N19" s="1086">
        <f>'[8]FY2012-13 Initial'!$K20</f>
        <v>2518</v>
      </c>
      <c r="O19" s="1088">
        <f t="shared" si="9"/>
        <v>0</v>
      </c>
      <c r="P19" s="1155">
        <f t="shared" si="10"/>
        <v>0</v>
      </c>
      <c r="Q19" s="1088">
        <f t="shared" si="11"/>
        <v>0</v>
      </c>
      <c r="R19" s="1088">
        <v>0</v>
      </c>
      <c r="S19" s="1088">
        <f t="shared" si="12"/>
        <v>0</v>
      </c>
      <c r="T19" s="1088">
        <f t="shared" si="13"/>
        <v>0</v>
      </c>
      <c r="U19" s="1089">
        <f t="shared" si="14"/>
        <v>0</v>
      </c>
      <c r="V19" s="1089">
        <f t="shared" si="14"/>
        <v>0</v>
      </c>
    </row>
    <row r="20" spans="1:22">
      <c r="A20" s="1028">
        <v>14</v>
      </c>
      <c r="B20" s="1029" t="s">
        <v>115</v>
      </c>
      <c r="C20" s="1292">
        <f>'Table 8 2.1.12 MFP Funded'!Y17</f>
        <v>0</v>
      </c>
      <c r="D20" s="1031">
        <f>'Table 3 Levels 1&amp;2'!AL21</f>
        <v>5278.0936993421856</v>
      </c>
      <c r="E20" s="1137">
        <f t="shared" si="2"/>
        <v>0</v>
      </c>
      <c r="F20" s="1137">
        <f>'Table 4 Level 3'!P19</f>
        <v>809.9799999999999</v>
      </c>
      <c r="G20" s="1137">
        <f t="shared" si="3"/>
        <v>0</v>
      </c>
      <c r="H20" s="1087">
        <f t="shared" si="4"/>
        <v>0</v>
      </c>
      <c r="I20" s="1147">
        <f t="shared" si="5"/>
        <v>0</v>
      </c>
      <c r="J20" s="1087">
        <f t="shared" si="6"/>
        <v>0</v>
      </c>
      <c r="K20" s="1087">
        <v>0</v>
      </c>
      <c r="L20" s="1087">
        <f t="shared" si="7"/>
        <v>0</v>
      </c>
      <c r="M20" s="1087">
        <f t="shared" si="8"/>
        <v>0</v>
      </c>
      <c r="N20" s="1086">
        <f>'[8]FY2012-13 Initial'!$K21</f>
        <v>3605</v>
      </c>
      <c r="O20" s="1088">
        <f t="shared" si="9"/>
        <v>0</v>
      </c>
      <c r="P20" s="1155">
        <f t="shared" si="10"/>
        <v>0</v>
      </c>
      <c r="Q20" s="1088">
        <f t="shared" si="11"/>
        <v>0</v>
      </c>
      <c r="R20" s="1088">
        <v>0</v>
      </c>
      <c r="S20" s="1088">
        <f t="shared" si="12"/>
        <v>0</v>
      </c>
      <c r="T20" s="1088">
        <f t="shared" si="13"/>
        <v>0</v>
      </c>
      <c r="U20" s="1089">
        <f t="shared" si="14"/>
        <v>0</v>
      </c>
      <c r="V20" s="1089">
        <f t="shared" si="14"/>
        <v>0</v>
      </c>
    </row>
    <row r="21" spans="1:22">
      <c r="A21" s="1032">
        <v>15</v>
      </c>
      <c r="B21" s="1033" t="s">
        <v>116</v>
      </c>
      <c r="C21" s="1293">
        <f>'Table 8 2.1.12 MFP Funded'!Y18</f>
        <v>0</v>
      </c>
      <c r="D21" s="1035">
        <f>'Table 3 Levels 1&amp;2'!AL22</f>
        <v>5428.9842692179664</v>
      </c>
      <c r="E21" s="1138">
        <f t="shared" si="2"/>
        <v>0</v>
      </c>
      <c r="F21" s="1138">
        <f>'Table 4 Level 3'!P20</f>
        <v>553.79999999999995</v>
      </c>
      <c r="G21" s="1138">
        <f t="shared" si="3"/>
        <v>0</v>
      </c>
      <c r="H21" s="1090">
        <f t="shared" si="4"/>
        <v>0</v>
      </c>
      <c r="I21" s="1148">
        <f t="shared" si="5"/>
        <v>0</v>
      </c>
      <c r="J21" s="1090">
        <f t="shared" si="6"/>
        <v>0</v>
      </c>
      <c r="K21" s="1090">
        <v>0</v>
      </c>
      <c r="L21" s="1090">
        <f t="shared" si="7"/>
        <v>0</v>
      </c>
      <c r="M21" s="1090">
        <f t="shared" si="8"/>
        <v>0</v>
      </c>
      <c r="N21" s="1091">
        <f>'[8]FY2012-13 Initial'!$K22</f>
        <v>2614</v>
      </c>
      <c r="O21" s="1092">
        <f t="shared" si="9"/>
        <v>0</v>
      </c>
      <c r="P21" s="1156">
        <f t="shared" si="10"/>
        <v>0</v>
      </c>
      <c r="Q21" s="1092">
        <f t="shared" si="11"/>
        <v>0</v>
      </c>
      <c r="R21" s="1092">
        <v>0</v>
      </c>
      <c r="S21" s="1092">
        <f t="shared" si="12"/>
        <v>0</v>
      </c>
      <c r="T21" s="1092">
        <f t="shared" si="13"/>
        <v>0</v>
      </c>
      <c r="U21" s="1093">
        <f t="shared" si="14"/>
        <v>0</v>
      </c>
      <c r="V21" s="1093">
        <f t="shared" si="14"/>
        <v>0</v>
      </c>
    </row>
    <row r="22" spans="1:22">
      <c r="A22" s="1021">
        <v>16</v>
      </c>
      <c r="B22" s="1022" t="s">
        <v>117</v>
      </c>
      <c r="C22" s="1294">
        <f>'Table 8 2.1.12 MFP Funded'!Y19</f>
        <v>0</v>
      </c>
      <c r="D22" s="1024">
        <f>'Table 3 Levels 1&amp;2'!AL23</f>
        <v>1501.2470754125757</v>
      </c>
      <c r="E22" s="1136">
        <f t="shared" si="2"/>
        <v>0</v>
      </c>
      <c r="F22" s="1136">
        <f>'Table 4 Level 3'!P21</f>
        <v>686.73</v>
      </c>
      <c r="G22" s="1136">
        <f t="shared" si="3"/>
        <v>0</v>
      </c>
      <c r="H22" s="1025">
        <f t="shared" si="4"/>
        <v>0</v>
      </c>
      <c r="I22" s="1146">
        <f t="shared" si="5"/>
        <v>0</v>
      </c>
      <c r="J22" s="1025">
        <f t="shared" si="6"/>
        <v>0</v>
      </c>
      <c r="K22" s="1025">
        <v>0</v>
      </c>
      <c r="L22" s="1025">
        <f t="shared" si="7"/>
        <v>0</v>
      </c>
      <c r="M22" s="1025">
        <f t="shared" si="8"/>
        <v>0</v>
      </c>
      <c r="N22" s="1086">
        <f>'[8]FY2012-13 Initial'!$K23</f>
        <v>16006</v>
      </c>
      <c r="O22" s="1026">
        <f t="shared" si="9"/>
        <v>0</v>
      </c>
      <c r="P22" s="1154">
        <f t="shared" si="10"/>
        <v>0</v>
      </c>
      <c r="Q22" s="1026">
        <f t="shared" si="11"/>
        <v>0</v>
      </c>
      <c r="R22" s="1026">
        <v>0</v>
      </c>
      <c r="S22" s="1026">
        <f t="shared" si="12"/>
        <v>0</v>
      </c>
      <c r="T22" s="1026">
        <f t="shared" si="13"/>
        <v>0</v>
      </c>
      <c r="U22" s="1027">
        <f t="shared" si="14"/>
        <v>0</v>
      </c>
      <c r="V22" s="1027">
        <f t="shared" si="14"/>
        <v>0</v>
      </c>
    </row>
    <row r="23" spans="1:22">
      <c r="A23" s="1028">
        <v>17</v>
      </c>
      <c r="B23" s="1029" t="s">
        <v>118</v>
      </c>
      <c r="C23" s="1292">
        <f>'Table 8 2.1.12 MFP Funded'!Y20</f>
        <v>0</v>
      </c>
      <c r="D23" s="1031">
        <f>'Table 3 Levels 1&amp;2'!AL24</f>
        <v>3386.5716964570697</v>
      </c>
      <c r="E23" s="1137">
        <f t="shared" si="2"/>
        <v>0</v>
      </c>
      <c r="F23" s="1137">
        <f>'Table 5B2_RSD_LA'!F7</f>
        <v>801.47762416806802</v>
      </c>
      <c r="G23" s="1137">
        <f t="shared" si="3"/>
        <v>0</v>
      </c>
      <c r="H23" s="1087">
        <f t="shared" si="4"/>
        <v>0</v>
      </c>
      <c r="I23" s="1147">
        <f t="shared" si="5"/>
        <v>0</v>
      </c>
      <c r="J23" s="1087">
        <f t="shared" si="6"/>
        <v>0</v>
      </c>
      <c r="K23" s="1087">
        <v>0</v>
      </c>
      <c r="L23" s="1087">
        <f t="shared" si="7"/>
        <v>0</v>
      </c>
      <c r="M23" s="1087">
        <f t="shared" si="8"/>
        <v>0</v>
      </c>
      <c r="N23" s="1086">
        <f>'[8]FY2012-13 Initial'!$K24</f>
        <v>6493</v>
      </c>
      <c r="O23" s="1088">
        <f t="shared" si="9"/>
        <v>0</v>
      </c>
      <c r="P23" s="1155">
        <f t="shared" si="10"/>
        <v>0</v>
      </c>
      <c r="Q23" s="1088">
        <f t="shared" si="11"/>
        <v>0</v>
      </c>
      <c r="R23" s="1088">
        <v>0</v>
      </c>
      <c r="S23" s="1088">
        <f t="shared" si="12"/>
        <v>0</v>
      </c>
      <c r="T23" s="1088">
        <f t="shared" si="13"/>
        <v>0</v>
      </c>
      <c r="U23" s="1089">
        <f t="shared" si="14"/>
        <v>0</v>
      </c>
      <c r="V23" s="1089">
        <f t="shared" si="14"/>
        <v>0</v>
      </c>
    </row>
    <row r="24" spans="1:22">
      <c r="A24" s="1028">
        <v>18</v>
      </c>
      <c r="B24" s="1029" t="s">
        <v>119</v>
      </c>
      <c r="C24" s="1292">
        <f>'Table 8 2.1.12 MFP Funded'!Y21</f>
        <v>0</v>
      </c>
      <c r="D24" s="1031">
        <f>'Table 3 Levels 1&amp;2'!AL25</f>
        <v>5798.0598063231446</v>
      </c>
      <c r="E24" s="1137">
        <f t="shared" si="2"/>
        <v>0</v>
      </c>
      <c r="F24" s="1137">
        <f>'Table 4 Level 3'!P23</f>
        <v>845.94999999999993</v>
      </c>
      <c r="G24" s="1137">
        <f t="shared" si="3"/>
        <v>0</v>
      </c>
      <c r="H24" s="1087">
        <f t="shared" si="4"/>
        <v>0</v>
      </c>
      <c r="I24" s="1147">
        <f t="shared" si="5"/>
        <v>0</v>
      </c>
      <c r="J24" s="1087">
        <f t="shared" si="6"/>
        <v>0</v>
      </c>
      <c r="K24" s="1087">
        <v>0</v>
      </c>
      <c r="L24" s="1087">
        <f t="shared" si="7"/>
        <v>0</v>
      </c>
      <c r="M24" s="1087">
        <f t="shared" si="8"/>
        <v>0</v>
      </c>
      <c r="N24" s="1086">
        <f>'[8]FY2012-13 Initial'!$K25</f>
        <v>2088</v>
      </c>
      <c r="O24" s="1088">
        <f t="shared" si="9"/>
        <v>0</v>
      </c>
      <c r="P24" s="1155">
        <f t="shared" si="10"/>
        <v>0</v>
      </c>
      <c r="Q24" s="1088">
        <f t="shared" si="11"/>
        <v>0</v>
      </c>
      <c r="R24" s="1088">
        <v>0</v>
      </c>
      <c r="S24" s="1088">
        <f t="shared" si="12"/>
        <v>0</v>
      </c>
      <c r="T24" s="1088">
        <f t="shared" si="13"/>
        <v>0</v>
      </c>
      <c r="U24" s="1089">
        <f t="shared" si="14"/>
        <v>0</v>
      </c>
      <c r="V24" s="1089">
        <f t="shared" si="14"/>
        <v>0</v>
      </c>
    </row>
    <row r="25" spans="1:22">
      <c r="A25" s="1028">
        <v>19</v>
      </c>
      <c r="B25" s="1029" t="s">
        <v>120</v>
      </c>
      <c r="C25" s="1292">
        <f>'Table 8 2.1.12 MFP Funded'!Y22</f>
        <v>0</v>
      </c>
      <c r="D25" s="1031">
        <f>'Table 3 Levels 1&amp;2'!AL26</f>
        <v>5219.1012787873206</v>
      </c>
      <c r="E25" s="1137">
        <f t="shared" si="2"/>
        <v>0</v>
      </c>
      <c r="F25" s="1137">
        <f>'Table 4 Level 3'!P24</f>
        <v>905.43</v>
      </c>
      <c r="G25" s="1137">
        <f t="shared" si="3"/>
        <v>0</v>
      </c>
      <c r="H25" s="1087">
        <f t="shared" si="4"/>
        <v>0</v>
      </c>
      <c r="I25" s="1147">
        <f t="shared" si="5"/>
        <v>0</v>
      </c>
      <c r="J25" s="1087">
        <f t="shared" si="6"/>
        <v>0</v>
      </c>
      <c r="K25" s="1087">
        <v>0</v>
      </c>
      <c r="L25" s="1087">
        <f t="shared" si="7"/>
        <v>0</v>
      </c>
      <c r="M25" s="1087">
        <f t="shared" si="8"/>
        <v>0</v>
      </c>
      <c r="N25" s="1086">
        <f>'[8]FY2012-13 Initial'!$K26</f>
        <v>2275</v>
      </c>
      <c r="O25" s="1088">
        <f t="shared" si="9"/>
        <v>0</v>
      </c>
      <c r="P25" s="1155">
        <f t="shared" si="10"/>
        <v>0</v>
      </c>
      <c r="Q25" s="1088">
        <f t="shared" si="11"/>
        <v>0</v>
      </c>
      <c r="R25" s="1088">
        <v>0</v>
      </c>
      <c r="S25" s="1088">
        <f t="shared" si="12"/>
        <v>0</v>
      </c>
      <c r="T25" s="1088">
        <f t="shared" si="13"/>
        <v>0</v>
      </c>
      <c r="U25" s="1089">
        <f t="shared" si="14"/>
        <v>0</v>
      </c>
      <c r="V25" s="1089">
        <f t="shared" si="14"/>
        <v>0</v>
      </c>
    </row>
    <row r="26" spans="1:22">
      <c r="A26" s="1032">
        <v>20</v>
      </c>
      <c r="B26" s="1033" t="s">
        <v>121</v>
      </c>
      <c r="C26" s="1293">
        <f>'Table 8 2.1.12 MFP Funded'!Y23</f>
        <v>0</v>
      </c>
      <c r="D26" s="1035">
        <f>'Table 3 Levels 1&amp;2'!AL27</f>
        <v>5441.7799844976798</v>
      </c>
      <c r="E26" s="1138">
        <f t="shared" si="2"/>
        <v>0</v>
      </c>
      <c r="F26" s="1138">
        <f>'Table 4 Level 3'!P25</f>
        <v>586.16999999999996</v>
      </c>
      <c r="G26" s="1138">
        <f t="shared" si="3"/>
        <v>0</v>
      </c>
      <c r="H26" s="1090">
        <f t="shared" si="4"/>
        <v>0</v>
      </c>
      <c r="I26" s="1148">
        <f t="shared" si="5"/>
        <v>0</v>
      </c>
      <c r="J26" s="1090">
        <f t="shared" si="6"/>
        <v>0</v>
      </c>
      <c r="K26" s="1090">
        <v>0</v>
      </c>
      <c r="L26" s="1090">
        <f t="shared" si="7"/>
        <v>0</v>
      </c>
      <c r="M26" s="1090">
        <f t="shared" si="8"/>
        <v>0</v>
      </c>
      <c r="N26" s="1091">
        <f>'[8]FY2012-13 Initial'!$K27</f>
        <v>2308</v>
      </c>
      <c r="O26" s="1092">
        <f t="shared" si="9"/>
        <v>0</v>
      </c>
      <c r="P26" s="1156">
        <f t="shared" si="10"/>
        <v>0</v>
      </c>
      <c r="Q26" s="1092">
        <f t="shared" si="11"/>
        <v>0</v>
      </c>
      <c r="R26" s="1092">
        <v>0</v>
      </c>
      <c r="S26" s="1092">
        <f t="shared" si="12"/>
        <v>0</v>
      </c>
      <c r="T26" s="1092">
        <f t="shared" si="13"/>
        <v>0</v>
      </c>
      <c r="U26" s="1093">
        <f t="shared" si="14"/>
        <v>0</v>
      </c>
      <c r="V26" s="1093">
        <f t="shared" si="14"/>
        <v>0</v>
      </c>
    </row>
    <row r="27" spans="1:22">
      <c r="A27" s="1021">
        <v>21</v>
      </c>
      <c r="B27" s="1022" t="s">
        <v>122</v>
      </c>
      <c r="C27" s="1294">
        <f>'Table 8 2.1.12 MFP Funded'!Y24</f>
        <v>0</v>
      </c>
      <c r="D27" s="1024">
        <f>'Table 3 Levels 1&amp;2'!AL28</f>
        <v>5718.7800910915075</v>
      </c>
      <c r="E27" s="1136">
        <f t="shared" si="2"/>
        <v>0</v>
      </c>
      <c r="F27" s="1136">
        <f>'Table 4 Level 3'!P26</f>
        <v>610.35</v>
      </c>
      <c r="G27" s="1136">
        <f t="shared" si="3"/>
        <v>0</v>
      </c>
      <c r="H27" s="1025">
        <f t="shared" si="4"/>
        <v>0</v>
      </c>
      <c r="I27" s="1146">
        <f t="shared" si="5"/>
        <v>0</v>
      </c>
      <c r="J27" s="1025">
        <f t="shared" si="6"/>
        <v>0</v>
      </c>
      <c r="K27" s="1025">
        <v>0</v>
      </c>
      <c r="L27" s="1025">
        <f t="shared" si="7"/>
        <v>0</v>
      </c>
      <c r="M27" s="1025">
        <f t="shared" si="8"/>
        <v>0</v>
      </c>
      <c r="N27" s="1086">
        <f>'[8]FY2012-13 Initial'!$K28</f>
        <v>2245</v>
      </c>
      <c r="O27" s="1026">
        <f t="shared" si="9"/>
        <v>0</v>
      </c>
      <c r="P27" s="1154">
        <f t="shared" si="10"/>
        <v>0</v>
      </c>
      <c r="Q27" s="1026">
        <f t="shared" si="11"/>
        <v>0</v>
      </c>
      <c r="R27" s="1026">
        <v>0</v>
      </c>
      <c r="S27" s="1026">
        <f t="shared" si="12"/>
        <v>0</v>
      </c>
      <c r="T27" s="1026">
        <f t="shared" si="13"/>
        <v>0</v>
      </c>
      <c r="U27" s="1027">
        <f t="shared" si="14"/>
        <v>0</v>
      </c>
      <c r="V27" s="1027">
        <f t="shared" si="14"/>
        <v>0</v>
      </c>
    </row>
    <row r="28" spans="1:22">
      <c r="A28" s="1028">
        <v>22</v>
      </c>
      <c r="B28" s="1029" t="s">
        <v>123</v>
      </c>
      <c r="C28" s="1292">
        <f>'Table 8 2.1.12 MFP Funded'!Y25</f>
        <v>0</v>
      </c>
      <c r="D28" s="1031">
        <f>'Table 3 Levels 1&amp;2'!AL29</f>
        <v>6198.830003500153</v>
      </c>
      <c r="E28" s="1137">
        <f t="shared" si="2"/>
        <v>0</v>
      </c>
      <c r="F28" s="1137">
        <f>'Table 4 Level 3'!P27</f>
        <v>496.36</v>
      </c>
      <c r="G28" s="1137">
        <f t="shared" si="3"/>
        <v>0</v>
      </c>
      <c r="H28" s="1087">
        <f t="shared" si="4"/>
        <v>0</v>
      </c>
      <c r="I28" s="1147">
        <f t="shared" si="5"/>
        <v>0</v>
      </c>
      <c r="J28" s="1087">
        <f t="shared" si="6"/>
        <v>0</v>
      </c>
      <c r="K28" s="1087">
        <v>0</v>
      </c>
      <c r="L28" s="1087">
        <f t="shared" si="7"/>
        <v>0</v>
      </c>
      <c r="M28" s="1087">
        <f t="shared" si="8"/>
        <v>0</v>
      </c>
      <c r="N28" s="1086">
        <f>'[8]FY2012-13 Initial'!$K29</f>
        <v>1445</v>
      </c>
      <c r="O28" s="1088">
        <f t="shared" si="9"/>
        <v>0</v>
      </c>
      <c r="P28" s="1155">
        <f t="shared" si="10"/>
        <v>0</v>
      </c>
      <c r="Q28" s="1088">
        <f t="shared" si="11"/>
        <v>0</v>
      </c>
      <c r="R28" s="1088">
        <v>0</v>
      </c>
      <c r="S28" s="1088">
        <f t="shared" si="12"/>
        <v>0</v>
      </c>
      <c r="T28" s="1088">
        <f t="shared" si="13"/>
        <v>0</v>
      </c>
      <c r="U28" s="1089">
        <f t="shared" si="14"/>
        <v>0</v>
      </c>
      <c r="V28" s="1089">
        <f t="shared" si="14"/>
        <v>0</v>
      </c>
    </row>
    <row r="29" spans="1:22">
      <c r="A29" s="1028">
        <v>23</v>
      </c>
      <c r="B29" s="1029" t="s">
        <v>124</v>
      </c>
      <c r="C29" s="1292">
        <f>'Table 8 2.1.12 MFP Funded'!Y26</f>
        <v>0</v>
      </c>
      <c r="D29" s="1031">
        <f>'Table 3 Levels 1&amp;2'!AL30</f>
        <v>4809.0299298140199</v>
      </c>
      <c r="E29" s="1137">
        <f t="shared" si="2"/>
        <v>0</v>
      </c>
      <c r="F29" s="1137">
        <f>'Table 4 Level 3'!P28</f>
        <v>688.58</v>
      </c>
      <c r="G29" s="1137">
        <f t="shared" si="3"/>
        <v>0</v>
      </c>
      <c r="H29" s="1087">
        <f t="shared" si="4"/>
        <v>0</v>
      </c>
      <c r="I29" s="1147">
        <f t="shared" si="5"/>
        <v>0</v>
      </c>
      <c r="J29" s="1087">
        <f t="shared" si="6"/>
        <v>0</v>
      </c>
      <c r="K29" s="1087">
        <v>0</v>
      </c>
      <c r="L29" s="1087">
        <f t="shared" si="7"/>
        <v>0</v>
      </c>
      <c r="M29" s="1087">
        <f t="shared" si="8"/>
        <v>0</v>
      </c>
      <c r="N29" s="1086">
        <f>'[8]FY2012-13 Initial'!$K30</f>
        <v>3295</v>
      </c>
      <c r="O29" s="1088">
        <f t="shared" si="9"/>
        <v>0</v>
      </c>
      <c r="P29" s="1155">
        <f t="shared" si="10"/>
        <v>0</v>
      </c>
      <c r="Q29" s="1088">
        <f t="shared" si="11"/>
        <v>0</v>
      </c>
      <c r="R29" s="1088">
        <v>0</v>
      </c>
      <c r="S29" s="1088">
        <f t="shared" si="12"/>
        <v>0</v>
      </c>
      <c r="T29" s="1088">
        <f t="shared" si="13"/>
        <v>0</v>
      </c>
      <c r="U29" s="1089">
        <f t="shared" si="14"/>
        <v>0</v>
      </c>
      <c r="V29" s="1089">
        <f t="shared" si="14"/>
        <v>0</v>
      </c>
    </row>
    <row r="30" spans="1:22">
      <c r="A30" s="1028">
        <v>24</v>
      </c>
      <c r="B30" s="1029" t="s">
        <v>125</v>
      </c>
      <c r="C30" s="1292">
        <f>'Table 8 2.1.12 MFP Funded'!Y27</f>
        <v>0</v>
      </c>
      <c r="D30" s="1031">
        <f>'Table 3 Levels 1&amp;2'!AL31</f>
        <v>2649.7787452556372</v>
      </c>
      <c r="E30" s="1137">
        <f t="shared" si="2"/>
        <v>0</v>
      </c>
      <c r="F30" s="1137">
        <f>'Table 4 Level 3'!P29</f>
        <v>854.24999999999989</v>
      </c>
      <c r="G30" s="1137">
        <f t="shared" si="3"/>
        <v>0</v>
      </c>
      <c r="H30" s="1087">
        <f t="shared" si="4"/>
        <v>0</v>
      </c>
      <c r="I30" s="1147">
        <f t="shared" si="5"/>
        <v>0</v>
      </c>
      <c r="J30" s="1087">
        <f t="shared" si="6"/>
        <v>0</v>
      </c>
      <c r="K30" s="1087">
        <v>0</v>
      </c>
      <c r="L30" s="1087">
        <f t="shared" si="7"/>
        <v>0</v>
      </c>
      <c r="M30" s="1087">
        <f t="shared" si="8"/>
        <v>0</v>
      </c>
      <c r="N30" s="1086">
        <f>'[8]FY2012-13 Initial'!$K31</f>
        <v>8769</v>
      </c>
      <c r="O30" s="1088">
        <f t="shared" si="9"/>
        <v>0</v>
      </c>
      <c r="P30" s="1155">
        <f t="shared" si="10"/>
        <v>0</v>
      </c>
      <c r="Q30" s="1088">
        <f t="shared" si="11"/>
        <v>0</v>
      </c>
      <c r="R30" s="1088">
        <v>0</v>
      </c>
      <c r="S30" s="1088">
        <f t="shared" si="12"/>
        <v>0</v>
      </c>
      <c r="T30" s="1088">
        <f t="shared" si="13"/>
        <v>0</v>
      </c>
      <c r="U30" s="1089">
        <f t="shared" si="14"/>
        <v>0</v>
      </c>
      <c r="V30" s="1089">
        <f t="shared" si="14"/>
        <v>0</v>
      </c>
    </row>
    <row r="31" spans="1:22">
      <c r="A31" s="1032">
        <v>25</v>
      </c>
      <c r="B31" s="1033" t="s">
        <v>126</v>
      </c>
      <c r="C31" s="1293">
        <f>'Table 8 2.1.12 MFP Funded'!Y28</f>
        <v>0</v>
      </c>
      <c r="D31" s="1035">
        <f>'Table 3 Levels 1&amp;2'!AL32</f>
        <v>3848.3923674564248</v>
      </c>
      <c r="E31" s="1138">
        <f t="shared" si="2"/>
        <v>0</v>
      </c>
      <c r="F31" s="1138">
        <f>'Table 4 Level 3'!P30</f>
        <v>653.73</v>
      </c>
      <c r="G31" s="1138">
        <f t="shared" si="3"/>
        <v>0</v>
      </c>
      <c r="H31" s="1090">
        <f t="shared" si="4"/>
        <v>0</v>
      </c>
      <c r="I31" s="1148">
        <f t="shared" si="5"/>
        <v>0</v>
      </c>
      <c r="J31" s="1090">
        <f t="shared" si="6"/>
        <v>0</v>
      </c>
      <c r="K31" s="1090">
        <v>0</v>
      </c>
      <c r="L31" s="1090">
        <f t="shared" si="7"/>
        <v>0</v>
      </c>
      <c r="M31" s="1090">
        <f t="shared" si="8"/>
        <v>0</v>
      </c>
      <c r="N31" s="1091">
        <f>'[8]FY2012-13 Initial'!$K32</f>
        <v>5187</v>
      </c>
      <c r="O31" s="1092">
        <f t="shared" si="9"/>
        <v>0</v>
      </c>
      <c r="P31" s="1156">
        <f t="shared" si="10"/>
        <v>0</v>
      </c>
      <c r="Q31" s="1092">
        <f t="shared" si="11"/>
        <v>0</v>
      </c>
      <c r="R31" s="1092">
        <v>0</v>
      </c>
      <c r="S31" s="1092">
        <f t="shared" si="12"/>
        <v>0</v>
      </c>
      <c r="T31" s="1092">
        <f t="shared" si="13"/>
        <v>0</v>
      </c>
      <c r="U31" s="1093">
        <f t="shared" si="14"/>
        <v>0</v>
      </c>
      <c r="V31" s="1093">
        <f t="shared" si="14"/>
        <v>0</v>
      </c>
    </row>
    <row r="32" spans="1:22">
      <c r="A32" s="1021">
        <v>26</v>
      </c>
      <c r="B32" s="1022" t="s">
        <v>127</v>
      </c>
      <c r="C32" s="1294">
        <f>'Table 8 2.1.12 MFP Funded'!Y29</f>
        <v>12</v>
      </c>
      <c r="D32" s="1024">
        <f>'Table 3 Levels 1&amp;2'!AL33</f>
        <v>3145.9192082835102</v>
      </c>
      <c r="E32" s="1136">
        <f t="shared" si="2"/>
        <v>37751.030499402121</v>
      </c>
      <c r="F32" s="1136">
        <f>'Table 4 Level 3'!P31</f>
        <v>836.83</v>
      </c>
      <c r="G32" s="1136">
        <f t="shared" si="3"/>
        <v>10041.960000000001</v>
      </c>
      <c r="H32" s="1025">
        <f t="shared" si="4"/>
        <v>47792.99049940212</v>
      </c>
      <c r="I32" s="1146">
        <f t="shared" si="5"/>
        <v>-119.48247624850531</v>
      </c>
      <c r="J32" s="1025">
        <f t="shared" si="6"/>
        <v>47673.508023153612</v>
      </c>
      <c r="K32" s="1025">
        <v>0</v>
      </c>
      <c r="L32" s="1025">
        <f t="shared" si="7"/>
        <v>47673.508023153612</v>
      </c>
      <c r="M32" s="1025">
        <f t="shared" si="8"/>
        <v>3972.7923352628009</v>
      </c>
      <c r="N32" s="1086">
        <f>'[8]FY2012-13 Initial'!$K33</f>
        <v>5197</v>
      </c>
      <c r="O32" s="1026">
        <f t="shared" si="9"/>
        <v>62364</v>
      </c>
      <c r="P32" s="1154">
        <f t="shared" si="10"/>
        <v>-155.91</v>
      </c>
      <c r="Q32" s="1026">
        <f t="shared" si="11"/>
        <v>62208.09</v>
      </c>
      <c r="R32" s="1026">
        <v>0</v>
      </c>
      <c r="S32" s="1026">
        <f t="shared" si="12"/>
        <v>62208.09</v>
      </c>
      <c r="T32" s="1026">
        <f t="shared" si="13"/>
        <v>5184.0074999999997</v>
      </c>
      <c r="U32" s="1027">
        <f t="shared" si="14"/>
        <v>109881.59802315361</v>
      </c>
      <c r="V32" s="1027">
        <f t="shared" si="14"/>
        <v>9156.7998352628001</v>
      </c>
    </row>
    <row r="33" spans="1:22">
      <c r="A33" s="1028">
        <v>27</v>
      </c>
      <c r="B33" s="1029" t="s">
        <v>128</v>
      </c>
      <c r="C33" s="1295">
        <f>'Table 8 2.1.12 MFP Funded'!Y30</f>
        <v>0</v>
      </c>
      <c r="D33" s="1037">
        <f>'Table 3 Levels 1&amp;2'!AL34</f>
        <v>5653.5502977926608</v>
      </c>
      <c r="E33" s="1139">
        <f t="shared" si="2"/>
        <v>0</v>
      </c>
      <c r="F33" s="1139">
        <f>'Table 4 Level 3'!P32</f>
        <v>693.06</v>
      </c>
      <c r="G33" s="1139">
        <f t="shared" si="3"/>
        <v>0</v>
      </c>
      <c r="H33" s="1094">
        <f t="shared" si="4"/>
        <v>0</v>
      </c>
      <c r="I33" s="1149">
        <f t="shared" si="5"/>
        <v>0</v>
      </c>
      <c r="J33" s="1094">
        <f t="shared" si="6"/>
        <v>0</v>
      </c>
      <c r="K33" s="1094">
        <v>0</v>
      </c>
      <c r="L33" s="1094">
        <f t="shared" si="7"/>
        <v>0</v>
      </c>
      <c r="M33" s="1094">
        <f t="shared" si="8"/>
        <v>0</v>
      </c>
      <c r="N33" s="1086">
        <f>'[8]FY2012-13 Initial'!$K34</f>
        <v>3073</v>
      </c>
      <c r="O33" s="1088">
        <f t="shared" si="9"/>
        <v>0</v>
      </c>
      <c r="P33" s="1155">
        <f t="shared" si="10"/>
        <v>0</v>
      </c>
      <c r="Q33" s="1088">
        <f t="shared" si="11"/>
        <v>0</v>
      </c>
      <c r="R33" s="1088">
        <v>0</v>
      </c>
      <c r="S33" s="1088">
        <f t="shared" si="12"/>
        <v>0</v>
      </c>
      <c r="T33" s="1088">
        <f t="shared" si="13"/>
        <v>0</v>
      </c>
      <c r="U33" s="1089">
        <f t="shared" si="14"/>
        <v>0</v>
      </c>
      <c r="V33" s="1089">
        <f t="shared" si="14"/>
        <v>0</v>
      </c>
    </row>
    <row r="34" spans="1:22">
      <c r="A34" s="1028">
        <v>28</v>
      </c>
      <c r="B34" s="1029" t="s">
        <v>129</v>
      </c>
      <c r="C34" s="1295">
        <f>'Table 8 2.1.12 MFP Funded'!Y31</f>
        <v>0</v>
      </c>
      <c r="D34" s="1037">
        <f>'Table 3 Levels 1&amp;2'!AL35</f>
        <v>3200.5356505169011</v>
      </c>
      <c r="E34" s="1139">
        <f t="shared" si="2"/>
        <v>0</v>
      </c>
      <c r="F34" s="1139">
        <f>'Table 4 Level 3'!P33</f>
        <v>694.4</v>
      </c>
      <c r="G34" s="1139">
        <f t="shared" si="3"/>
        <v>0</v>
      </c>
      <c r="H34" s="1094">
        <f t="shared" si="4"/>
        <v>0</v>
      </c>
      <c r="I34" s="1149">
        <f t="shared" si="5"/>
        <v>0</v>
      </c>
      <c r="J34" s="1094">
        <f t="shared" si="6"/>
        <v>0</v>
      </c>
      <c r="K34" s="1094">
        <v>0</v>
      </c>
      <c r="L34" s="1094">
        <f t="shared" si="7"/>
        <v>0</v>
      </c>
      <c r="M34" s="1094">
        <f t="shared" si="8"/>
        <v>0</v>
      </c>
      <c r="N34" s="1086">
        <f>'[8]FY2012-13 Initial'!$K35</f>
        <v>5082</v>
      </c>
      <c r="O34" s="1088">
        <f t="shared" si="9"/>
        <v>0</v>
      </c>
      <c r="P34" s="1155">
        <f t="shared" si="10"/>
        <v>0</v>
      </c>
      <c r="Q34" s="1088">
        <f t="shared" si="11"/>
        <v>0</v>
      </c>
      <c r="R34" s="1088">
        <v>0</v>
      </c>
      <c r="S34" s="1088">
        <f t="shared" si="12"/>
        <v>0</v>
      </c>
      <c r="T34" s="1088">
        <f t="shared" si="13"/>
        <v>0</v>
      </c>
      <c r="U34" s="1089">
        <f t="shared" si="14"/>
        <v>0</v>
      </c>
      <c r="V34" s="1089">
        <f t="shared" si="14"/>
        <v>0</v>
      </c>
    </row>
    <row r="35" spans="1:22">
      <c r="A35" s="1028">
        <v>29</v>
      </c>
      <c r="B35" s="1029" t="s">
        <v>130</v>
      </c>
      <c r="C35" s="1295">
        <f>'Table 8 2.1.12 MFP Funded'!Y32</f>
        <v>0</v>
      </c>
      <c r="D35" s="1037">
        <f>'Table 3 Levels 1&amp;2'!AL36</f>
        <v>3945.0399545376122</v>
      </c>
      <c r="E35" s="1139">
        <f t="shared" si="2"/>
        <v>0</v>
      </c>
      <c r="F35" s="1139">
        <f>'Table 4 Level 3'!P34</f>
        <v>754.94999999999993</v>
      </c>
      <c r="G35" s="1139">
        <f t="shared" si="3"/>
        <v>0</v>
      </c>
      <c r="H35" s="1094">
        <f t="shared" si="4"/>
        <v>0</v>
      </c>
      <c r="I35" s="1149">
        <f t="shared" si="5"/>
        <v>0</v>
      </c>
      <c r="J35" s="1094">
        <f t="shared" si="6"/>
        <v>0</v>
      </c>
      <c r="K35" s="1094">
        <v>0</v>
      </c>
      <c r="L35" s="1094">
        <f t="shared" si="7"/>
        <v>0</v>
      </c>
      <c r="M35" s="1094">
        <f t="shared" si="8"/>
        <v>0</v>
      </c>
      <c r="N35" s="1086">
        <f>'[8]FY2012-13 Initial'!$K36</f>
        <v>4295</v>
      </c>
      <c r="O35" s="1088">
        <f t="shared" si="9"/>
        <v>0</v>
      </c>
      <c r="P35" s="1155">
        <f t="shared" si="10"/>
        <v>0</v>
      </c>
      <c r="Q35" s="1088">
        <f t="shared" si="11"/>
        <v>0</v>
      </c>
      <c r="R35" s="1088">
        <v>0</v>
      </c>
      <c r="S35" s="1088">
        <f t="shared" si="12"/>
        <v>0</v>
      </c>
      <c r="T35" s="1088">
        <f t="shared" si="13"/>
        <v>0</v>
      </c>
      <c r="U35" s="1089">
        <f t="shared" si="14"/>
        <v>0</v>
      </c>
      <c r="V35" s="1089">
        <f t="shared" si="14"/>
        <v>0</v>
      </c>
    </row>
    <row r="36" spans="1:22">
      <c r="A36" s="1032">
        <v>30</v>
      </c>
      <c r="B36" s="1033" t="s">
        <v>131</v>
      </c>
      <c r="C36" s="1296">
        <f>'Table 8 2.1.12 MFP Funded'!Y33</f>
        <v>0</v>
      </c>
      <c r="D36" s="1039">
        <f>'Table 3 Levels 1&amp;2'!AL37</f>
        <v>5594.8916667625617</v>
      </c>
      <c r="E36" s="1140">
        <f t="shared" si="2"/>
        <v>0</v>
      </c>
      <c r="F36" s="1140">
        <f>'Table 4 Level 3'!P35</f>
        <v>727.17</v>
      </c>
      <c r="G36" s="1140">
        <f t="shared" si="3"/>
        <v>0</v>
      </c>
      <c r="H36" s="1095">
        <f t="shared" si="4"/>
        <v>0</v>
      </c>
      <c r="I36" s="1150">
        <f t="shared" si="5"/>
        <v>0</v>
      </c>
      <c r="J36" s="1095">
        <f t="shared" si="6"/>
        <v>0</v>
      </c>
      <c r="K36" s="1095">
        <v>0</v>
      </c>
      <c r="L36" s="1095">
        <f t="shared" si="7"/>
        <v>0</v>
      </c>
      <c r="M36" s="1095">
        <f t="shared" si="8"/>
        <v>0</v>
      </c>
      <c r="N36" s="1091">
        <f>'[8]FY2012-13 Initial'!$K37</f>
        <v>3553</v>
      </c>
      <c r="O36" s="1092">
        <f t="shared" si="9"/>
        <v>0</v>
      </c>
      <c r="P36" s="1156">
        <f t="shared" si="10"/>
        <v>0</v>
      </c>
      <c r="Q36" s="1092">
        <f t="shared" si="11"/>
        <v>0</v>
      </c>
      <c r="R36" s="1092">
        <v>0</v>
      </c>
      <c r="S36" s="1092">
        <f t="shared" si="12"/>
        <v>0</v>
      </c>
      <c r="T36" s="1092">
        <f t="shared" si="13"/>
        <v>0</v>
      </c>
      <c r="U36" s="1093">
        <f t="shared" si="14"/>
        <v>0</v>
      </c>
      <c r="V36" s="1093">
        <f t="shared" si="14"/>
        <v>0</v>
      </c>
    </row>
    <row r="37" spans="1:22">
      <c r="A37" s="1021">
        <v>31</v>
      </c>
      <c r="B37" s="1022" t="s">
        <v>132</v>
      </c>
      <c r="C37" s="1297">
        <f>'Table 8 2.1.12 MFP Funded'!Y34</f>
        <v>0</v>
      </c>
      <c r="D37" s="1041">
        <f>'Table 3 Levels 1&amp;2'!AL38</f>
        <v>4159.5846806435638</v>
      </c>
      <c r="E37" s="1141">
        <f t="shared" si="2"/>
        <v>0</v>
      </c>
      <c r="F37" s="1141">
        <f>'Table 4 Level 3'!P36</f>
        <v>620.83000000000004</v>
      </c>
      <c r="G37" s="1141">
        <f t="shared" si="3"/>
        <v>0</v>
      </c>
      <c r="H37" s="1096">
        <f t="shared" si="4"/>
        <v>0</v>
      </c>
      <c r="I37" s="1151">
        <f t="shared" si="5"/>
        <v>0</v>
      </c>
      <c r="J37" s="1096">
        <f t="shared" si="6"/>
        <v>0</v>
      </c>
      <c r="K37" s="1096">
        <v>0</v>
      </c>
      <c r="L37" s="1096">
        <f t="shared" si="7"/>
        <v>0</v>
      </c>
      <c r="M37" s="1096">
        <f t="shared" si="8"/>
        <v>0</v>
      </c>
      <c r="N37" s="1086">
        <f>'[8]FY2012-13 Initial'!$K38</f>
        <v>4719</v>
      </c>
      <c r="O37" s="1026">
        <f t="shared" si="9"/>
        <v>0</v>
      </c>
      <c r="P37" s="1154">
        <f t="shared" si="10"/>
        <v>0</v>
      </c>
      <c r="Q37" s="1026">
        <f t="shared" si="11"/>
        <v>0</v>
      </c>
      <c r="R37" s="1026">
        <v>0</v>
      </c>
      <c r="S37" s="1026">
        <f t="shared" si="12"/>
        <v>0</v>
      </c>
      <c r="T37" s="1026">
        <f t="shared" si="13"/>
        <v>0</v>
      </c>
      <c r="U37" s="1027">
        <f t="shared" si="14"/>
        <v>0</v>
      </c>
      <c r="V37" s="1027">
        <f t="shared" si="14"/>
        <v>0</v>
      </c>
    </row>
    <row r="38" spans="1:22">
      <c r="A38" s="1028">
        <v>32</v>
      </c>
      <c r="B38" s="1029" t="s">
        <v>133</v>
      </c>
      <c r="C38" s="1295">
        <f>'Table 8 2.1.12 MFP Funded'!Y35</f>
        <v>0</v>
      </c>
      <c r="D38" s="1037">
        <f>'Table 3 Levels 1&amp;2'!AL39</f>
        <v>5475.1436637248598</v>
      </c>
      <c r="E38" s="1139">
        <f t="shared" si="2"/>
        <v>0</v>
      </c>
      <c r="F38" s="1139">
        <f>'Table 4 Level 3'!P37</f>
        <v>559.77</v>
      </c>
      <c r="G38" s="1139">
        <f t="shared" si="3"/>
        <v>0</v>
      </c>
      <c r="H38" s="1094">
        <f t="shared" si="4"/>
        <v>0</v>
      </c>
      <c r="I38" s="1149">
        <f t="shared" si="5"/>
        <v>0</v>
      </c>
      <c r="J38" s="1094">
        <f t="shared" si="6"/>
        <v>0</v>
      </c>
      <c r="K38" s="1094">
        <v>0</v>
      </c>
      <c r="L38" s="1094">
        <f t="shared" si="7"/>
        <v>0</v>
      </c>
      <c r="M38" s="1094">
        <f t="shared" si="8"/>
        <v>0</v>
      </c>
      <c r="N38" s="1086">
        <f>'[8]FY2012-13 Initial'!$K39</f>
        <v>1979</v>
      </c>
      <c r="O38" s="1088">
        <f t="shared" si="9"/>
        <v>0</v>
      </c>
      <c r="P38" s="1155">
        <f t="shared" si="10"/>
        <v>0</v>
      </c>
      <c r="Q38" s="1088">
        <f t="shared" si="11"/>
        <v>0</v>
      </c>
      <c r="R38" s="1088">
        <v>0</v>
      </c>
      <c r="S38" s="1088">
        <f t="shared" si="12"/>
        <v>0</v>
      </c>
      <c r="T38" s="1088">
        <f t="shared" si="13"/>
        <v>0</v>
      </c>
      <c r="U38" s="1089">
        <f t="shared" si="14"/>
        <v>0</v>
      </c>
      <c r="V38" s="1089">
        <f t="shared" si="14"/>
        <v>0</v>
      </c>
    </row>
    <row r="39" spans="1:22">
      <c r="A39" s="1028">
        <v>33</v>
      </c>
      <c r="B39" s="1029" t="s">
        <v>134</v>
      </c>
      <c r="C39" s="1295">
        <f>'Table 8 2.1.12 MFP Funded'!Y36</f>
        <v>0</v>
      </c>
      <c r="D39" s="1037">
        <f>'Table 3 Levels 1&amp;2'!AL40</f>
        <v>5397.5678422891451</v>
      </c>
      <c r="E39" s="1139">
        <f t="shared" si="2"/>
        <v>0</v>
      </c>
      <c r="F39" s="1139">
        <f>'Table 4 Level 3'!P38</f>
        <v>655.31000000000006</v>
      </c>
      <c r="G39" s="1139">
        <f t="shared" si="3"/>
        <v>0</v>
      </c>
      <c r="H39" s="1094">
        <f t="shared" si="4"/>
        <v>0</v>
      </c>
      <c r="I39" s="1149">
        <f t="shared" si="5"/>
        <v>0</v>
      </c>
      <c r="J39" s="1094">
        <f t="shared" si="6"/>
        <v>0</v>
      </c>
      <c r="K39" s="1094">
        <v>0</v>
      </c>
      <c r="L39" s="1094">
        <f t="shared" si="7"/>
        <v>0</v>
      </c>
      <c r="M39" s="1094">
        <f t="shared" si="8"/>
        <v>0</v>
      </c>
      <c r="N39" s="1086">
        <f>'[8]FY2012-13 Initial'!$K40</f>
        <v>3055</v>
      </c>
      <c r="O39" s="1088">
        <f t="shared" si="9"/>
        <v>0</v>
      </c>
      <c r="P39" s="1155">
        <f t="shared" si="10"/>
        <v>0</v>
      </c>
      <c r="Q39" s="1088">
        <f t="shared" si="11"/>
        <v>0</v>
      </c>
      <c r="R39" s="1088">
        <v>0</v>
      </c>
      <c r="S39" s="1088">
        <f t="shared" si="12"/>
        <v>0</v>
      </c>
      <c r="T39" s="1088">
        <f t="shared" si="13"/>
        <v>0</v>
      </c>
      <c r="U39" s="1089">
        <f t="shared" si="14"/>
        <v>0</v>
      </c>
      <c r="V39" s="1089">
        <f t="shared" si="14"/>
        <v>0</v>
      </c>
    </row>
    <row r="40" spans="1:22">
      <c r="A40" s="1028">
        <v>34</v>
      </c>
      <c r="B40" s="1029" t="s">
        <v>135</v>
      </c>
      <c r="C40" s="1295">
        <f>'Table 8 2.1.12 MFP Funded'!Y37</f>
        <v>0</v>
      </c>
      <c r="D40" s="1037">
        <f>'Table 3 Levels 1&amp;2'!AL41</f>
        <v>5843.9642210290731</v>
      </c>
      <c r="E40" s="1139">
        <f t="shared" si="2"/>
        <v>0</v>
      </c>
      <c r="F40" s="1139">
        <f>'Table 4 Level 3'!P39</f>
        <v>644.11000000000013</v>
      </c>
      <c r="G40" s="1139">
        <f t="shared" si="3"/>
        <v>0</v>
      </c>
      <c r="H40" s="1094">
        <f t="shared" si="4"/>
        <v>0</v>
      </c>
      <c r="I40" s="1149">
        <f t="shared" si="5"/>
        <v>0</v>
      </c>
      <c r="J40" s="1094">
        <f t="shared" si="6"/>
        <v>0</v>
      </c>
      <c r="K40" s="1094">
        <v>0</v>
      </c>
      <c r="L40" s="1094">
        <f t="shared" si="7"/>
        <v>0</v>
      </c>
      <c r="M40" s="1094">
        <f t="shared" si="8"/>
        <v>0</v>
      </c>
      <c r="N40" s="1086">
        <f>'[8]FY2012-13 Initial'!$K41</f>
        <v>2782</v>
      </c>
      <c r="O40" s="1088">
        <f t="shared" si="9"/>
        <v>0</v>
      </c>
      <c r="P40" s="1155">
        <f t="shared" si="10"/>
        <v>0</v>
      </c>
      <c r="Q40" s="1088">
        <f t="shared" si="11"/>
        <v>0</v>
      </c>
      <c r="R40" s="1088">
        <v>0</v>
      </c>
      <c r="S40" s="1088">
        <f t="shared" si="12"/>
        <v>0</v>
      </c>
      <c r="T40" s="1088">
        <f t="shared" si="13"/>
        <v>0</v>
      </c>
      <c r="U40" s="1089">
        <f t="shared" si="14"/>
        <v>0</v>
      </c>
      <c r="V40" s="1089">
        <f t="shared" si="14"/>
        <v>0</v>
      </c>
    </row>
    <row r="41" spans="1:22">
      <c r="A41" s="1032">
        <v>35</v>
      </c>
      <c r="B41" s="1033" t="s">
        <v>136</v>
      </c>
      <c r="C41" s="1296">
        <f>'Table 8 2.1.12 MFP Funded'!Y38</f>
        <v>0</v>
      </c>
      <c r="D41" s="1039">
        <f>'Table 3 Levels 1&amp;2'!AL42</f>
        <v>4830.9633412658623</v>
      </c>
      <c r="E41" s="1140">
        <f t="shared" si="2"/>
        <v>0</v>
      </c>
      <c r="F41" s="1140">
        <f>'Table 4 Level 3'!P40</f>
        <v>537.96</v>
      </c>
      <c r="G41" s="1140">
        <f t="shared" si="3"/>
        <v>0</v>
      </c>
      <c r="H41" s="1095">
        <f t="shared" si="4"/>
        <v>0</v>
      </c>
      <c r="I41" s="1150">
        <f t="shared" si="5"/>
        <v>0</v>
      </c>
      <c r="J41" s="1095">
        <f t="shared" si="6"/>
        <v>0</v>
      </c>
      <c r="K41" s="1095">
        <v>0</v>
      </c>
      <c r="L41" s="1095">
        <f t="shared" si="7"/>
        <v>0</v>
      </c>
      <c r="M41" s="1095">
        <f t="shared" si="8"/>
        <v>0</v>
      </c>
      <c r="N41" s="1091">
        <f>'[8]FY2012-13 Initial'!$K42</f>
        <v>3175</v>
      </c>
      <c r="O41" s="1092">
        <f t="shared" si="9"/>
        <v>0</v>
      </c>
      <c r="P41" s="1156">
        <f t="shared" si="10"/>
        <v>0</v>
      </c>
      <c r="Q41" s="1092">
        <f t="shared" si="11"/>
        <v>0</v>
      </c>
      <c r="R41" s="1092">
        <v>0</v>
      </c>
      <c r="S41" s="1092">
        <f t="shared" si="12"/>
        <v>0</v>
      </c>
      <c r="T41" s="1092">
        <f t="shared" si="13"/>
        <v>0</v>
      </c>
      <c r="U41" s="1093">
        <f t="shared" si="14"/>
        <v>0</v>
      </c>
      <c r="V41" s="1093">
        <f t="shared" si="14"/>
        <v>0</v>
      </c>
    </row>
    <row r="42" spans="1:22">
      <c r="A42" s="1021">
        <v>36</v>
      </c>
      <c r="B42" s="1022" t="s">
        <v>137</v>
      </c>
      <c r="C42" s="1297">
        <f>'Table 8 2.1.12 MFP Funded'!Y39</f>
        <v>43</v>
      </c>
      <c r="D42" s="1041">
        <f>'Table 3 Levels 1&amp;2'!AL43</f>
        <v>3493.4615493208294</v>
      </c>
      <c r="E42" s="1141">
        <f t="shared" si="2"/>
        <v>150218.84662079567</v>
      </c>
      <c r="F42" s="1141">
        <f>'Table 5B1_RSD_Orleans'!F78</f>
        <v>746.0335616438357</v>
      </c>
      <c r="G42" s="1141">
        <f t="shared" si="3"/>
        <v>32079.443150684936</v>
      </c>
      <c r="H42" s="1096">
        <f t="shared" si="4"/>
        <v>182298.2897714806</v>
      </c>
      <c r="I42" s="1151">
        <f t="shared" si="5"/>
        <v>-455.74572442870152</v>
      </c>
      <c r="J42" s="1096">
        <f t="shared" si="6"/>
        <v>181842.5440470519</v>
      </c>
      <c r="K42" s="1096">
        <v>0</v>
      </c>
      <c r="L42" s="1096">
        <f t="shared" si="7"/>
        <v>181842.5440470519</v>
      </c>
      <c r="M42" s="1096">
        <f t="shared" si="8"/>
        <v>15153.545337254325</v>
      </c>
      <c r="N42" s="1086">
        <f>'[8]FY2012-13 Initial'!$K43</f>
        <v>4785</v>
      </c>
      <c r="O42" s="1026">
        <f t="shared" si="9"/>
        <v>205755</v>
      </c>
      <c r="P42" s="1154">
        <f t="shared" si="10"/>
        <v>-514.38750000000005</v>
      </c>
      <c r="Q42" s="1026">
        <f t="shared" si="11"/>
        <v>205240.61249999999</v>
      </c>
      <c r="R42" s="1026">
        <v>0</v>
      </c>
      <c r="S42" s="1026">
        <f t="shared" si="12"/>
        <v>205240.61249999999</v>
      </c>
      <c r="T42" s="1026">
        <f t="shared" si="13"/>
        <v>17103.384374999998</v>
      </c>
      <c r="U42" s="1027">
        <f t="shared" si="14"/>
        <v>387083.15654705185</v>
      </c>
      <c r="V42" s="1027">
        <f t="shared" si="14"/>
        <v>32256.929712254321</v>
      </c>
    </row>
    <row r="43" spans="1:22">
      <c r="A43" s="1028">
        <v>37</v>
      </c>
      <c r="B43" s="1029" t="s">
        <v>138</v>
      </c>
      <c r="C43" s="1295">
        <f>'Table 8 2.1.12 MFP Funded'!Y40</f>
        <v>0</v>
      </c>
      <c r="D43" s="1037">
        <f>'Table 3 Levels 1&amp;2'!AL44</f>
        <v>5484.3026094077886</v>
      </c>
      <c r="E43" s="1139">
        <f t="shared" si="2"/>
        <v>0</v>
      </c>
      <c r="F43" s="1139">
        <f>'Table 4 Level 3'!P42</f>
        <v>653.61</v>
      </c>
      <c r="G43" s="1139">
        <f t="shared" si="3"/>
        <v>0</v>
      </c>
      <c r="H43" s="1094">
        <f t="shared" si="4"/>
        <v>0</v>
      </c>
      <c r="I43" s="1149">
        <f t="shared" si="5"/>
        <v>0</v>
      </c>
      <c r="J43" s="1094">
        <f t="shared" si="6"/>
        <v>0</v>
      </c>
      <c r="K43" s="1094">
        <v>0</v>
      </c>
      <c r="L43" s="1094">
        <f t="shared" si="7"/>
        <v>0</v>
      </c>
      <c r="M43" s="1094">
        <f t="shared" si="8"/>
        <v>0</v>
      </c>
      <c r="N43" s="1086">
        <f>'[8]FY2012-13 Initial'!$K44</f>
        <v>3112</v>
      </c>
      <c r="O43" s="1088">
        <f t="shared" si="9"/>
        <v>0</v>
      </c>
      <c r="P43" s="1155">
        <f t="shared" si="10"/>
        <v>0</v>
      </c>
      <c r="Q43" s="1088">
        <f t="shared" si="11"/>
        <v>0</v>
      </c>
      <c r="R43" s="1088">
        <v>0</v>
      </c>
      <c r="S43" s="1088">
        <f t="shared" si="12"/>
        <v>0</v>
      </c>
      <c r="T43" s="1088">
        <f t="shared" si="13"/>
        <v>0</v>
      </c>
      <c r="U43" s="1089">
        <f t="shared" si="14"/>
        <v>0</v>
      </c>
      <c r="V43" s="1089">
        <f t="shared" si="14"/>
        <v>0</v>
      </c>
    </row>
    <row r="44" spans="1:22">
      <c r="A44" s="1028">
        <v>38</v>
      </c>
      <c r="B44" s="1029" t="s">
        <v>139</v>
      </c>
      <c r="C44" s="1295">
        <f>'Table 8 2.1.12 MFP Funded'!Y41</f>
        <v>0</v>
      </c>
      <c r="D44" s="1037">
        <f>'Table 3 Levels 1&amp;2'!AL45</f>
        <v>2191.7415364583335</v>
      </c>
      <c r="E44" s="1139">
        <f t="shared" si="2"/>
        <v>0</v>
      </c>
      <c r="F44" s="1139">
        <f>'Table 4 Level 3'!P43</f>
        <v>829.92000000000007</v>
      </c>
      <c r="G44" s="1139">
        <f t="shared" si="3"/>
        <v>0</v>
      </c>
      <c r="H44" s="1094">
        <f t="shared" si="4"/>
        <v>0</v>
      </c>
      <c r="I44" s="1149">
        <f t="shared" si="5"/>
        <v>0</v>
      </c>
      <c r="J44" s="1094">
        <f t="shared" si="6"/>
        <v>0</v>
      </c>
      <c r="K44" s="1094">
        <v>0</v>
      </c>
      <c r="L44" s="1094">
        <f t="shared" si="7"/>
        <v>0</v>
      </c>
      <c r="M44" s="1094">
        <f t="shared" si="8"/>
        <v>0</v>
      </c>
      <c r="N44" s="1086">
        <f>'[8]FY2012-13 Initial'!$K45</f>
        <v>9771</v>
      </c>
      <c r="O44" s="1088">
        <f t="shared" si="9"/>
        <v>0</v>
      </c>
      <c r="P44" s="1155">
        <f t="shared" si="10"/>
        <v>0</v>
      </c>
      <c r="Q44" s="1088">
        <f t="shared" si="11"/>
        <v>0</v>
      </c>
      <c r="R44" s="1088">
        <v>0</v>
      </c>
      <c r="S44" s="1088">
        <f t="shared" si="12"/>
        <v>0</v>
      </c>
      <c r="T44" s="1088">
        <f t="shared" si="13"/>
        <v>0</v>
      </c>
      <c r="U44" s="1089">
        <f t="shared" si="14"/>
        <v>0</v>
      </c>
      <c r="V44" s="1089">
        <f t="shared" si="14"/>
        <v>0</v>
      </c>
    </row>
    <row r="45" spans="1:22">
      <c r="A45" s="1028">
        <v>39</v>
      </c>
      <c r="B45" s="1029" t="s">
        <v>140</v>
      </c>
      <c r="C45" s="1295">
        <f>'Table 8 2.1.12 MFP Funded'!Y42</f>
        <v>0</v>
      </c>
      <c r="D45" s="1037">
        <f>'Table 3 Levels 1&amp;2'!AL46</f>
        <v>3686.1886996918806</v>
      </c>
      <c r="E45" s="1139">
        <f t="shared" si="2"/>
        <v>0</v>
      </c>
      <c r="F45" s="1139">
        <f>'Table 5B2_RSD_LA'!F21</f>
        <v>779.65573042776441</v>
      </c>
      <c r="G45" s="1139">
        <f t="shared" si="3"/>
        <v>0</v>
      </c>
      <c r="H45" s="1094">
        <f t="shared" si="4"/>
        <v>0</v>
      </c>
      <c r="I45" s="1149">
        <f t="shared" si="5"/>
        <v>0</v>
      </c>
      <c r="J45" s="1094">
        <f t="shared" si="6"/>
        <v>0</v>
      </c>
      <c r="K45" s="1094">
        <v>0</v>
      </c>
      <c r="L45" s="1094">
        <f t="shared" si="7"/>
        <v>0</v>
      </c>
      <c r="M45" s="1094">
        <f t="shared" si="8"/>
        <v>0</v>
      </c>
      <c r="N45" s="1086">
        <f>'[8]FY2012-13 Initial'!$K46</f>
        <v>4190</v>
      </c>
      <c r="O45" s="1088">
        <f t="shared" si="9"/>
        <v>0</v>
      </c>
      <c r="P45" s="1155">
        <f t="shared" si="10"/>
        <v>0</v>
      </c>
      <c r="Q45" s="1088">
        <f t="shared" si="11"/>
        <v>0</v>
      </c>
      <c r="R45" s="1088">
        <v>0</v>
      </c>
      <c r="S45" s="1088">
        <f t="shared" si="12"/>
        <v>0</v>
      </c>
      <c r="T45" s="1088">
        <f t="shared" si="13"/>
        <v>0</v>
      </c>
      <c r="U45" s="1089">
        <f t="shared" si="14"/>
        <v>0</v>
      </c>
      <c r="V45" s="1089">
        <f t="shared" si="14"/>
        <v>0</v>
      </c>
    </row>
    <row r="46" spans="1:22">
      <c r="A46" s="1032">
        <v>40</v>
      </c>
      <c r="B46" s="1033" t="s">
        <v>141</v>
      </c>
      <c r="C46" s="1296">
        <f>'Table 8 2.1.12 MFP Funded'!Y43</f>
        <v>0</v>
      </c>
      <c r="D46" s="1039">
        <f>'Table 3 Levels 1&amp;2'!AL47</f>
        <v>4879.0185326187402</v>
      </c>
      <c r="E46" s="1140">
        <f t="shared" si="2"/>
        <v>0</v>
      </c>
      <c r="F46" s="1140">
        <f>'Table 4 Level 3'!P45</f>
        <v>700.2700000000001</v>
      </c>
      <c r="G46" s="1140">
        <f t="shared" si="3"/>
        <v>0</v>
      </c>
      <c r="H46" s="1095">
        <f t="shared" si="4"/>
        <v>0</v>
      </c>
      <c r="I46" s="1150">
        <f t="shared" si="5"/>
        <v>0</v>
      </c>
      <c r="J46" s="1095">
        <f t="shared" si="6"/>
        <v>0</v>
      </c>
      <c r="K46" s="1095">
        <v>0</v>
      </c>
      <c r="L46" s="1095">
        <f t="shared" si="7"/>
        <v>0</v>
      </c>
      <c r="M46" s="1095">
        <f t="shared" si="8"/>
        <v>0</v>
      </c>
      <c r="N46" s="1091">
        <f>'[8]FY2012-13 Initial'!$K47</f>
        <v>2887</v>
      </c>
      <c r="O46" s="1092">
        <f t="shared" si="9"/>
        <v>0</v>
      </c>
      <c r="P46" s="1156">
        <f t="shared" si="10"/>
        <v>0</v>
      </c>
      <c r="Q46" s="1092">
        <f t="shared" si="11"/>
        <v>0</v>
      </c>
      <c r="R46" s="1092">
        <v>0</v>
      </c>
      <c r="S46" s="1092">
        <f t="shared" si="12"/>
        <v>0</v>
      </c>
      <c r="T46" s="1092">
        <f t="shared" si="13"/>
        <v>0</v>
      </c>
      <c r="U46" s="1093">
        <f t="shared" si="14"/>
        <v>0</v>
      </c>
      <c r="V46" s="1093">
        <f t="shared" si="14"/>
        <v>0</v>
      </c>
    </row>
    <row r="47" spans="1:22">
      <c r="A47" s="1021">
        <v>41</v>
      </c>
      <c r="B47" s="1022" t="s">
        <v>142</v>
      </c>
      <c r="C47" s="1297">
        <f>'Table 8 2.1.12 MFP Funded'!Y44</f>
        <v>0</v>
      </c>
      <c r="D47" s="1041">
        <f>'Table 3 Levels 1&amp;2'!AL48</f>
        <v>1608.4303482587065</v>
      </c>
      <c r="E47" s="1141">
        <f t="shared" si="2"/>
        <v>0</v>
      </c>
      <c r="F47" s="1141">
        <f>'Table 4 Level 3'!P46</f>
        <v>886.22</v>
      </c>
      <c r="G47" s="1141">
        <f t="shared" si="3"/>
        <v>0</v>
      </c>
      <c r="H47" s="1096">
        <f t="shared" si="4"/>
        <v>0</v>
      </c>
      <c r="I47" s="1151">
        <f t="shared" si="5"/>
        <v>0</v>
      </c>
      <c r="J47" s="1096">
        <f t="shared" si="6"/>
        <v>0</v>
      </c>
      <c r="K47" s="1096">
        <v>0</v>
      </c>
      <c r="L47" s="1096">
        <f t="shared" si="7"/>
        <v>0</v>
      </c>
      <c r="M47" s="1096">
        <f t="shared" si="8"/>
        <v>0</v>
      </c>
      <c r="N47" s="1086">
        <f>'[8]FY2012-13 Initial'!$K48</f>
        <v>12470</v>
      </c>
      <c r="O47" s="1026">
        <f t="shared" si="9"/>
        <v>0</v>
      </c>
      <c r="P47" s="1154">
        <f t="shared" si="10"/>
        <v>0</v>
      </c>
      <c r="Q47" s="1026">
        <f t="shared" si="11"/>
        <v>0</v>
      </c>
      <c r="R47" s="1026">
        <v>0</v>
      </c>
      <c r="S47" s="1026">
        <f t="shared" si="12"/>
        <v>0</v>
      </c>
      <c r="T47" s="1026">
        <f t="shared" si="13"/>
        <v>0</v>
      </c>
      <c r="U47" s="1027">
        <f t="shared" si="14"/>
        <v>0</v>
      </c>
      <c r="V47" s="1027">
        <f t="shared" si="14"/>
        <v>0</v>
      </c>
    </row>
    <row r="48" spans="1:22">
      <c r="A48" s="1028">
        <v>42</v>
      </c>
      <c r="B48" s="1029" t="s">
        <v>143</v>
      </c>
      <c r="C48" s="1295">
        <f>'Table 8 2.1.12 MFP Funded'!Y45</f>
        <v>0</v>
      </c>
      <c r="D48" s="1037">
        <f>'Table 3 Levels 1&amp;2'!AL49</f>
        <v>5260.3047779801664</v>
      </c>
      <c r="E48" s="1139">
        <f t="shared" si="2"/>
        <v>0</v>
      </c>
      <c r="F48" s="1139">
        <f>'Table 4 Level 3'!P47</f>
        <v>534.28</v>
      </c>
      <c r="G48" s="1139">
        <f t="shared" si="3"/>
        <v>0</v>
      </c>
      <c r="H48" s="1094">
        <f t="shared" si="4"/>
        <v>0</v>
      </c>
      <c r="I48" s="1149">
        <f t="shared" si="5"/>
        <v>0</v>
      </c>
      <c r="J48" s="1094">
        <f t="shared" si="6"/>
        <v>0</v>
      </c>
      <c r="K48" s="1094">
        <v>0</v>
      </c>
      <c r="L48" s="1094">
        <f t="shared" si="7"/>
        <v>0</v>
      </c>
      <c r="M48" s="1094">
        <f t="shared" si="8"/>
        <v>0</v>
      </c>
      <c r="N48" s="1086">
        <f>'[8]FY2012-13 Initial'!$K49</f>
        <v>2353</v>
      </c>
      <c r="O48" s="1088">
        <f t="shared" si="9"/>
        <v>0</v>
      </c>
      <c r="P48" s="1155">
        <f t="shared" si="10"/>
        <v>0</v>
      </c>
      <c r="Q48" s="1088">
        <f t="shared" si="11"/>
        <v>0</v>
      </c>
      <c r="R48" s="1088">
        <v>0</v>
      </c>
      <c r="S48" s="1088">
        <f t="shared" si="12"/>
        <v>0</v>
      </c>
      <c r="T48" s="1088">
        <f t="shared" si="13"/>
        <v>0</v>
      </c>
      <c r="U48" s="1089">
        <f t="shared" si="14"/>
        <v>0</v>
      </c>
      <c r="V48" s="1089">
        <f t="shared" si="14"/>
        <v>0</v>
      </c>
    </row>
    <row r="49" spans="1:22">
      <c r="A49" s="1028">
        <v>43</v>
      </c>
      <c r="B49" s="1029" t="s">
        <v>144</v>
      </c>
      <c r="C49" s="1295">
        <f>'Table 8 2.1.12 MFP Funded'!Y46</f>
        <v>0</v>
      </c>
      <c r="D49" s="1037">
        <f>'Table 3 Levels 1&amp;2'!AL50</f>
        <v>5587.3492327608728</v>
      </c>
      <c r="E49" s="1139">
        <f t="shared" si="2"/>
        <v>0</v>
      </c>
      <c r="F49" s="1139">
        <f>'Table 4 Level 3'!P48</f>
        <v>574.6099999999999</v>
      </c>
      <c r="G49" s="1139">
        <f t="shared" si="3"/>
        <v>0</v>
      </c>
      <c r="H49" s="1094">
        <f t="shared" si="4"/>
        <v>0</v>
      </c>
      <c r="I49" s="1149">
        <f t="shared" si="5"/>
        <v>0</v>
      </c>
      <c r="J49" s="1094">
        <f t="shared" si="6"/>
        <v>0</v>
      </c>
      <c r="K49" s="1094">
        <v>0</v>
      </c>
      <c r="L49" s="1094">
        <f t="shared" si="7"/>
        <v>0</v>
      </c>
      <c r="M49" s="1094">
        <f t="shared" si="8"/>
        <v>0</v>
      </c>
      <c r="N49" s="1086">
        <f>'[8]FY2012-13 Initial'!$K50</f>
        <v>5599</v>
      </c>
      <c r="O49" s="1088">
        <f t="shared" si="9"/>
        <v>0</v>
      </c>
      <c r="P49" s="1155">
        <f t="shared" si="10"/>
        <v>0</v>
      </c>
      <c r="Q49" s="1088">
        <f t="shared" si="11"/>
        <v>0</v>
      </c>
      <c r="R49" s="1088">
        <v>0</v>
      </c>
      <c r="S49" s="1088">
        <f t="shared" si="12"/>
        <v>0</v>
      </c>
      <c r="T49" s="1088">
        <f t="shared" si="13"/>
        <v>0</v>
      </c>
      <c r="U49" s="1089">
        <f t="shared" si="14"/>
        <v>0</v>
      </c>
      <c r="V49" s="1089">
        <f t="shared" si="14"/>
        <v>0</v>
      </c>
    </row>
    <row r="50" spans="1:22">
      <c r="A50" s="1028">
        <v>44</v>
      </c>
      <c r="B50" s="1029" t="s">
        <v>145</v>
      </c>
      <c r="C50" s="1295">
        <f>'Table 8 2.1.12 MFP Funded'!Y47</f>
        <v>0</v>
      </c>
      <c r="D50" s="1037">
        <f>'Table 3 Levels 1&amp;2'!AL51</f>
        <v>4113.1787591918992</v>
      </c>
      <c r="E50" s="1139">
        <f t="shared" si="2"/>
        <v>0</v>
      </c>
      <c r="F50" s="1139">
        <f>'Table 4 Level 3'!P49</f>
        <v>663.16000000000008</v>
      </c>
      <c r="G50" s="1139">
        <f t="shared" si="3"/>
        <v>0</v>
      </c>
      <c r="H50" s="1094">
        <f t="shared" si="4"/>
        <v>0</v>
      </c>
      <c r="I50" s="1149">
        <f t="shared" si="5"/>
        <v>0</v>
      </c>
      <c r="J50" s="1094">
        <f t="shared" si="6"/>
        <v>0</v>
      </c>
      <c r="K50" s="1094">
        <v>0</v>
      </c>
      <c r="L50" s="1094">
        <f t="shared" si="7"/>
        <v>0</v>
      </c>
      <c r="M50" s="1094">
        <f t="shared" si="8"/>
        <v>0</v>
      </c>
      <c r="N50" s="1086">
        <f>'[8]FY2012-13 Initial'!$K51</f>
        <v>4661</v>
      </c>
      <c r="O50" s="1088">
        <f t="shared" si="9"/>
        <v>0</v>
      </c>
      <c r="P50" s="1155">
        <f t="shared" si="10"/>
        <v>0</v>
      </c>
      <c r="Q50" s="1088">
        <f t="shared" si="11"/>
        <v>0</v>
      </c>
      <c r="R50" s="1088">
        <v>0</v>
      </c>
      <c r="S50" s="1088">
        <f t="shared" si="12"/>
        <v>0</v>
      </c>
      <c r="T50" s="1088">
        <f t="shared" si="13"/>
        <v>0</v>
      </c>
      <c r="U50" s="1089">
        <f t="shared" si="14"/>
        <v>0</v>
      </c>
      <c r="V50" s="1089">
        <f t="shared" si="14"/>
        <v>0</v>
      </c>
    </row>
    <row r="51" spans="1:22">
      <c r="A51" s="1032">
        <v>45</v>
      </c>
      <c r="B51" s="1033" t="s">
        <v>146</v>
      </c>
      <c r="C51" s="1296">
        <f>'Table 8 2.1.12 MFP Funded'!Y48</f>
        <v>0</v>
      </c>
      <c r="D51" s="1039">
        <f>'Table 3 Levels 1&amp;2'!AL52</f>
        <v>2414.8479898164846</v>
      </c>
      <c r="E51" s="1140">
        <f t="shared" si="2"/>
        <v>0</v>
      </c>
      <c r="F51" s="1140">
        <f>'Table 4 Level 3'!P50</f>
        <v>753.96000000000015</v>
      </c>
      <c r="G51" s="1140">
        <f t="shared" si="3"/>
        <v>0</v>
      </c>
      <c r="H51" s="1095">
        <f t="shared" si="4"/>
        <v>0</v>
      </c>
      <c r="I51" s="1150">
        <f t="shared" si="5"/>
        <v>0</v>
      </c>
      <c r="J51" s="1095">
        <f t="shared" si="6"/>
        <v>0</v>
      </c>
      <c r="K51" s="1095">
        <v>0</v>
      </c>
      <c r="L51" s="1095">
        <f t="shared" si="7"/>
        <v>0</v>
      </c>
      <c r="M51" s="1095">
        <f t="shared" si="8"/>
        <v>0</v>
      </c>
      <c r="N51" s="1091">
        <f>'[8]FY2012-13 Initial'!$K52</f>
        <v>11650</v>
      </c>
      <c r="O51" s="1092">
        <f t="shared" si="9"/>
        <v>0</v>
      </c>
      <c r="P51" s="1156">
        <f t="shared" si="10"/>
        <v>0</v>
      </c>
      <c r="Q51" s="1092">
        <f t="shared" si="11"/>
        <v>0</v>
      </c>
      <c r="R51" s="1092">
        <v>0</v>
      </c>
      <c r="S51" s="1092">
        <f t="shared" si="12"/>
        <v>0</v>
      </c>
      <c r="T51" s="1092">
        <f t="shared" si="13"/>
        <v>0</v>
      </c>
      <c r="U51" s="1093">
        <f t="shared" si="14"/>
        <v>0</v>
      </c>
      <c r="V51" s="1093">
        <f t="shared" si="14"/>
        <v>0</v>
      </c>
    </row>
    <row r="52" spans="1:22">
      <c r="A52" s="1021">
        <v>46</v>
      </c>
      <c r="B52" s="1022" t="s">
        <v>147</v>
      </c>
      <c r="C52" s="1297">
        <f>'Table 8 2.1.12 MFP Funded'!Y49</f>
        <v>0</v>
      </c>
      <c r="D52" s="1041">
        <f>'Table 3 Levels 1&amp;2'!AL53</f>
        <v>5765.0314518803261</v>
      </c>
      <c r="E52" s="1141">
        <f t="shared" si="2"/>
        <v>0</v>
      </c>
      <c r="F52" s="1141">
        <f>'Table 4 Level 3'!P51</f>
        <v>728.06</v>
      </c>
      <c r="G52" s="1141">
        <f t="shared" si="3"/>
        <v>0</v>
      </c>
      <c r="H52" s="1096">
        <f t="shared" si="4"/>
        <v>0</v>
      </c>
      <c r="I52" s="1151">
        <f t="shared" si="5"/>
        <v>0</v>
      </c>
      <c r="J52" s="1096">
        <f t="shared" si="6"/>
        <v>0</v>
      </c>
      <c r="K52" s="1096">
        <v>0</v>
      </c>
      <c r="L52" s="1096">
        <f t="shared" si="7"/>
        <v>0</v>
      </c>
      <c r="M52" s="1096">
        <f t="shared" si="8"/>
        <v>0</v>
      </c>
      <c r="N52" s="1086">
        <f>'[8]FY2012-13 Initial'!$K53</f>
        <v>1789</v>
      </c>
      <c r="O52" s="1026">
        <f t="shared" si="9"/>
        <v>0</v>
      </c>
      <c r="P52" s="1154">
        <f t="shared" si="10"/>
        <v>0</v>
      </c>
      <c r="Q52" s="1026">
        <f t="shared" si="11"/>
        <v>0</v>
      </c>
      <c r="R52" s="1026">
        <v>0</v>
      </c>
      <c r="S52" s="1026">
        <f t="shared" si="12"/>
        <v>0</v>
      </c>
      <c r="T52" s="1026">
        <f t="shared" si="13"/>
        <v>0</v>
      </c>
      <c r="U52" s="1027">
        <f t="shared" si="14"/>
        <v>0</v>
      </c>
      <c r="V52" s="1027">
        <f t="shared" si="14"/>
        <v>0</v>
      </c>
    </row>
    <row r="53" spans="1:22">
      <c r="A53" s="1028">
        <v>47</v>
      </c>
      <c r="B53" s="1029" t="s">
        <v>148</v>
      </c>
      <c r="C53" s="1295">
        <f>'Table 8 2.1.12 MFP Funded'!Y50</f>
        <v>0</v>
      </c>
      <c r="D53" s="1037">
        <f>'Table 3 Levels 1&amp;2'!AL54</f>
        <v>3186.1712081166847</v>
      </c>
      <c r="E53" s="1139">
        <f t="shared" si="2"/>
        <v>0</v>
      </c>
      <c r="F53" s="1139">
        <f>'Table 4 Level 3'!P52</f>
        <v>910.76</v>
      </c>
      <c r="G53" s="1139">
        <f t="shared" si="3"/>
        <v>0</v>
      </c>
      <c r="H53" s="1094">
        <f t="shared" si="4"/>
        <v>0</v>
      </c>
      <c r="I53" s="1149">
        <f t="shared" si="5"/>
        <v>0</v>
      </c>
      <c r="J53" s="1094">
        <f t="shared" si="6"/>
        <v>0</v>
      </c>
      <c r="K53" s="1094">
        <v>0</v>
      </c>
      <c r="L53" s="1094">
        <f t="shared" si="7"/>
        <v>0</v>
      </c>
      <c r="M53" s="1094">
        <f t="shared" si="8"/>
        <v>0</v>
      </c>
      <c r="N53" s="1086">
        <f>'[8]FY2012-13 Initial'!$K54</f>
        <v>9947</v>
      </c>
      <c r="O53" s="1088">
        <f t="shared" si="9"/>
        <v>0</v>
      </c>
      <c r="P53" s="1155">
        <f t="shared" si="10"/>
        <v>0</v>
      </c>
      <c r="Q53" s="1088">
        <f t="shared" si="11"/>
        <v>0</v>
      </c>
      <c r="R53" s="1088">
        <v>0</v>
      </c>
      <c r="S53" s="1088">
        <f t="shared" si="12"/>
        <v>0</v>
      </c>
      <c r="T53" s="1088">
        <f t="shared" si="13"/>
        <v>0</v>
      </c>
      <c r="U53" s="1089">
        <f t="shared" si="14"/>
        <v>0</v>
      </c>
      <c r="V53" s="1089">
        <f t="shared" si="14"/>
        <v>0</v>
      </c>
    </row>
    <row r="54" spans="1:22">
      <c r="A54" s="1028">
        <v>48</v>
      </c>
      <c r="B54" s="1029" t="s">
        <v>222</v>
      </c>
      <c r="C54" s="1295">
        <f>'Table 8 2.1.12 MFP Funded'!Y51</f>
        <v>0</v>
      </c>
      <c r="D54" s="1037">
        <f>'Table 3 Levels 1&amp;2'!AL55</f>
        <v>4260.4872196136057</v>
      </c>
      <c r="E54" s="1139">
        <f t="shared" si="2"/>
        <v>0</v>
      </c>
      <c r="F54" s="1139">
        <f>'Table 4 Level 3'!P53</f>
        <v>871.07</v>
      </c>
      <c r="G54" s="1139">
        <f t="shared" si="3"/>
        <v>0</v>
      </c>
      <c r="H54" s="1094">
        <f t="shared" si="4"/>
        <v>0</v>
      </c>
      <c r="I54" s="1149">
        <f t="shared" si="5"/>
        <v>0</v>
      </c>
      <c r="J54" s="1094">
        <f t="shared" si="6"/>
        <v>0</v>
      </c>
      <c r="K54" s="1094">
        <v>0</v>
      </c>
      <c r="L54" s="1094">
        <f t="shared" si="7"/>
        <v>0</v>
      </c>
      <c r="M54" s="1094">
        <f t="shared" si="8"/>
        <v>0</v>
      </c>
      <c r="N54" s="1086">
        <f>'[8]FY2012-13 Initial'!$K55</f>
        <v>5325</v>
      </c>
      <c r="O54" s="1088">
        <f t="shared" si="9"/>
        <v>0</v>
      </c>
      <c r="P54" s="1155">
        <f t="shared" si="10"/>
        <v>0</v>
      </c>
      <c r="Q54" s="1088">
        <f t="shared" si="11"/>
        <v>0</v>
      </c>
      <c r="R54" s="1088">
        <v>0</v>
      </c>
      <c r="S54" s="1088">
        <f t="shared" si="12"/>
        <v>0</v>
      </c>
      <c r="T54" s="1088">
        <f t="shared" si="13"/>
        <v>0</v>
      </c>
      <c r="U54" s="1089">
        <f t="shared" si="14"/>
        <v>0</v>
      </c>
      <c r="V54" s="1089">
        <f t="shared" si="14"/>
        <v>0</v>
      </c>
    </row>
    <row r="55" spans="1:22">
      <c r="A55" s="1028">
        <v>49</v>
      </c>
      <c r="B55" s="1029" t="s">
        <v>149</v>
      </c>
      <c r="C55" s="1295">
        <f>'Table 8 2.1.12 MFP Funded'!Y52</f>
        <v>0</v>
      </c>
      <c r="D55" s="1037">
        <f>'Table 3 Levels 1&amp;2'!AL56</f>
        <v>4800.2172145077111</v>
      </c>
      <c r="E55" s="1139">
        <f t="shared" si="2"/>
        <v>0</v>
      </c>
      <c r="F55" s="1139">
        <f>'Table 4 Level 3'!P54</f>
        <v>574.43999999999994</v>
      </c>
      <c r="G55" s="1139">
        <f t="shared" si="3"/>
        <v>0</v>
      </c>
      <c r="H55" s="1094">
        <f t="shared" si="4"/>
        <v>0</v>
      </c>
      <c r="I55" s="1149">
        <f t="shared" si="5"/>
        <v>0</v>
      </c>
      <c r="J55" s="1094">
        <f t="shared" si="6"/>
        <v>0</v>
      </c>
      <c r="K55" s="1094">
        <v>0</v>
      </c>
      <c r="L55" s="1094">
        <f t="shared" si="7"/>
        <v>0</v>
      </c>
      <c r="M55" s="1094">
        <f t="shared" si="8"/>
        <v>0</v>
      </c>
      <c r="N55" s="1086">
        <f>'[8]FY2012-13 Initial'!$K56</f>
        <v>2326</v>
      </c>
      <c r="O55" s="1088">
        <f t="shared" si="9"/>
        <v>0</v>
      </c>
      <c r="P55" s="1155">
        <f t="shared" si="10"/>
        <v>0</v>
      </c>
      <c r="Q55" s="1088">
        <f t="shared" si="11"/>
        <v>0</v>
      </c>
      <c r="R55" s="1088">
        <v>0</v>
      </c>
      <c r="S55" s="1088">
        <f t="shared" si="12"/>
        <v>0</v>
      </c>
      <c r="T55" s="1088">
        <f t="shared" si="13"/>
        <v>0</v>
      </c>
      <c r="U55" s="1089">
        <f t="shared" si="14"/>
        <v>0</v>
      </c>
      <c r="V55" s="1089">
        <f t="shared" si="14"/>
        <v>0</v>
      </c>
    </row>
    <row r="56" spans="1:22">
      <c r="A56" s="1032">
        <v>50</v>
      </c>
      <c r="B56" s="1033" t="s">
        <v>150</v>
      </c>
      <c r="C56" s="1296">
        <f>'Table 8 2.1.12 MFP Funded'!Y53</f>
        <v>0</v>
      </c>
      <c r="D56" s="1039">
        <f>'Table 3 Levels 1&amp;2'!AL57</f>
        <v>5059.523754419537</v>
      </c>
      <c r="E56" s="1140">
        <f t="shared" si="2"/>
        <v>0</v>
      </c>
      <c r="F56" s="1140">
        <f>'Table 4 Level 3'!P55</f>
        <v>634.46</v>
      </c>
      <c r="G56" s="1140">
        <f t="shared" si="3"/>
        <v>0</v>
      </c>
      <c r="H56" s="1095">
        <f t="shared" si="4"/>
        <v>0</v>
      </c>
      <c r="I56" s="1150">
        <f t="shared" si="5"/>
        <v>0</v>
      </c>
      <c r="J56" s="1095">
        <f t="shared" si="6"/>
        <v>0</v>
      </c>
      <c r="K56" s="1095">
        <v>0</v>
      </c>
      <c r="L56" s="1095">
        <f t="shared" si="7"/>
        <v>0</v>
      </c>
      <c r="M56" s="1095">
        <f t="shared" si="8"/>
        <v>0</v>
      </c>
      <c r="N56" s="1091">
        <f>'[8]FY2012-13 Initial'!$K57</f>
        <v>2574</v>
      </c>
      <c r="O56" s="1092">
        <f t="shared" si="9"/>
        <v>0</v>
      </c>
      <c r="P56" s="1156">
        <f t="shared" si="10"/>
        <v>0</v>
      </c>
      <c r="Q56" s="1092">
        <f t="shared" si="11"/>
        <v>0</v>
      </c>
      <c r="R56" s="1092">
        <v>0</v>
      </c>
      <c r="S56" s="1092">
        <f t="shared" si="12"/>
        <v>0</v>
      </c>
      <c r="T56" s="1092">
        <f t="shared" si="13"/>
        <v>0</v>
      </c>
      <c r="U56" s="1093">
        <f t="shared" si="14"/>
        <v>0</v>
      </c>
      <c r="V56" s="1093">
        <f t="shared" si="14"/>
        <v>0</v>
      </c>
    </row>
    <row r="57" spans="1:22">
      <c r="A57" s="1021">
        <v>51</v>
      </c>
      <c r="B57" s="1022" t="s">
        <v>151</v>
      </c>
      <c r="C57" s="1297">
        <f>'Table 8 2.1.12 MFP Funded'!Y54</f>
        <v>0</v>
      </c>
      <c r="D57" s="1041">
        <f>'Table 3 Levels 1&amp;2'!AL58</f>
        <v>4384.0477116019692</v>
      </c>
      <c r="E57" s="1141">
        <f t="shared" si="2"/>
        <v>0</v>
      </c>
      <c r="F57" s="1141">
        <f>'Table 4 Level 3'!P56</f>
        <v>706.66</v>
      </c>
      <c r="G57" s="1141">
        <f t="shared" si="3"/>
        <v>0</v>
      </c>
      <c r="H57" s="1096">
        <f t="shared" si="4"/>
        <v>0</v>
      </c>
      <c r="I57" s="1151">
        <f t="shared" si="5"/>
        <v>0</v>
      </c>
      <c r="J57" s="1096">
        <f t="shared" si="6"/>
        <v>0</v>
      </c>
      <c r="K57" s="1096">
        <v>0</v>
      </c>
      <c r="L57" s="1096">
        <f t="shared" si="7"/>
        <v>0</v>
      </c>
      <c r="M57" s="1096">
        <f t="shared" si="8"/>
        <v>0</v>
      </c>
      <c r="N57" s="1086">
        <f>'[8]FY2012-13 Initial'!$K58</f>
        <v>3943</v>
      </c>
      <c r="O57" s="1026">
        <f t="shared" si="9"/>
        <v>0</v>
      </c>
      <c r="P57" s="1154">
        <f t="shared" si="10"/>
        <v>0</v>
      </c>
      <c r="Q57" s="1026">
        <f t="shared" si="11"/>
        <v>0</v>
      </c>
      <c r="R57" s="1026">
        <v>0</v>
      </c>
      <c r="S57" s="1026">
        <f t="shared" si="12"/>
        <v>0</v>
      </c>
      <c r="T57" s="1026">
        <f t="shared" si="13"/>
        <v>0</v>
      </c>
      <c r="U57" s="1027">
        <f t="shared" si="14"/>
        <v>0</v>
      </c>
      <c r="V57" s="1027">
        <f t="shared" si="14"/>
        <v>0</v>
      </c>
    </row>
    <row r="58" spans="1:22">
      <c r="A58" s="1028">
        <v>52</v>
      </c>
      <c r="B58" s="1029" t="s">
        <v>152</v>
      </c>
      <c r="C58" s="1295">
        <f>'Table 8 2.1.12 MFP Funded'!Y55</f>
        <v>0</v>
      </c>
      <c r="D58" s="1037">
        <f>'Table 3 Levels 1&amp;2'!AL59</f>
        <v>4920.0697942988754</v>
      </c>
      <c r="E58" s="1139">
        <f t="shared" si="2"/>
        <v>0</v>
      </c>
      <c r="F58" s="1139">
        <f>'Table 4 Level 3'!P57</f>
        <v>658.37</v>
      </c>
      <c r="G58" s="1139">
        <f t="shared" si="3"/>
        <v>0</v>
      </c>
      <c r="H58" s="1094">
        <f t="shared" si="4"/>
        <v>0</v>
      </c>
      <c r="I58" s="1149">
        <f t="shared" si="5"/>
        <v>0</v>
      </c>
      <c r="J58" s="1094">
        <f t="shared" si="6"/>
        <v>0</v>
      </c>
      <c r="K58" s="1094">
        <v>0</v>
      </c>
      <c r="L58" s="1094">
        <f t="shared" si="7"/>
        <v>0</v>
      </c>
      <c r="M58" s="1094">
        <f t="shared" si="8"/>
        <v>0</v>
      </c>
      <c r="N58" s="1086">
        <f>'[8]FY2012-13 Initial'!$K59</f>
        <v>4750</v>
      </c>
      <c r="O58" s="1088">
        <f t="shared" si="9"/>
        <v>0</v>
      </c>
      <c r="P58" s="1155">
        <f t="shared" si="10"/>
        <v>0</v>
      </c>
      <c r="Q58" s="1088">
        <f t="shared" si="11"/>
        <v>0</v>
      </c>
      <c r="R58" s="1088">
        <v>0</v>
      </c>
      <c r="S58" s="1088">
        <f t="shared" si="12"/>
        <v>0</v>
      </c>
      <c r="T58" s="1088">
        <f t="shared" si="13"/>
        <v>0</v>
      </c>
      <c r="U58" s="1089">
        <f t="shared" si="14"/>
        <v>0</v>
      </c>
      <c r="V58" s="1089">
        <f t="shared" si="14"/>
        <v>0</v>
      </c>
    </row>
    <row r="59" spans="1:22">
      <c r="A59" s="1028">
        <v>53</v>
      </c>
      <c r="B59" s="1029" t="s">
        <v>153</v>
      </c>
      <c r="C59" s="1295">
        <f>'Table 8 2.1.12 MFP Funded'!Y56</f>
        <v>0</v>
      </c>
      <c r="D59" s="1037">
        <f>'Table 3 Levels 1&amp;2'!AL60</f>
        <v>4784.2719870767614</v>
      </c>
      <c r="E59" s="1139">
        <f t="shared" si="2"/>
        <v>0</v>
      </c>
      <c r="F59" s="1139">
        <f>'Table 4 Level 3'!P58</f>
        <v>689.74</v>
      </c>
      <c r="G59" s="1139">
        <f t="shared" si="3"/>
        <v>0</v>
      </c>
      <c r="H59" s="1094">
        <f t="shared" si="4"/>
        <v>0</v>
      </c>
      <c r="I59" s="1149">
        <f t="shared" si="5"/>
        <v>0</v>
      </c>
      <c r="J59" s="1094">
        <f t="shared" si="6"/>
        <v>0</v>
      </c>
      <c r="K59" s="1094">
        <v>0</v>
      </c>
      <c r="L59" s="1094">
        <f t="shared" si="7"/>
        <v>0</v>
      </c>
      <c r="M59" s="1094">
        <f t="shared" si="8"/>
        <v>0</v>
      </c>
      <c r="N59" s="1086">
        <f>'[8]FY2012-13 Initial'!$K60</f>
        <v>1913</v>
      </c>
      <c r="O59" s="1088">
        <f t="shared" si="9"/>
        <v>0</v>
      </c>
      <c r="P59" s="1155">
        <f t="shared" si="10"/>
        <v>0</v>
      </c>
      <c r="Q59" s="1088">
        <f t="shared" si="11"/>
        <v>0</v>
      </c>
      <c r="R59" s="1088">
        <v>0</v>
      </c>
      <c r="S59" s="1088">
        <f t="shared" si="12"/>
        <v>0</v>
      </c>
      <c r="T59" s="1088">
        <f t="shared" si="13"/>
        <v>0</v>
      </c>
      <c r="U59" s="1089">
        <f t="shared" si="14"/>
        <v>0</v>
      </c>
      <c r="V59" s="1089">
        <f t="shared" si="14"/>
        <v>0</v>
      </c>
    </row>
    <row r="60" spans="1:22">
      <c r="A60" s="1028">
        <v>54</v>
      </c>
      <c r="B60" s="1029" t="s">
        <v>154</v>
      </c>
      <c r="C60" s="1295">
        <f>'Table 8 2.1.12 MFP Funded'!Y57</f>
        <v>0</v>
      </c>
      <c r="D60" s="1037">
        <f>'Table 3 Levels 1&amp;2'!AL61</f>
        <v>5982.5555386476462</v>
      </c>
      <c r="E60" s="1139">
        <f t="shared" si="2"/>
        <v>0</v>
      </c>
      <c r="F60" s="1139">
        <f>'Table 4 Level 3'!P59</f>
        <v>951.45</v>
      </c>
      <c r="G60" s="1139">
        <f t="shared" si="3"/>
        <v>0</v>
      </c>
      <c r="H60" s="1094">
        <f t="shared" si="4"/>
        <v>0</v>
      </c>
      <c r="I60" s="1149">
        <f t="shared" si="5"/>
        <v>0</v>
      </c>
      <c r="J60" s="1094">
        <f t="shared" si="6"/>
        <v>0</v>
      </c>
      <c r="K60" s="1094">
        <v>0</v>
      </c>
      <c r="L60" s="1094">
        <f t="shared" si="7"/>
        <v>0</v>
      </c>
      <c r="M60" s="1094">
        <f t="shared" si="8"/>
        <v>0</v>
      </c>
      <c r="N60" s="1086">
        <f>'[8]FY2012-13 Initial'!$K61</f>
        <v>3264</v>
      </c>
      <c r="O60" s="1088">
        <f t="shared" si="9"/>
        <v>0</v>
      </c>
      <c r="P60" s="1155">
        <f t="shared" si="10"/>
        <v>0</v>
      </c>
      <c r="Q60" s="1088">
        <f t="shared" si="11"/>
        <v>0</v>
      </c>
      <c r="R60" s="1088">
        <v>0</v>
      </c>
      <c r="S60" s="1088">
        <f t="shared" si="12"/>
        <v>0</v>
      </c>
      <c r="T60" s="1088">
        <f t="shared" si="13"/>
        <v>0</v>
      </c>
      <c r="U60" s="1089">
        <f t="shared" si="14"/>
        <v>0</v>
      </c>
      <c r="V60" s="1089">
        <f t="shared" si="14"/>
        <v>0</v>
      </c>
    </row>
    <row r="61" spans="1:22">
      <c r="A61" s="1032">
        <v>55</v>
      </c>
      <c r="B61" s="1033" t="s">
        <v>155</v>
      </c>
      <c r="C61" s="1296">
        <f>'Table 8 2.1.12 MFP Funded'!Y58</f>
        <v>0</v>
      </c>
      <c r="D61" s="1039">
        <f>'Table 3 Levels 1&amp;2'!AL62</f>
        <v>4087.4017448818722</v>
      </c>
      <c r="E61" s="1140">
        <f t="shared" si="2"/>
        <v>0</v>
      </c>
      <c r="F61" s="1140">
        <f>'Table 4 Level 3'!P60</f>
        <v>795.14</v>
      </c>
      <c r="G61" s="1140">
        <f t="shared" si="3"/>
        <v>0</v>
      </c>
      <c r="H61" s="1095">
        <f t="shared" si="4"/>
        <v>0</v>
      </c>
      <c r="I61" s="1150">
        <f t="shared" si="5"/>
        <v>0</v>
      </c>
      <c r="J61" s="1095">
        <f t="shared" si="6"/>
        <v>0</v>
      </c>
      <c r="K61" s="1095">
        <v>0</v>
      </c>
      <c r="L61" s="1095">
        <f t="shared" si="7"/>
        <v>0</v>
      </c>
      <c r="M61" s="1095">
        <f t="shared" si="8"/>
        <v>0</v>
      </c>
      <c r="N61" s="1091">
        <f>'[8]FY2012-13 Initial'!$K62</f>
        <v>3071</v>
      </c>
      <c r="O61" s="1092">
        <f t="shared" si="9"/>
        <v>0</v>
      </c>
      <c r="P61" s="1156">
        <f t="shared" si="10"/>
        <v>0</v>
      </c>
      <c r="Q61" s="1092">
        <f t="shared" si="11"/>
        <v>0</v>
      </c>
      <c r="R61" s="1092">
        <v>0</v>
      </c>
      <c r="S61" s="1092">
        <f t="shared" si="12"/>
        <v>0</v>
      </c>
      <c r="T61" s="1092">
        <f t="shared" si="13"/>
        <v>0</v>
      </c>
      <c r="U61" s="1093">
        <f t="shared" si="14"/>
        <v>0</v>
      </c>
      <c r="V61" s="1093">
        <f t="shared" si="14"/>
        <v>0</v>
      </c>
    </row>
    <row r="62" spans="1:22">
      <c r="A62" s="1021">
        <v>56</v>
      </c>
      <c r="B62" s="1022" t="s">
        <v>156</v>
      </c>
      <c r="C62" s="1297">
        <f>'Table 8 2.1.12 MFP Funded'!Y59</f>
        <v>0</v>
      </c>
      <c r="D62" s="1041">
        <f>'Table 3 Levels 1&amp;2'!AL63</f>
        <v>5052.2250942802684</v>
      </c>
      <c r="E62" s="1141">
        <f t="shared" si="2"/>
        <v>0</v>
      </c>
      <c r="F62" s="1141">
        <f>'Table 4 Level 3'!P61</f>
        <v>614.66000000000008</v>
      </c>
      <c r="G62" s="1141">
        <f t="shared" si="3"/>
        <v>0</v>
      </c>
      <c r="H62" s="1096">
        <f t="shared" si="4"/>
        <v>0</v>
      </c>
      <c r="I62" s="1151">
        <f t="shared" si="5"/>
        <v>0</v>
      </c>
      <c r="J62" s="1096">
        <f t="shared" si="6"/>
        <v>0</v>
      </c>
      <c r="K62" s="1096">
        <v>0</v>
      </c>
      <c r="L62" s="1096">
        <f t="shared" si="7"/>
        <v>0</v>
      </c>
      <c r="M62" s="1096">
        <f t="shared" si="8"/>
        <v>0</v>
      </c>
      <c r="N62" s="1086">
        <f>'[8]FY2012-13 Initial'!$K63</f>
        <v>2630</v>
      </c>
      <c r="O62" s="1026">
        <f t="shared" si="9"/>
        <v>0</v>
      </c>
      <c r="P62" s="1154">
        <f t="shared" si="10"/>
        <v>0</v>
      </c>
      <c r="Q62" s="1026">
        <f t="shared" si="11"/>
        <v>0</v>
      </c>
      <c r="R62" s="1026">
        <v>0</v>
      </c>
      <c r="S62" s="1026">
        <f t="shared" si="12"/>
        <v>0</v>
      </c>
      <c r="T62" s="1026">
        <f t="shared" si="13"/>
        <v>0</v>
      </c>
      <c r="U62" s="1027">
        <f t="shared" si="14"/>
        <v>0</v>
      </c>
      <c r="V62" s="1027">
        <f t="shared" si="14"/>
        <v>0</v>
      </c>
    </row>
    <row r="63" spans="1:22">
      <c r="A63" s="1028">
        <v>57</v>
      </c>
      <c r="B63" s="1029" t="s">
        <v>157</v>
      </c>
      <c r="C63" s="1295">
        <f>'Table 8 2.1.12 MFP Funded'!Y60</f>
        <v>0</v>
      </c>
      <c r="D63" s="1037">
        <f>'Table 3 Levels 1&amp;2'!AL64</f>
        <v>4389.3863180380931</v>
      </c>
      <c r="E63" s="1139">
        <f t="shared" si="2"/>
        <v>0</v>
      </c>
      <c r="F63" s="1139">
        <f>'Table 4 Level 3'!P62</f>
        <v>764.51</v>
      </c>
      <c r="G63" s="1139">
        <f t="shared" si="3"/>
        <v>0</v>
      </c>
      <c r="H63" s="1094">
        <f t="shared" si="4"/>
        <v>0</v>
      </c>
      <c r="I63" s="1149">
        <f t="shared" si="5"/>
        <v>0</v>
      </c>
      <c r="J63" s="1094">
        <f t="shared" si="6"/>
        <v>0</v>
      </c>
      <c r="K63" s="1094">
        <v>0</v>
      </c>
      <c r="L63" s="1094">
        <f t="shared" si="7"/>
        <v>0</v>
      </c>
      <c r="M63" s="1094">
        <f t="shared" si="8"/>
        <v>0</v>
      </c>
      <c r="N63" s="1086">
        <f>'[8]FY2012-13 Initial'!$K64</f>
        <v>3053</v>
      </c>
      <c r="O63" s="1088">
        <f t="shared" si="9"/>
        <v>0</v>
      </c>
      <c r="P63" s="1155">
        <f t="shared" si="10"/>
        <v>0</v>
      </c>
      <c r="Q63" s="1088">
        <f t="shared" si="11"/>
        <v>0</v>
      </c>
      <c r="R63" s="1088">
        <v>0</v>
      </c>
      <c r="S63" s="1088">
        <f t="shared" si="12"/>
        <v>0</v>
      </c>
      <c r="T63" s="1088">
        <f t="shared" si="13"/>
        <v>0</v>
      </c>
      <c r="U63" s="1089">
        <f t="shared" si="14"/>
        <v>0</v>
      </c>
      <c r="V63" s="1089">
        <f t="shared" si="14"/>
        <v>0</v>
      </c>
    </row>
    <row r="64" spans="1:22">
      <c r="A64" s="1028">
        <v>58</v>
      </c>
      <c r="B64" s="1029" t="s">
        <v>158</v>
      </c>
      <c r="C64" s="1295">
        <f>'Table 8 2.1.12 MFP Funded'!Y61</f>
        <v>0</v>
      </c>
      <c r="D64" s="1037">
        <f>'Table 3 Levels 1&amp;2'!AL65</f>
        <v>5325.8881107130073</v>
      </c>
      <c r="E64" s="1139">
        <f t="shared" si="2"/>
        <v>0</v>
      </c>
      <c r="F64" s="1139">
        <f>'Table 4 Level 3'!P63</f>
        <v>697.04</v>
      </c>
      <c r="G64" s="1139">
        <f t="shared" si="3"/>
        <v>0</v>
      </c>
      <c r="H64" s="1094">
        <f t="shared" si="4"/>
        <v>0</v>
      </c>
      <c r="I64" s="1149">
        <f t="shared" si="5"/>
        <v>0</v>
      </c>
      <c r="J64" s="1094">
        <f t="shared" si="6"/>
        <v>0</v>
      </c>
      <c r="K64" s="1094">
        <v>0</v>
      </c>
      <c r="L64" s="1094">
        <f t="shared" si="7"/>
        <v>0</v>
      </c>
      <c r="M64" s="1094">
        <f t="shared" si="8"/>
        <v>0</v>
      </c>
      <c r="N64" s="1086">
        <f>'[8]FY2012-13 Initial'!$K65</f>
        <v>1917</v>
      </c>
      <c r="O64" s="1088">
        <f t="shared" si="9"/>
        <v>0</v>
      </c>
      <c r="P64" s="1155">
        <f t="shared" si="10"/>
        <v>0</v>
      </c>
      <c r="Q64" s="1088">
        <f t="shared" si="11"/>
        <v>0</v>
      </c>
      <c r="R64" s="1088">
        <v>0</v>
      </c>
      <c r="S64" s="1088">
        <f t="shared" si="12"/>
        <v>0</v>
      </c>
      <c r="T64" s="1088">
        <f t="shared" si="13"/>
        <v>0</v>
      </c>
      <c r="U64" s="1089">
        <f t="shared" si="14"/>
        <v>0</v>
      </c>
      <c r="V64" s="1089">
        <f t="shared" si="14"/>
        <v>0</v>
      </c>
    </row>
    <row r="65" spans="1:22">
      <c r="A65" s="1028">
        <v>59</v>
      </c>
      <c r="B65" s="1029" t="s">
        <v>159</v>
      </c>
      <c r="C65" s="1295">
        <f>'Table 8 2.1.12 MFP Funded'!Y62</f>
        <v>0</v>
      </c>
      <c r="D65" s="1037">
        <f>'Table 3 Levels 1&amp;2'!AL66</f>
        <v>6328.4963620482158</v>
      </c>
      <c r="E65" s="1139">
        <f t="shared" si="2"/>
        <v>0</v>
      </c>
      <c r="F65" s="1139">
        <f>'Table 4 Level 3'!P64</f>
        <v>689.52</v>
      </c>
      <c r="G65" s="1139">
        <f t="shared" si="3"/>
        <v>0</v>
      </c>
      <c r="H65" s="1094">
        <f t="shared" si="4"/>
        <v>0</v>
      </c>
      <c r="I65" s="1149">
        <f t="shared" si="5"/>
        <v>0</v>
      </c>
      <c r="J65" s="1094">
        <f t="shared" si="6"/>
        <v>0</v>
      </c>
      <c r="K65" s="1094">
        <v>0</v>
      </c>
      <c r="L65" s="1094">
        <f t="shared" si="7"/>
        <v>0</v>
      </c>
      <c r="M65" s="1094">
        <f t="shared" si="8"/>
        <v>0</v>
      </c>
      <c r="N65" s="1086">
        <f>'[8]FY2012-13 Initial'!$K66</f>
        <v>1553</v>
      </c>
      <c r="O65" s="1088">
        <f t="shared" si="9"/>
        <v>0</v>
      </c>
      <c r="P65" s="1155">
        <f t="shared" si="10"/>
        <v>0</v>
      </c>
      <c r="Q65" s="1088">
        <f t="shared" si="11"/>
        <v>0</v>
      </c>
      <c r="R65" s="1088">
        <v>0</v>
      </c>
      <c r="S65" s="1088">
        <f t="shared" si="12"/>
        <v>0</v>
      </c>
      <c r="T65" s="1088">
        <f t="shared" si="13"/>
        <v>0</v>
      </c>
      <c r="U65" s="1089">
        <f t="shared" si="14"/>
        <v>0</v>
      </c>
      <c r="V65" s="1089">
        <f t="shared" si="14"/>
        <v>0</v>
      </c>
    </row>
    <row r="66" spans="1:22">
      <c r="A66" s="1032">
        <v>60</v>
      </c>
      <c r="B66" s="1033" t="s">
        <v>160</v>
      </c>
      <c r="C66" s="1296">
        <f>'Table 8 2.1.12 MFP Funded'!Y63</f>
        <v>0</v>
      </c>
      <c r="D66" s="1039">
        <f>'Table 3 Levels 1&amp;2'!AL67</f>
        <v>4825.1723230627122</v>
      </c>
      <c r="E66" s="1140">
        <f t="shared" si="2"/>
        <v>0</v>
      </c>
      <c r="F66" s="1140">
        <f>'Table 4 Level 3'!P65</f>
        <v>594.04</v>
      </c>
      <c r="G66" s="1140">
        <f t="shared" si="3"/>
        <v>0</v>
      </c>
      <c r="H66" s="1095">
        <f t="shared" si="4"/>
        <v>0</v>
      </c>
      <c r="I66" s="1150">
        <f t="shared" si="5"/>
        <v>0</v>
      </c>
      <c r="J66" s="1095">
        <f t="shared" si="6"/>
        <v>0</v>
      </c>
      <c r="K66" s="1095">
        <v>0</v>
      </c>
      <c r="L66" s="1095">
        <f t="shared" si="7"/>
        <v>0</v>
      </c>
      <c r="M66" s="1095">
        <f t="shared" si="8"/>
        <v>0</v>
      </c>
      <c r="N66" s="1091">
        <f>'[8]FY2012-13 Initial'!$K67</f>
        <v>3798</v>
      </c>
      <c r="O66" s="1092">
        <f t="shared" si="9"/>
        <v>0</v>
      </c>
      <c r="P66" s="1156">
        <f t="shared" si="10"/>
        <v>0</v>
      </c>
      <c r="Q66" s="1092">
        <f t="shared" si="11"/>
        <v>0</v>
      </c>
      <c r="R66" s="1092">
        <v>0</v>
      </c>
      <c r="S66" s="1092">
        <f t="shared" si="12"/>
        <v>0</v>
      </c>
      <c r="T66" s="1092">
        <f t="shared" si="13"/>
        <v>0</v>
      </c>
      <c r="U66" s="1093">
        <f t="shared" si="14"/>
        <v>0</v>
      </c>
      <c r="V66" s="1093">
        <f t="shared" si="14"/>
        <v>0</v>
      </c>
    </row>
    <row r="67" spans="1:22">
      <c r="A67" s="1021">
        <v>61</v>
      </c>
      <c r="B67" s="1022" t="s">
        <v>161</v>
      </c>
      <c r="C67" s="1297">
        <f>'Table 8 2.1.12 MFP Funded'!Y64</f>
        <v>0</v>
      </c>
      <c r="D67" s="1041">
        <f>'Table 3 Levels 1&amp;2'!AL68</f>
        <v>3063.3110364585282</v>
      </c>
      <c r="E67" s="1141">
        <f t="shared" si="2"/>
        <v>0</v>
      </c>
      <c r="F67" s="1141">
        <f>'Table 4 Level 3'!P66</f>
        <v>833.70999999999992</v>
      </c>
      <c r="G67" s="1141">
        <f t="shared" si="3"/>
        <v>0</v>
      </c>
      <c r="H67" s="1096">
        <f t="shared" si="4"/>
        <v>0</v>
      </c>
      <c r="I67" s="1151">
        <f t="shared" si="5"/>
        <v>0</v>
      </c>
      <c r="J67" s="1096">
        <f t="shared" si="6"/>
        <v>0</v>
      </c>
      <c r="K67" s="1096">
        <v>0</v>
      </c>
      <c r="L67" s="1096">
        <f t="shared" si="7"/>
        <v>0</v>
      </c>
      <c r="M67" s="1096">
        <f t="shared" si="8"/>
        <v>0</v>
      </c>
      <c r="N67" s="1086">
        <f>'[8]FY2012-13 Initial'!$K68</f>
        <v>6727</v>
      </c>
      <c r="O67" s="1026">
        <f t="shared" si="9"/>
        <v>0</v>
      </c>
      <c r="P67" s="1154">
        <f t="shared" si="10"/>
        <v>0</v>
      </c>
      <c r="Q67" s="1026">
        <f t="shared" si="11"/>
        <v>0</v>
      </c>
      <c r="R67" s="1026">
        <v>0</v>
      </c>
      <c r="S67" s="1026">
        <f t="shared" si="12"/>
        <v>0</v>
      </c>
      <c r="T67" s="1026">
        <f t="shared" si="13"/>
        <v>0</v>
      </c>
      <c r="U67" s="1027">
        <f t="shared" si="14"/>
        <v>0</v>
      </c>
      <c r="V67" s="1027">
        <f t="shared" si="14"/>
        <v>0</v>
      </c>
    </row>
    <row r="68" spans="1:22">
      <c r="A68" s="1028">
        <v>62</v>
      </c>
      <c r="B68" s="1029" t="s">
        <v>162</v>
      </c>
      <c r="C68" s="1295">
        <f>'Table 8 2.1.12 MFP Funded'!Y65</f>
        <v>0</v>
      </c>
      <c r="D68" s="1037">
        <f>'Table 3 Levels 1&amp;2'!AL69</f>
        <v>5564.645485869667</v>
      </c>
      <c r="E68" s="1139">
        <f t="shared" si="2"/>
        <v>0</v>
      </c>
      <c r="F68" s="1139">
        <f>'Table 4 Level 3'!P67</f>
        <v>516.08000000000004</v>
      </c>
      <c r="G68" s="1139">
        <f t="shared" si="3"/>
        <v>0</v>
      </c>
      <c r="H68" s="1094">
        <f t="shared" si="4"/>
        <v>0</v>
      </c>
      <c r="I68" s="1149">
        <f t="shared" si="5"/>
        <v>0</v>
      </c>
      <c r="J68" s="1094">
        <f t="shared" si="6"/>
        <v>0</v>
      </c>
      <c r="K68" s="1094">
        <v>0</v>
      </c>
      <c r="L68" s="1094">
        <f t="shared" si="7"/>
        <v>0</v>
      </c>
      <c r="M68" s="1094">
        <f t="shared" si="8"/>
        <v>0</v>
      </c>
      <c r="N68" s="1086">
        <f>'[8]FY2012-13 Initial'!$K69</f>
        <v>1678</v>
      </c>
      <c r="O68" s="1088">
        <f t="shared" si="9"/>
        <v>0</v>
      </c>
      <c r="P68" s="1155">
        <f t="shared" si="10"/>
        <v>0</v>
      </c>
      <c r="Q68" s="1088">
        <f t="shared" si="11"/>
        <v>0</v>
      </c>
      <c r="R68" s="1088">
        <v>0</v>
      </c>
      <c r="S68" s="1088">
        <f t="shared" si="12"/>
        <v>0</v>
      </c>
      <c r="T68" s="1088">
        <f t="shared" si="13"/>
        <v>0</v>
      </c>
      <c r="U68" s="1089">
        <f t="shared" si="14"/>
        <v>0</v>
      </c>
      <c r="V68" s="1089">
        <f t="shared" si="14"/>
        <v>0</v>
      </c>
    </row>
    <row r="69" spans="1:22">
      <c r="A69" s="1028">
        <v>63</v>
      </c>
      <c r="B69" s="1029" t="s">
        <v>163</v>
      </c>
      <c r="C69" s="1295">
        <f>'Table 8 2.1.12 MFP Funded'!Y66</f>
        <v>0</v>
      </c>
      <c r="D69" s="1037">
        <f>'Table 3 Levels 1&amp;2'!AL70</f>
        <v>4414.1775336636538</v>
      </c>
      <c r="E69" s="1139">
        <f t="shared" si="2"/>
        <v>0</v>
      </c>
      <c r="F69" s="1139">
        <f>'Table 4 Level 3'!P68</f>
        <v>756.79</v>
      </c>
      <c r="G69" s="1139">
        <f t="shared" si="3"/>
        <v>0</v>
      </c>
      <c r="H69" s="1094">
        <f t="shared" si="4"/>
        <v>0</v>
      </c>
      <c r="I69" s="1149">
        <f t="shared" si="5"/>
        <v>0</v>
      </c>
      <c r="J69" s="1094">
        <f t="shared" si="6"/>
        <v>0</v>
      </c>
      <c r="K69" s="1094">
        <v>0</v>
      </c>
      <c r="L69" s="1094">
        <f t="shared" si="7"/>
        <v>0</v>
      </c>
      <c r="M69" s="1094">
        <f t="shared" si="8"/>
        <v>0</v>
      </c>
      <c r="N69" s="1086">
        <f>'[8]FY2012-13 Initial'!$K70</f>
        <v>6524</v>
      </c>
      <c r="O69" s="1088">
        <f t="shared" si="9"/>
        <v>0</v>
      </c>
      <c r="P69" s="1155">
        <f t="shared" si="10"/>
        <v>0</v>
      </c>
      <c r="Q69" s="1088">
        <f t="shared" si="11"/>
        <v>0</v>
      </c>
      <c r="R69" s="1088">
        <v>0</v>
      </c>
      <c r="S69" s="1088">
        <f t="shared" si="12"/>
        <v>0</v>
      </c>
      <c r="T69" s="1088">
        <f t="shared" si="13"/>
        <v>0</v>
      </c>
      <c r="U69" s="1089">
        <f t="shared" si="14"/>
        <v>0</v>
      </c>
      <c r="V69" s="1089">
        <f t="shared" si="14"/>
        <v>0</v>
      </c>
    </row>
    <row r="70" spans="1:22">
      <c r="A70" s="1028">
        <v>64</v>
      </c>
      <c r="B70" s="1029" t="s">
        <v>164</v>
      </c>
      <c r="C70" s="1295">
        <f>'Table 8 2.1.12 MFP Funded'!Y67</f>
        <v>0</v>
      </c>
      <c r="D70" s="1037">
        <f>'Table 3 Levels 1&amp;2'!AL71</f>
        <v>5871.0485811924027</v>
      </c>
      <c r="E70" s="1139">
        <f t="shared" si="2"/>
        <v>0</v>
      </c>
      <c r="F70" s="1139">
        <f>'Table 4 Level 3'!P69</f>
        <v>592.66</v>
      </c>
      <c r="G70" s="1139">
        <f t="shared" si="3"/>
        <v>0</v>
      </c>
      <c r="H70" s="1094">
        <f t="shared" si="4"/>
        <v>0</v>
      </c>
      <c r="I70" s="1149">
        <f t="shared" si="5"/>
        <v>0</v>
      </c>
      <c r="J70" s="1094">
        <f t="shared" si="6"/>
        <v>0</v>
      </c>
      <c r="K70" s="1094">
        <v>0</v>
      </c>
      <c r="L70" s="1094">
        <f t="shared" si="7"/>
        <v>0</v>
      </c>
      <c r="M70" s="1094">
        <f t="shared" si="8"/>
        <v>0</v>
      </c>
      <c r="N70" s="1086">
        <f>'[8]FY2012-13 Initial'!$K71</f>
        <v>2658</v>
      </c>
      <c r="O70" s="1088">
        <f t="shared" si="9"/>
        <v>0</v>
      </c>
      <c r="P70" s="1155">
        <f t="shared" si="10"/>
        <v>0</v>
      </c>
      <c r="Q70" s="1088">
        <f t="shared" si="11"/>
        <v>0</v>
      </c>
      <c r="R70" s="1088">
        <v>0</v>
      </c>
      <c r="S70" s="1088">
        <f t="shared" si="12"/>
        <v>0</v>
      </c>
      <c r="T70" s="1088">
        <f t="shared" si="13"/>
        <v>0</v>
      </c>
      <c r="U70" s="1089">
        <f t="shared" si="14"/>
        <v>0</v>
      </c>
      <c r="V70" s="1089">
        <f t="shared" si="14"/>
        <v>0</v>
      </c>
    </row>
    <row r="71" spans="1:22">
      <c r="A71" s="1032">
        <v>65</v>
      </c>
      <c r="B71" s="1033" t="s">
        <v>165</v>
      </c>
      <c r="C71" s="1296">
        <f>'Table 8 2.1.12 MFP Funded'!Y68</f>
        <v>0</v>
      </c>
      <c r="D71" s="1039">
        <f>'Table 3 Levels 1&amp;2'!AL72</f>
        <v>4602.2046951319899</v>
      </c>
      <c r="E71" s="1140">
        <f t="shared" si="2"/>
        <v>0</v>
      </c>
      <c r="F71" s="1140">
        <f>'Table 4 Level 3'!P70</f>
        <v>829.12</v>
      </c>
      <c r="G71" s="1140">
        <f t="shared" si="3"/>
        <v>0</v>
      </c>
      <c r="H71" s="1095">
        <f t="shared" si="4"/>
        <v>0</v>
      </c>
      <c r="I71" s="1150">
        <f t="shared" si="5"/>
        <v>0</v>
      </c>
      <c r="J71" s="1095">
        <f t="shared" si="6"/>
        <v>0</v>
      </c>
      <c r="K71" s="1095">
        <v>0</v>
      </c>
      <c r="L71" s="1095">
        <f t="shared" si="7"/>
        <v>0</v>
      </c>
      <c r="M71" s="1095">
        <f t="shared" si="8"/>
        <v>0</v>
      </c>
      <c r="N71" s="1091">
        <f>'[8]FY2012-13 Initial'!$K72</f>
        <v>4631</v>
      </c>
      <c r="O71" s="1092">
        <f t="shared" si="9"/>
        <v>0</v>
      </c>
      <c r="P71" s="1156">
        <f t="shared" si="10"/>
        <v>0</v>
      </c>
      <c r="Q71" s="1092">
        <f t="shared" si="11"/>
        <v>0</v>
      </c>
      <c r="R71" s="1092">
        <v>0</v>
      </c>
      <c r="S71" s="1092">
        <f t="shared" si="12"/>
        <v>0</v>
      </c>
      <c r="T71" s="1092">
        <f t="shared" si="13"/>
        <v>0</v>
      </c>
      <c r="U71" s="1093">
        <f t="shared" si="14"/>
        <v>0</v>
      </c>
      <c r="V71" s="1093">
        <f t="shared" si="14"/>
        <v>0</v>
      </c>
    </row>
    <row r="72" spans="1:22">
      <c r="A72" s="1021">
        <v>66</v>
      </c>
      <c r="B72" s="1022" t="s">
        <v>166</v>
      </c>
      <c r="C72" s="1297">
        <f>'Table 8 2.1.12 MFP Funded'!Y69</f>
        <v>0</v>
      </c>
      <c r="D72" s="1041">
        <f>'Table 3 Levels 1&amp;2'!AL73</f>
        <v>6243.8912249150071</v>
      </c>
      <c r="E72" s="1141">
        <f t="shared" ref="E72:E75" si="15">C72*D72</f>
        <v>0</v>
      </c>
      <c r="F72" s="1141">
        <f>'Table 4 Level 3'!P71</f>
        <v>730.06</v>
      </c>
      <c r="G72" s="1141">
        <f t="shared" ref="G72:G75" si="16">C72*F72</f>
        <v>0</v>
      </c>
      <c r="H72" s="1096">
        <f t="shared" ref="H72:H75" si="17">E72+G72</f>
        <v>0</v>
      </c>
      <c r="I72" s="1151">
        <f t="shared" ref="I72:I75" si="18">-(0.25%*H72)</f>
        <v>0</v>
      </c>
      <c r="J72" s="1096">
        <f t="shared" ref="J72:J75" si="19">SUM(H72:I72)</f>
        <v>0</v>
      </c>
      <c r="K72" s="1096">
        <v>0</v>
      </c>
      <c r="L72" s="1096">
        <f t="shared" ref="L72:L75" si="20">SUM(J72:K72)</f>
        <v>0</v>
      </c>
      <c r="M72" s="1096">
        <f t="shared" ref="M72:M75" si="21">L72/12</f>
        <v>0</v>
      </c>
      <c r="N72" s="1086">
        <f>'[8]FY2012-13 Initial'!$K73</f>
        <v>3443</v>
      </c>
      <c r="O72" s="1026">
        <f t="shared" ref="O72:O75" si="22">C72*N72</f>
        <v>0</v>
      </c>
      <c r="P72" s="1154">
        <f t="shared" ref="P72:P75" si="23">-(0.25%*O72)</f>
        <v>0</v>
      </c>
      <c r="Q72" s="1026">
        <f t="shared" ref="Q72:Q75" si="24">SUM(O72:P72)</f>
        <v>0</v>
      </c>
      <c r="R72" s="1026">
        <v>0</v>
      </c>
      <c r="S72" s="1026">
        <f t="shared" ref="S72:S75" si="25">SUM(Q72:R72)</f>
        <v>0</v>
      </c>
      <c r="T72" s="1026">
        <f t="shared" ref="T72:T75" si="26">S72/12</f>
        <v>0</v>
      </c>
      <c r="U72" s="1027">
        <f t="shared" ref="U72:V75" si="27">L72+S72</f>
        <v>0</v>
      </c>
      <c r="V72" s="1027">
        <f t="shared" si="27"/>
        <v>0</v>
      </c>
    </row>
    <row r="73" spans="1:22">
      <c r="A73" s="1028">
        <v>67</v>
      </c>
      <c r="B73" s="1029" t="s">
        <v>33</v>
      </c>
      <c r="C73" s="1295">
        <f>'Table 8 2.1.12 MFP Funded'!Y70</f>
        <v>0</v>
      </c>
      <c r="D73" s="1037">
        <f>'Table 3 Levels 1&amp;2'!AL74</f>
        <v>5049.6489898847567</v>
      </c>
      <c r="E73" s="1139">
        <f t="shared" si="15"/>
        <v>0</v>
      </c>
      <c r="F73" s="1139">
        <f>'Table 4 Level 3'!P72</f>
        <v>715.61</v>
      </c>
      <c r="G73" s="1139">
        <f t="shared" si="16"/>
        <v>0</v>
      </c>
      <c r="H73" s="1094">
        <f t="shared" si="17"/>
        <v>0</v>
      </c>
      <c r="I73" s="1149">
        <f t="shared" si="18"/>
        <v>0</v>
      </c>
      <c r="J73" s="1094">
        <f t="shared" si="19"/>
        <v>0</v>
      </c>
      <c r="K73" s="1094">
        <v>0</v>
      </c>
      <c r="L73" s="1094">
        <f t="shared" si="20"/>
        <v>0</v>
      </c>
      <c r="M73" s="1094">
        <f t="shared" si="21"/>
        <v>0</v>
      </c>
      <c r="N73" s="1086">
        <f>'[8]FY2012-13 Initial'!$K74</f>
        <v>4502</v>
      </c>
      <c r="O73" s="1088">
        <f t="shared" si="22"/>
        <v>0</v>
      </c>
      <c r="P73" s="1155">
        <f t="shared" si="23"/>
        <v>0</v>
      </c>
      <c r="Q73" s="1088">
        <f t="shared" si="24"/>
        <v>0</v>
      </c>
      <c r="R73" s="1088">
        <v>0</v>
      </c>
      <c r="S73" s="1088">
        <f t="shared" si="25"/>
        <v>0</v>
      </c>
      <c r="T73" s="1088">
        <f t="shared" si="26"/>
        <v>0</v>
      </c>
      <c r="U73" s="1089">
        <f t="shared" si="27"/>
        <v>0</v>
      </c>
      <c r="V73" s="1089">
        <f t="shared" si="27"/>
        <v>0</v>
      </c>
    </row>
    <row r="74" spans="1:22">
      <c r="A74" s="1028">
        <v>68</v>
      </c>
      <c r="B74" s="1029" t="s">
        <v>31</v>
      </c>
      <c r="C74" s="1295">
        <f>'Table 8 2.1.12 MFP Funded'!Y71</f>
        <v>0</v>
      </c>
      <c r="D74" s="1037">
        <f>'Table 3 Levels 1&amp;2'!AL75</f>
        <v>5861.7500805575619</v>
      </c>
      <c r="E74" s="1139">
        <f t="shared" si="15"/>
        <v>0</v>
      </c>
      <c r="F74" s="1139">
        <f>'Table 4 Level 3'!P73</f>
        <v>798.7</v>
      </c>
      <c r="G74" s="1139">
        <f t="shared" si="16"/>
        <v>0</v>
      </c>
      <c r="H74" s="1094">
        <f t="shared" si="17"/>
        <v>0</v>
      </c>
      <c r="I74" s="1149">
        <f t="shared" si="18"/>
        <v>0</v>
      </c>
      <c r="J74" s="1094">
        <f t="shared" si="19"/>
        <v>0</v>
      </c>
      <c r="K74" s="1094">
        <v>0</v>
      </c>
      <c r="L74" s="1094">
        <f t="shared" si="20"/>
        <v>0</v>
      </c>
      <c r="M74" s="1094">
        <f t="shared" si="21"/>
        <v>0</v>
      </c>
      <c r="N74" s="1086">
        <f>'[8]FY2012-13 Initial'!$K75</f>
        <v>2587</v>
      </c>
      <c r="O74" s="1088">
        <f t="shared" si="22"/>
        <v>0</v>
      </c>
      <c r="P74" s="1155">
        <f t="shared" si="23"/>
        <v>0</v>
      </c>
      <c r="Q74" s="1088">
        <f t="shared" si="24"/>
        <v>0</v>
      </c>
      <c r="R74" s="1088">
        <v>0</v>
      </c>
      <c r="S74" s="1088">
        <f t="shared" si="25"/>
        <v>0</v>
      </c>
      <c r="T74" s="1088">
        <f t="shared" si="26"/>
        <v>0</v>
      </c>
      <c r="U74" s="1089">
        <f t="shared" si="27"/>
        <v>0</v>
      </c>
      <c r="V74" s="1089">
        <f t="shared" si="27"/>
        <v>0</v>
      </c>
    </row>
    <row r="75" spans="1:22">
      <c r="A75" s="1042">
        <v>69</v>
      </c>
      <c r="B75" s="1043" t="s">
        <v>235</v>
      </c>
      <c r="C75" s="1298">
        <f>'Table 8 2.1.12 MFP Funded'!Y72</f>
        <v>0</v>
      </c>
      <c r="D75" s="1045">
        <f>'Table 3 Levels 1&amp;2'!AL76</f>
        <v>5508.3397285189958</v>
      </c>
      <c r="E75" s="1142">
        <f t="shared" si="15"/>
        <v>0</v>
      </c>
      <c r="F75" s="1142">
        <f>'Table 4 Level 3'!P74</f>
        <v>705.67</v>
      </c>
      <c r="G75" s="1142">
        <f t="shared" si="16"/>
        <v>0</v>
      </c>
      <c r="H75" s="1097">
        <f t="shared" si="17"/>
        <v>0</v>
      </c>
      <c r="I75" s="1152">
        <f t="shared" si="18"/>
        <v>0</v>
      </c>
      <c r="J75" s="1097">
        <f t="shared" si="19"/>
        <v>0</v>
      </c>
      <c r="K75" s="1097">
        <v>0</v>
      </c>
      <c r="L75" s="1097">
        <f t="shared" si="20"/>
        <v>0</v>
      </c>
      <c r="M75" s="1097">
        <f t="shared" si="21"/>
        <v>0</v>
      </c>
      <c r="N75" s="1086">
        <f>'[8]FY2012-13 Initial'!$K76</f>
        <v>3233</v>
      </c>
      <c r="O75" s="1098">
        <f t="shared" si="22"/>
        <v>0</v>
      </c>
      <c r="P75" s="1157">
        <f t="shared" si="23"/>
        <v>0</v>
      </c>
      <c r="Q75" s="1098">
        <f t="shared" si="24"/>
        <v>0</v>
      </c>
      <c r="R75" s="1098">
        <v>0</v>
      </c>
      <c r="S75" s="1098">
        <f t="shared" si="25"/>
        <v>0</v>
      </c>
      <c r="T75" s="1098">
        <f t="shared" si="26"/>
        <v>0</v>
      </c>
      <c r="U75" s="1099">
        <f t="shared" si="27"/>
        <v>0</v>
      </c>
      <c r="V75" s="1099">
        <f t="shared" si="27"/>
        <v>0</v>
      </c>
    </row>
    <row r="76" spans="1:22" ht="13.5" thickBot="1">
      <c r="A76" s="1046"/>
      <c r="B76" s="1047" t="s">
        <v>167</v>
      </c>
      <c r="C76" s="1048">
        <f>SUM(C7:C75)</f>
        <v>55</v>
      </c>
      <c r="D76" s="1049">
        <f>'Table 3 Levels 1&amp;2'!AL77</f>
        <v>4325.8670725247357</v>
      </c>
      <c r="E76" s="1143">
        <f>SUM(E7:E75)</f>
        <v>187969.87712019778</v>
      </c>
      <c r="F76" s="1143">
        <f>'Table 4 Level 3'!P75</f>
        <v>703.90028204588873</v>
      </c>
      <c r="G76" s="1143">
        <f t="shared" ref="G76:L76" si="28">SUM(G7:G75)</f>
        <v>42121.403150684935</v>
      </c>
      <c r="H76" s="1050">
        <f t="shared" si="28"/>
        <v>230091.28027088271</v>
      </c>
      <c r="I76" s="1153">
        <f t="shared" si="28"/>
        <v>-575.22820067720681</v>
      </c>
      <c r="J76" s="1050">
        <f t="shared" si="28"/>
        <v>229516.05207020551</v>
      </c>
      <c r="K76" s="1050">
        <f t="shared" si="28"/>
        <v>0</v>
      </c>
      <c r="L76" s="1050">
        <f t="shared" si="28"/>
        <v>229516.05207020551</v>
      </c>
      <c r="M76" s="1050">
        <f>SUM(M7:M75)</f>
        <v>19126.337672517126</v>
      </c>
      <c r="N76" s="1100"/>
      <c r="O76" s="1051">
        <f t="shared" ref="O76:V76" si="29">SUM(O7:O75)</f>
        <v>268119</v>
      </c>
      <c r="P76" s="1158">
        <f t="shared" si="29"/>
        <v>-670.29750000000001</v>
      </c>
      <c r="Q76" s="1051">
        <f t="shared" si="29"/>
        <v>267448.70250000001</v>
      </c>
      <c r="R76" s="1051">
        <f t="shared" si="29"/>
        <v>0</v>
      </c>
      <c r="S76" s="1051">
        <f t="shared" si="29"/>
        <v>267448.70250000001</v>
      </c>
      <c r="T76" s="1051">
        <f t="shared" si="29"/>
        <v>22287.391874999998</v>
      </c>
      <c r="U76" s="1052">
        <f t="shared" si="29"/>
        <v>496964.75457020546</v>
      </c>
      <c r="V76" s="1052">
        <f t="shared" si="29"/>
        <v>41413.729547517119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8" right="0.34" top="0.75" bottom="0.75" header="0.3" footer="0.3"/>
  <pageSetup paperSize="5" scale="60" firstPageNumber="58" orientation="portrait" useFirstPageNumber="1" r:id="rId1"/>
  <headerFooter>
    <oddHeader>&amp;L&amp;"Arial,Bold"&amp;20Table 5C1-E: FY2012-13 MFP Budget Letter
Lycee Francais de la Nouvelle Orleans</oddHeader>
    <oddFooter>&amp;R&amp;P</oddFooter>
  </headerFooter>
  <colBreaks count="1" manualBreakCount="1">
    <brk id="13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7109375" customWidth="1"/>
    <col min="4" max="4" width="17" customWidth="1"/>
    <col min="5" max="5" width="11.140625" customWidth="1"/>
    <col min="6" max="6" width="12" customWidth="1"/>
    <col min="7" max="7" width="13.28515625" customWidth="1"/>
    <col min="8" max="8" width="14.5703125" customWidth="1"/>
    <col min="9" max="9" width="12.28515625" customWidth="1"/>
    <col min="10" max="10" width="12" bestFit="1" customWidth="1"/>
    <col min="11" max="11" width="13.42578125" bestFit="1" customWidth="1"/>
    <col min="12" max="12" width="14" customWidth="1"/>
    <col min="13" max="13" width="9.28515625" bestFit="1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</row>
    <row r="2" spans="1:22" ht="45" customHeight="1">
      <c r="A2" s="1837" t="s">
        <v>1255</v>
      </c>
      <c r="B2" s="1838"/>
      <c r="C2" s="1843" t="s">
        <v>1250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2"/>
      <c r="N2" s="1770" t="s">
        <v>772</v>
      </c>
      <c r="O2" s="1771"/>
      <c r="P2" s="1771"/>
      <c r="Q2" s="1771"/>
      <c r="R2" s="1771"/>
      <c r="S2" s="1771"/>
      <c r="T2" s="1772"/>
      <c r="U2" s="1764" t="s">
        <v>1414</v>
      </c>
      <c r="V2" s="1764" t="s">
        <v>1389</v>
      </c>
    </row>
    <row r="3" spans="1:22" ht="81" customHeight="1">
      <c r="A3" s="1839"/>
      <c r="B3" s="1840"/>
      <c r="C3" s="1779" t="s">
        <v>1192</v>
      </c>
      <c r="D3" s="1781" t="s">
        <v>819</v>
      </c>
      <c r="E3" s="1781" t="s">
        <v>1406</v>
      </c>
      <c r="F3" s="1779" t="s">
        <v>1251</v>
      </c>
      <c r="G3" s="1779" t="s">
        <v>779</v>
      </c>
      <c r="H3" s="1779" t="s">
        <v>1407</v>
      </c>
      <c r="I3" s="1370" t="s">
        <v>813</v>
      </c>
      <c r="J3" s="1779" t="s">
        <v>1408</v>
      </c>
      <c r="K3" s="1779" t="s">
        <v>1197</v>
      </c>
      <c r="L3" s="1779" t="s">
        <v>1409</v>
      </c>
      <c r="M3" s="1781" t="s">
        <v>1410</v>
      </c>
      <c r="N3" s="1795" t="s">
        <v>1307</v>
      </c>
      <c r="O3" s="1598" t="s">
        <v>1411</v>
      </c>
      <c r="P3" s="1372" t="s">
        <v>815</v>
      </c>
      <c r="Q3" s="1795" t="s">
        <v>818</v>
      </c>
      <c r="R3" s="1795" t="s">
        <v>1197</v>
      </c>
      <c r="S3" s="1795" t="s">
        <v>1412</v>
      </c>
      <c r="T3" s="1598" t="s">
        <v>1413</v>
      </c>
      <c r="U3" s="1765"/>
      <c r="V3" s="1765"/>
    </row>
    <row r="4" spans="1:22" ht="26.25" customHeight="1">
      <c r="A4" s="1841"/>
      <c r="B4" s="1842"/>
      <c r="C4" s="1780"/>
      <c r="D4" s="1781"/>
      <c r="E4" s="1781"/>
      <c r="F4" s="1780"/>
      <c r="G4" s="1780"/>
      <c r="H4" s="1780"/>
      <c r="I4" s="1144">
        <v>2.5000000000000001E-3</v>
      </c>
      <c r="J4" s="1780"/>
      <c r="K4" s="1780"/>
      <c r="L4" s="1780"/>
      <c r="M4" s="1781"/>
      <c r="N4" s="1787"/>
      <c r="O4" s="1371"/>
      <c r="P4" s="1145">
        <v>2.5000000000000001E-3</v>
      </c>
      <c r="Q4" s="1787"/>
      <c r="R4" s="1787"/>
      <c r="S4" s="1787"/>
      <c r="T4" s="1371"/>
      <c r="U4" s="1766"/>
      <c r="V4" s="1766"/>
    </row>
    <row r="5" spans="1:22" ht="14.25" customHeight="1">
      <c r="A5" s="1012"/>
      <c r="B5" s="1013"/>
      <c r="C5" s="1014">
        <v>1</v>
      </c>
      <c r="D5" s="1014">
        <f t="shared" ref="D5" si="0">C5+1</f>
        <v>2</v>
      </c>
      <c r="E5" s="1014">
        <f>D5+1</f>
        <v>3</v>
      </c>
      <c r="F5" s="1014">
        <f t="shared" ref="F5:V5" si="1">E5+1</f>
        <v>4</v>
      </c>
      <c r="G5" s="1014">
        <f t="shared" si="1"/>
        <v>5</v>
      </c>
      <c r="H5" s="1014">
        <f t="shared" si="1"/>
        <v>6</v>
      </c>
      <c r="I5" s="1014">
        <f t="shared" si="1"/>
        <v>7</v>
      </c>
      <c r="J5" s="1014">
        <f t="shared" si="1"/>
        <v>8</v>
      </c>
      <c r="K5" s="1014">
        <f t="shared" si="1"/>
        <v>9</v>
      </c>
      <c r="L5" s="1014">
        <f t="shared" si="1"/>
        <v>10</v>
      </c>
      <c r="M5" s="1014">
        <f t="shared" si="1"/>
        <v>11</v>
      </c>
      <c r="N5" s="1014">
        <f t="shared" si="1"/>
        <v>12</v>
      </c>
      <c r="O5" s="1014">
        <f t="shared" si="1"/>
        <v>13</v>
      </c>
      <c r="P5" s="1014">
        <f t="shared" si="1"/>
        <v>14</v>
      </c>
      <c r="Q5" s="1014">
        <f t="shared" si="1"/>
        <v>15</v>
      </c>
      <c r="R5" s="1014">
        <f t="shared" si="1"/>
        <v>16</v>
      </c>
      <c r="S5" s="1014">
        <f t="shared" si="1"/>
        <v>17</v>
      </c>
      <c r="T5" s="1014">
        <f t="shared" si="1"/>
        <v>18</v>
      </c>
      <c r="U5" s="1014">
        <f t="shared" si="1"/>
        <v>19</v>
      </c>
      <c r="V5" s="1014">
        <f t="shared" si="1"/>
        <v>20</v>
      </c>
    </row>
    <row r="6" spans="1:22" ht="27" customHeight="1">
      <c r="A6" s="1076"/>
      <c r="B6" s="1077"/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  <c r="Q6" s="1077"/>
      <c r="R6" s="1077"/>
      <c r="S6" s="1077"/>
      <c r="T6" s="1077"/>
      <c r="U6" s="1077"/>
      <c r="V6" s="1077"/>
    </row>
    <row r="7" spans="1:22">
      <c r="A7" s="1021">
        <v>1</v>
      </c>
      <c r="B7" s="1022" t="s">
        <v>102</v>
      </c>
      <c r="C7" s="1023">
        <f>'Table 8 2.1.12 MFP Funded'!X4</f>
        <v>0</v>
      </c>
      <c r="D7" s="1024">
        <f>'Table 3 Levels 1&amp;2'!AL8</f>
        <v>4621.8175818834352</v>
      </c>
      <c r="E7" s="1136">
        <f>C7*D7</f>
        <v>0</v>
      </c>
      <c r="F7" s="1136">
        <f>'Table 4 Level 3'!P6</f>
        <v>777.48</v>
      </c>
      <c r="G7" s="1136">
        <f>C7*F7</f>
        <v>0</v>
      </c>
      <c r="H7" s="1025">
        <f>E7+G7</f>
        <v>0</v>
      </c>
      <c r="I7" s="1146">
        <f>-(0.25%*H7)</f>
        <v>0</v>
      </c>
      <c r="J7" s="1025">
        <f>SUM(H7:I7)</f>
        <v>0</v>
      </c>
      <c r="K7" s="1025">
        <v>0</v>
      </c>
      <c r="L7" s="1025">
        <f>SUM(J7:K7)</f>
        <v>0</v>
      </c>
      <c r="M7" s="1025">
        <f>L7/12</f>
        <v>0</v>
      </c>
      <c r="N7" s="1086">
        <f>'[8]FY2012-13 Initial'!$K8</f>
        <v>2094</v>
      </c>
      <c r="O7" s="1026">
        <f>C7*N7</f>
        <v>0</v>
      </c>
      <c r="P7" s="1154">
        <f>-(0.25%*O7)</f>
        <v>0</v>
      </c>
      <c r="Q7" s="1026">
        <f>SUM(O7:P7)</f>
        <v>0</v>
      </c>
      <c r="R7" s="1026">
        <v>0</v>
      </c>
      <c r="S7" s="1026">
        <f>SUM(Q7:R7)</f>
        <v>0</v>
      </c>
      <c r="T7" s="1026">
        <f>S7/12</f>
        <v>0</v>
      </c>
      <c r="U7" s="1027">
        <f>L7+S7</f>
        <v>0</v>
      </c>
      <c r="V7" s="1027">
        <f>M7+T7</f>
        <v>0</v>
      </c>
    </row>
    <row r="8" spans="1:22">
      <c r="A8" s="1028">
        <v>2</v>
      </c>
      <c r="B8" s="1029" t="s">
        <v>103</v>
      </c>
      <c r="C8" s="1292">
        <f>'Table 8 2.1.12 MFP Funded'!X5</f>
        <v>0</v>
      </c>
      <c r="D8" s="1031">
        <f>'Table 3 Levels 1&amp;2'!AL9</f>
        <v>6131.8351665660375</v>
      </c>
      <c r="E8" s="1137">
        <f t="shared" ref="E8:E71" si="2">C8*D8</f>
        <v>0</v>
      </c>
      <c r="F8" s="1137">
        <f>'Table 4 Level 3'!P7</f>
        <v>842.32</v>
      </c>
      <c r="G8" s="1137">
        <f t="shared" ref="G8:G71" si="3">C8*F8</f>
        <v>0</v>
      </c>
      <c r="H8" s="1087">
        <f t="shared" ref="H8:H71" si="4">E8+G8</f>
        <v>0</v>
      </c>
      <c r="I8" s="1147">
        <f t="shared" ref="I8:I71" si="5">-(0.25%*H8)</f>
        <v>0</v>
      </c>
      <c r="J8" s="1087">
        <f t="shared" ref="J8:J71" si="6">SUM(H8:I8)</f>
        <v>0</v>
      </c>
      <c r="K8" s="1087">
        <v>0</v>
      </c>
      <c r="L8" s="1087">
        <f t="shared" ref="L8:L71" si="7">SUM(J8:K8)</f>
        <v>0</v>
      </c>
      <c r="M8" s="1087">
        <f t="shared" ref="M8:M71" si="8">L8/12</f>
        <v>0</v>
      </c>
      <c r="N8" s="1086">
        <f>'[8]FY2012-13 Initial'!$K9</f>
        <v>2554</v>
      </c>
      <c r="O8" s="1088">
        <f t="shared" ref="O8:O71" si="9">C8*N8</f>
        <v>0</v>
      </c>
      <c r="P8" s="1155">
        <f t="shared" ref="P8:P71" si="10">-(0.25%*O8)</f>
        <v>0</v>
      </c>
      <c r="Q8" s="1088">
        <f t="shared" ref="Q8:Q71" si="11">SUM(O8:P8)</f>
        <v>0</v>
      </c>
      <c r="R8" s="1088">
        <v>0</v>
      </c>
      <c r="S8" s="1088">
        <f t="shared" ref="S8:S71" si="12">SUM(Q8:R8)</f>
        <v>0</v>
      </c>
      <c r="T8" s="1088">
        <f t="shared" ref="T8:T71" si="13">S8/12</f>
        <v>0</v>
      </c>
      <c r="U8" s="1089">
        <f t="shared" ref="U8:V71" si="14">L8+S8</f>
        <v>0</v>
      </c>
      <c r="V8" s="1089">
        <f t="shared" si="14"/>
        <v>0</v>
      </c>
    </row>
    <row r="9" spans="1:22">
      <c r="A9" s="1028">
        <v>3</v>
      </c>
      <c r="B9" s="1029" t="s">
        <v>104</v>
      </c>
      <c r="C9" s="1292">
        <f>'Table 8 2.1.12 MFP Funded'!X6</f>
        <v>0</v>
      </c>
      <c r="D9" s="1031">
        <f>'Table 3 Levels 1&amp;2'!AL10</f>
        <v>4326.5384352059973</v>
      </c>
      <c r="E9" s="1137">
        <f t="shared" si="2"/>
        <v>0</v>
      </c>
      <c r="F9" s="1137">
        <f>'Table 4 Level 3'!P8</f>
        <v>596.84</v>
      </c>
      <c r="G9" s="1137">
        <f t="shared" si="3"/>
        <v>0</v>
      </c>
      <c r="H9" s="1087">
        <f t="shared" si="4"/>
        <v>0</v>
      </c>
      <c r="I9" s="1147">
        <f t="shared" si="5"/>
        <v>0</v>
      </c>
      <c r="J9" s="1087">
        <f t="shared" si="6"/>
        <v>0</v>
      </c>
      <c r="K9" s="1087">
        <v>0</v>
      </c>
      <c r="L9" s="1087">
        <f t="shared" si="7"/>
        <v>0</v>
      </c>
      <c r="M9" s="1087">
        <f t="shared" si="8"/>
        <v>0</v>
      </c>
      <c r="N9" s="1086">
        <f>'[8]FY2012-13 Initial'!$K10</f>
        <v>4995</v>
      </c>
      <c r="O9" s="1088">
        <f t="shared" si="9"/>
        <v>0</v>
      </c>
      <c r="P9" s="1155">
        <f t="shared" si="10"/>
        <v>0</v>
      </c>
      <c r="Q9" s="1088">
        <f t="shared" si="11"/>
        <v>0</v>
      </c>
      <c r="R9" s="1088">
        <v>0</v>
      </c>
      <c r="S9" s="1088">
        <f t="shared" si="12"/>
        <v>0</v>
      </c>
      <c r="T9" s="1088">
        <f t="shared" si="13"/>
        <v>0</v>
      </c>
      <c r="U9" s="1089">
        <f t="shared" si="14"/>
        <v>0</v>
      </c>
      <c r="V9" s="1089">
        <f t="shared" si="14"/>
        <v>0</v>
      </c>
    </row>
    <row r="10" spans="1:22">
      <c r="A10" s="1028">
        <v>4</v>
      </c>
      <c r="B10" s="1029" t="s">
        <v>105</v>
      </c>
      <c r="C10" s="1292">
        <f>'Table 8 2.1.12 MFP Funded'!X7</f>
        <v>0</v>
      </c>
      <c r="D10" s="1031">
        <f>'Table 3 Levels 1&amp;2'!AL11</f>
        <v>6066.2659652331004</v>
      </c>
      <c r="E10" s="1137">
        <f t="shared" si="2"/>
        <v>0</v>
      </c>
      <c r="F10" s="1137">
        <f>'Table 4 Level 3'!P9</f>
        <v>585.76</v>
      </c>
      <c r="G10" s="1137">
        <f t="shared" si="3"/>
        <v>0</v>
      </c>
      <c r="H10" s="1087">
        <f t="shared" si="4"/>
        <v>0</v>
      </c>
      <c r="I10" s="1147">
        <f t="shared" si="5"/>
        <v>0</v>
      </c>
      <c r="J10" s="1087">
        <f t="shared" si="6"/>
        <v>0</v>
      </c>
      <c r="K10" s="1087">
        <v>0</v>
      </c>
      <c r="L10" s="1087">
        <f t="shared" si="7"/>
        <v>0</v>
      </c>
      <c r="M10" s="1087">
        <f t="shared" si="8"/>
        <v>0</v>
      </c>
      <c r="N10" s="1086">
        <f>'[8]FY2012-13 Initial'!$K11</f>
        <v>3361</v>
      </c>
      <c r="O10" s="1088">
        <f t="shared" si="9"/>
        <v>0</v>
      </c>
      <c r="P10" s="1155">
        <f t="shared" si="10"/>
        <v>0</v>
      </c>
      <c r="Q10" s="1088">
        <f t="shared" si="11"/>
        <v>0</v>
      </c>
      <c r="R10" s="1088">
        <v>0</v>
      </c>
      <c r="S10" s="1088">
        <f t="shared" si="12"/>
        <v>0</v>
      </c>
      <c r="T10" s="1088">
        <f t="shared" si="13"/>
        <v>0</v>
      </c>
      <c r="U10" s="1089">
        <f t="shared" si="14"/>
        <v>0</v>
      </c>
      <c r="V10" s="1089">
        <f t="shared" si="14"/>
        <v>0</v>
      </c>
    </row>
    <row r="11" spans="1:22">
      <c r="A11" s="1032">
        <v>5</v>
      </c>
      <c r="B11" s="1033" t="s">
        <v>106</v>
      </c>
      <c r="C11" s="1293">
        <f>'Table 8 2.1.12 MFP Funded'!X8</f>
        <v>0</v>
      </c>
      <c r="D11" s="1035">
        <f>'Table 3 Levels 1&amp;2'!AL12</f>
        <v>4806.2126132223084</v>
      </c>
      <c r="E11" s="1138">
        <f t="shared" si="2"/>
        <v>0</v>
      </c>
      <c r="F11" s="1138">
        <f>'Table 4 Level 3'!P10</f>
        <v>555.91</v>
      </c>
      <c r="G11" s="1138">
        <f t="shared" si="3"/>
        <v>0</v>
      </c>
      <c r="H11" s="1090">
        <f t="shared" si="4"/>
        <v>0</v>
      </c>
      <c r="I11" s="1148">
        <f t="shared" si="5"/>
        <v>0</v>
      </c>
      <c r="J11" s="1090">
        <f t="shared" si="6"/>
        <v>0</v>
      </c>
      <c r="K11" s="1090">
        <v>0</v>
      </c>
      <c r="L11" s="1090">
        <f t="shared" si="7"/>
        <v>0</v>
      </c>
      <c r="M11" s="1090">
        <f t="shared" si="8"/>
        <v>0</v>
      </c>
      <c r="N11" s="1091">
        <f>'[8]FY2012-13 Initial'!$K12</f>
        <v>1146</v>
      </c>
      <c r="O11" s="1092">
        <f t="shared" si="9"/>
        <v>0</v>
      </c>
      <c r="P11" s="1156">
        <f t="shared" si="10"/>
        <v>0</v>
      </c>
      <c r="Q11" s="1092">
        <f t="shared" si="11"/>
        <v>0</v>
      </c>
      <c r="R11" s="1092">
        <v>0</v>
      </c>
      <c r="S11" s="1092">
        <f t="shared" si="12"/>
        <v>0</v>
      </c>
      <c r="T11" s="1092">
        <f t="shared" si="13"/>
        <v>0</v>
      </c>
      <c r="U11" s="1093">
        <f t="shared" si="14"/>
        <v>0</v>
      </c>
      <c r="V11" s="1093">
        <f t="shared" si="14"/>
        <v>0</v>
      </c>
    </row>
    <row r="12" spans="1:22">
      <c r="A12" s="1021">
        <v>6</v>
      </c>
      <c r="B12" s="1022" t="s">
        <v>107</v>
      </c>
      <c r="C12" s="1294">
        <f>'Table 8 2.1.12 MFP Funded'!X9</f>
        <v>0</v>
      </c>
      <c r="D12" s="1024">
        <f>'Table 3 Levels 1&amp;2'!AL13</f>
        <v>5538.0879878550813</v>
      </c>
      <c r="E12" s="1136">
        <f t="shared" si="2"/>
        <v>0</v>
      </c>
      <c r="F12" s="1136">
        <f>'Table 4 Level 3'!P11</f>
        <v>545.4799999999999</v>
      </c>
      <c r="G12" s="1136">
        <f t="shared" si="3"/>
        <v>0</v>
      </c>
      <c r="H12" s="1025">
        <f t="shared" si="4"/>
        <v>0</v>
      </c>
      <c r="I12" s="1146">
        <f t="shared" si="5"/>
        <v>0</v>
      </c>
      <c r="J12" s="1025">
        <f t="shared" si="6"/>
        <v>0</v>
      </c>
      <c r="K12" s="1025">
        <v>0</v>
      </c>
      <c r="L12" s="1025">
        <f t="shared" si="7"/>
        <v>0</v>
      </c>
      <c r="M12" s="1025">
        <f t="shared" si="8"/>
        <v>0</v>
      </c>
      <c r="N12" s="1086">
        <f>'[8]FY2012-13 Initial'!$K13</f>
        <v>3431</v>
      </c>
      <c r="O12" s="1026">
        <f t="shared" si="9"/>
        <v>0</v>
      </c>
      <c r="P12" s="1154">
        <f t="shared" si="10"/>
        <v>0</v>
      </c>
      <c r="Q12" s="1026">
        <f t="shared" si="11"/>
        <v>0</v>
      </c>
      <c r="R12" s="1026">
        <v>0</v>
      </c>
      <c r="S12" s="1026">
        <f t="shared" si="12"/>
        <v>0</v>
      </c>
      <c r="T12" s="1026">
        <f t="shared" si="13"/>
        <v>0</v>
      </c>
      <c r="U12" s="1027">
        <f t="shared" si="14"/>
        <v>0</v>
      </c>
      <c r="V12" s="1027">
        <f t="shared" si="14"/>
        <v>0</v>
      </c>
    </row>
    <row r="13" spans="1:22">
      <c r="A13" s="1028">
        <v>7</v>
      </c>
      <c r="B13" s="1029" t="s">
        <v>108</v>
      </c>
      <c r="C13" s="1292">
        <f>'Table 8 2.1.12 MFP Funded'!X10</f>
        <v>0</v>
      </c>
      <c r="D13" s="1031">
        <f>'Table 3 Levels 1&amp;2'!AL14</f>
        <v>1543.5712353471597</v>
      </c>
      <c r="E13" s="1137">
        <f t="shared" si="2"/>
        <v>0</v>
      </c>
      <c r="F13" s="1137">
        <f>'Table 4 Level 3'!P12</f>
        <v>756.91999999999985</v>
      </c>
      <c r="G13" s="1137">
        <f t="shared" si="3"/>
        <v>0</v>
      </c>
      <c r="H13" s="1087">
        <f t="shared" si="4"/>
        <v>0</v>
      </c>
      <c r="I13" s="1147">
        <f t="shared" si="5"/>
        <v>0</v>
      </c>
      <c r="J13" s="1087">
        <f t="shared" si="6"/>
        <v>0</v>
      </c>
      <c r="K13" s="1087">
        <v>0</v>
      </c>
      <c r="L13" s="1087">
        <f t="shared" si="7"/>
        <v>0</v>
      </c>
      <c r="M13" s="1087">
        <f t="shared" si="8"/>
        <v>0</v>
      </c>
      <c r="N13" s="1086">
        <f>'[8]FY2012-13 Initial'!$K14</f>
        <v>12974</v>
      </c>
      <c r="O13" s="1088">
        <f t="shared" si="9"/>
        <v>0</v>
      </c>
      <c r="P13" s="1155">
        <f t="shared" si="10"/>
        <v>0</v>
      </c>
      <c r="Q13" s="1088">
        <f t="shared" si="11"/>
        <v>0</v>
      </c>
      <c r="R13" s="1088">
        <v>0</v>
      </c>
      <c r="S13" s="1088">
        <f t="shared" si="12"/>
        <v>0</v>
      </c>
      <c r="T13" s="1088">
        <f t="shared" si="13"/>
        <v>0</v>
      </c>
      <c r="U13" s="1089">
        <f t="shared" si="14"/>
        <v>0</v>
      </c>
      <c r="V13" s="1089">
        <f t="shared" si="14"/>
        <v>0</v>
      </c>
    </row>
    <row r="14" spans="1:22">
      <c r="A14" s="1028">
        <v>8</v>
      </c>
      <c r="B14" s="1029" t="s">
        <v>109</v>
      </c>
      <c r="C14" s="1292">
        <f>'Table 8 2.1.12 MFP Funded'!X11</f>
        <v>0</v>
      </c>
      <c r="D14" s="1031">
        <f>'Table 3 Levels 1&amp;2'!AL15</f>
        <v>4033.4866571910334</v>
      </c>
      <c r="E14" s="1137">
        <f t="shared" si="2"/>
        <v>0</v>
      </c>
      <c r="F14" s="1137">
        <f>'Table 4 Level 3'!P13</f>
        <v>725.76</v>
      </c>
      <c r="G14" s="1137">
        <f t="shared" si="3"/>
        <v>0</v>
      </c>
      <c r="H14" s="1087">
        <f t="shared" si="4"/>
        <v>0</v>
      </c>
      <c r="I14" s="1147">
        <f t="shared" si="5"/>
        <v>0</v>
      </c>
      <c r="J14" s="1087">
        <f t="shared" si="6"/>
        <v>0</v>
      </c>
      <c r="K14" s="1087">
        <v>0</v>
      </c>
      <c r="L14" s="1087">
        <f t="shared" si="7"/>
        <v>0</v>
      </c>
      <c r="M14" s="1087">
        <f t="shared" si="8"/>
        <v>0</v>
      </c>
      <c r="N14" s="1086">
        <f>'[8]FY2012-13 Initial'!$K15</f>
        <v>4234</v>
      </c>
      <c r="O14" s="1088">
        <f t="shared" si="9"/>
        <v>0</v>
      </c>
      <c r="P14" s="1155">
        <f t="shared" si="10"/>
        <v>0</v>
      </c>
      <c r="Q14" s="1088">
        <f t="shared" si="11"/>
        <v>0</v>
      </c>
      <c r="R14" s="1088">
        <v>0</v>
      </c>
      <c r="S14" s="1088">
        <f t="shared" si="12"/>
        <v>0</v>
      </c>
      <c r="T14" s="1088">
        <f t="shared" si="13"/>
        <v>0</v>
      </c>
      <c r="U14" s="1089">
        <f t="shared" si="14"/>
        <v>0</v>
      </c>
      <c r="V14" s="1089">
        <f t="shared" si="14"/>
        <v>0</v>
      </c>
    </row>
    <row r="15" spans="1:22">
      <c r="A15" s="1028">
        <v>9</v>
      </c>
      <c r="B15" s="1029" t="s">
        <v>110</v>
      </c>
      <c r="C15" s="1292">
        <f>'Table 8 2.1.12 MFP Funded'!X12</f>
        <v>1</v>
      </c>
      <c r="D15" s="1031">
        <f>'Table 3 Levels 1&amp;2'!AL16</f>
        <v>4268.3217271902904</v>
      </c>
      <c r="E15" s="1137">
        <f t="shared" si="2"/>
        <v>4268.3217271902904</v>
      </c>
      <c r="F15" s="1137">
        <f>'Table 4 Level 3'!P14</f>
        <v>744.76</v>
      </c>
      <c r="G15" s="1137">
        <f t="shared" si="3"/>
        <v>744.76</v>
      </c>
      <c r="H15" s="1087">
        <f t="shared" si="4"/>
        <v>5013.0817271902906</v>
      </c>
      <c r="I15" s="1147">
        <f t="shared" si="5"/>
        <v>-12.532704317975726</v>
      </c>
      <c r="J15" s="1087">
        <f t="shared" si="6"/>
        <v>5000.5490228723147</v>
      </c>
      <c r="K15" s="1087">
        <v>0</v>
      </c>
      <c r="L15" s="1087">
        <f t="shared" si="7"/>
        <v>5000.5490228723147</v>
      </c>
      <c r="M15" s="1087">
        <f t="shared" si="8"/>
        <v>416.71241857269291</v>
      </c>
      <c r="N15" s="1086">
        <f>'[8]FY2012-13 Initial'!$K16</f>
        <v>4539</v>
      </c>
      <c r="O15" s="1088">
        <f t="shared" si="9"/>
        <v>4539</v>
      </c>
      <c r="P15" s="1155">
        <f t="shared" si="10"/>
        <v>-11.3475</v>
      </c>
      <c r="Q15" s="1088">
        <f t="shared" si="11"/>
        <v>4527.6525000000001</v>
      </c>
      <c r="R15" s="1088">
        <v>0</v>
      </c>
      <c r="S15" s="1088">
        <f t="shared" si="12"/>
        <v>4527.6525000000001</v>
      </c>
      <c r="T15" s="1088">
        <f t="shared" si="13"/>
        <v>377.30437499999999</v>
      </c>
      <c r="U15" s="1089">
        <f t="shared" si="14"/>
        <v>9528.2015228723139</v>
      </c>
      <c r="V15" s="1089">
        <f t="shared" si="14"/>
        <v>794.0167935726929</v>
      </c>
    </row>
    <row r="16" spans="1:22">
      <c r="A16" s="1032">
        <v>10</v>
      </c>
      <c r="B16" s="1033" t="s">
        <v>111</v>
      </c>
      <c r="C16" s="1293">
        <f>'Table 8 2.1.12 MFP Funded'!X13</f>
        <v>635</v>
      </c>
      <c r="D16" s="1035">
        <f>'Table 3 Levels 1&amp;2'!AL17</f>
        <v>4300.0681374076885</v>
      </c>
      <c r="E16" s="1138">
        <f t="shared" si="2"/>
        <v>2730543.2672538823</v>
      </c>
      <c r="F16" s="1138">
        <f>'Table 4 Level 3'!P15</f>
        <v>608.04000000000008</v>
      </c>
      <c r="G16" s="1138">
        <f t="shared" si="3"/>
        <v>386105.4</v>
      </c>
      <c r="H16" s="1090">
        <f t="shared" si="4"/>
        <v>3116648.6672538822</v>
      </c>
      <c r="I16" s="1148">
        <f t="shared" si="5"/>
        <v>-7791.6216681347059</v>
      </c>
      <c r="J16" s="1090">
        <f t="shared" si="6"/>
        <v>3108857.0455857473</v>
      </c>
      <c r="K16" s="1090">
        <v>0</v>
      </c>
      <c r="L16" s="1090">
        <f t="shared" si="7"/>
        <v>3108857.0455857473</v>
      </c>
      <c r="M16" s="1090">
        <f t="shared" si="8"/>
        <v>259071.42046547894</v>
      </c>
      <c r="N16" s="1091">
        <f>'[8]FY2012-13 Initial'!$K17</f>
        <v>4312</v>
      </c>
      <c r="O16" s="1092">
        <f t="shared" si="9"/>
        <v>2738120</v>
      </c>
      <c r="P16" s="1156">
        <f t="shared" si="10"/>
        <v>-6845.3</v>
      </c>
      <c r="Q16" s="1092">
        <f t="shared" si="11"/>
        <v>2731274.7</v>
      </c>
      <c r="R16" s="1092">
        <v>0</v>
      </c>
      <c r="S16" s="1092">
        <f t="shared" si="12"/>
        <v>2731274.7</v>
      </c>
      <c r="T16" s="1092">
        <f t="shared" si="13"/>
        <v>227606.22500000001</v>
      </c>
      <c r="U16" s="1093">
        <f t="shared" si="14"/>
        <v>5840131.7455857471</v>
      </c>
      <c r="V16" s="1093">
        <f t="shared" si="14"/>
        <v>486677.64546547894</v>
      </c>
    </row>
    <row r="17" spans="1:22">
      <c r="A17" s="1021">
        <v>11</v>
      </c>
      <c r="B17" s="1022" t="s">
        <v>112</v>
      </c>
      <c r="C17" s="1294">
        <f>'Table 8 2.1.12 MFP Funded'!X14</f>
        <v>0</v>
      </c>
      <c r="D17" s="1024">
        <f>'Table 3 Levels 1&amp;2'!AL18</f>
        <v>6740.2393955908683</v>
      </c>
      <c r="E17" s="1136">
        <f t="shared" si="2"/>
        <v>0</v>
      </c>
      <c r="F17" s="1136">
        <f>'Table 4 Level 3'!P16</f>
        <v>706.55</v>
      </c>
      <c r="G17" s="1136">
        <f t="shared" si="3"/>
        <v>0</v>
      </c>
      <c r="H17" s="1025">
        <f t="shared" si="4"/>
        <v>0</v>
      </c>
      <c r="I17" s="1146">
        <f t="shared" si="5"/>
        <v>0</v>
      </c>
      <c r="J17" s="1025">
        <f t="shared" si="6"/>
        <v>0</v>
      </c>
      <c r="K17" s="1025">
        <v>0</v>
      </c>
      <c r="L17" s="1025">
        <f t="shared" si="7"/>
        <v>0</v>
      </c>
      <c r="M17" s="1025">
        <f t="shared" si="8"/>
        <v>0</v>
      </c>
      <c r="N17" s="1086">
        <f>'[8]FY2012-13 Initial'!$K18</f>
        <v>3004</v>
      </c>
      <c r="O17" s="1026">
        <f t="shared" si="9"/>
        <v>0</v>
      </c>
      <c r="P17" s="1154">
        <f t="shared" si="10"/>
        <v>0</v>
      </c>
      <c r="Q17" s="1026">
        <f t="shared" si="11"/>
        <v>0</v>
      </c>
      <c r="R17" s="1026">
        <v>0</v>
      </c>
      <c r="S17" s="1026">
        <f t="shared" si="12"/>
        <v>0</v>
      </c>
      <c r="T17" s="1026">
        <f t="shared" si="13"/>
        <v>0</v>
      </c>
      <c r="U17" s="1027">
        <f t="shared" si="14"/>
        <v>0</v>
      </c>
      <c r="V17" s="1027">
        <f t="shared" si="14"/>
        <v>0</v>
      </c>
    </row>
    <row r="18" spans="1:22">
      <c r="A18" s="1028">
        <v>12</v>
      </c>
      <c r="B18" s="1029" t="s">
        <v>113</v>
      </c>
      <c r="C18" s="1292">
        <f>'Table 8 2.1.12 MFP Funded'!X15</f>
        <v>0</v>
      </c>
      <c r="D18" s="1031">
        <f>'Table 3 Levels 1&amp;2'!AL19</f>
        <v>1781.2877551020408</v>
      </c>
      <c r="E18" s="1137">
        <f t="shared" si="2"/>
        <v>0</v>
      </c>
      <c r="F18" s="1137">
        <f>'Table 4 Level 3'!P17</f>
        <v>1063.31</v>
      </c>
      <c r="G18" s="1137">
        <f t="shared" si="3"/>
        <v>0</v>
      </c>
      <c r="H18" s="1087">
        <f t="shared" si="4"/>
        <v>0</v>
      </c>
      <c r="I18" s="1147">
        <f t="shared" si="5"/>
        <v>0</v>
      </c>
      <c r="J18" s="1087">
        <f t="shared" si="6"/>
        <v>0</v>
      </c>
      <c r="K18" s="1087">
        <v>0</v>
      </c>
      <c r="L18" s="1087">
        <f t="shared" si="7"/>
        <v>0</v>
      </c>
      <c r="M18" s="1087">
        <f t="shared" si="8"/>
        <v>0</v>
      </c>
      <c r="N18" s="1086">
        <f>'[8]FY2012-13 Initial'!$K19</f>
        <v>12439</v>
      </c>
      <c r="O18" s="1088">
        <f t="shared" si="9"/>
        <v>0</v>
      </c>
      <c r="P18" s="1155">
        <f t="shared" si="10"/>
        <v>0</v>
      </c>
      <c r="Q18" s="1088">
        <f t="shared" si="11"/>
        <v>0</v>
      </c>
      <c r="R18" s="1088">
        <v>0</v>
      </c>
      <c r="S18" s="1088">
        <f t="shared" si="12"/>
        <v>0</v>
      </c>
      <c r="T18" s="1088">
        <f t="shared" si="13"/>
        <v>0</v>
      </c>
      <c r="U18" s="1089">
        <f t="shared" si="14"/>
        <v>0</v>
      </c>
      <c r="V18" s="1089">
        <f t="shared" si="14"/>
        <v>0</v>
      </c>
    </row>
    <row r="19" spans="1:22">
      <c r="A19" s="1028">
        <v>13</v>
      </c>
      <c r="B19" s="1029" t="s">
        <v>114</v>
      </c>
      <c r="C19" s="1292">
        <f>'Table 8 2.1.12 MFP Funded'!X16</f>
        <v>0</v>
      </c>
      <c r="D19" s="1031">
        <f>'Table 3 Levels 1&amp;2'!AL20</f>
        <v>6125.5331903699798</v>
      </c>
      <c r="E19" s="1137">
        <f t="shared" si="2"/>
        <v>0</v>
      </c>
      <c r="F19" s="1137">
        <f>'Table 4 Level 3'!P18</f>
        <v>749.43000000000006</v>
      </c>
      <c r="G19" s="1137">
        <f t="shared" si="3"/>
        <v>0</v>
      </c>
      <c r="H19" s="1087">
        <f t="shared" si="4"/>
        <v>0</v>
      </c>
      <c r="I19" s="1147">
        <f t="shared" si="5"/>
        <v>0</v>
      </c>
      <c r="J19" s="1087">
        <f t="shared" si="6"/>
        <v>0</v>
      </c>
      <c r="K19" s="1087">
        <v>0</v>
      </c>
      <c r="L19" s="1087">
        <f t="shared" si="7"/>
        <v>0</v>
      </c>
      <c r="M19" s="1087">
        <f t="shared" si="8"/>
        <v>0</v>
      </c>
      <c r="N19" s="1086">
        <f>'[8]FY2012-13 Initial'!$K20</f>
        <v>2518</v>
      </c>
      <c r="O19" s="1088">
        <f t="shared" si="9"/>
        <v>0</v>
      </c>
      <c r="P19" s="1155">
        <f t="shared" si="10"/>
        <v>0</v>
      </c>
      <c r="Q19" s="1088">
        <f t="shared" si="11"/>
        <v>0</v>
      </c>
      <c r="R19" s="1088">
        <v>0</v>
      </c>
      <c r="S19" s="1088">
        <f t="shared" si="12"/>
        <v>0</v>
      </c>
      <c r="T19" s="1088">
        <f t="shared" si="13"/>
        <v>0</v>
      </c>
      <c r="U19" s="1089">
        <f t="shared" si="14"/>
        <v>0</v>
      </c>
      <c r="V19" s="1089">
        <f t="shared" si="14"/>
        <v>0</v>
      </c>
    </row>
    <row r="20" spans="1:22">
      <c r="A20" s="1028">
        <v>14</v>
      </c>
      <c r="B20" s="1029" t="s">
        <v>115</v>
      </c>
      <c r="C20" s="1292">
        <f>'Table 8 2.1.12 MFP Funded'!X17</f>
        <v>0</v>
      </c>
      <c r="D20" s="1031">
        <f>'Table 3 Levels 1&amp;2'!AL21</f>
        <v>5278.0936993421856</v>
      </c>
      <c r="E20" s="1137">
        <f t="shared" si="2"/>
        <v>0</v>
      </c>
      <c r="F20" s="1137">
        <f>'Table 4 Level 3'!P19</f>
        <v>809.9799999999999</v>
      </c>
      <c r="G20" s="1137">
        <f t="shared" si="3"/>
        <v>0</v>
      </c>
      <c r="H20" s="1087">
        <f t="shared" si="4"/>
        <v>0</v>
      </c>
      <c r="I20" s="1147">
        <f t="shared" si="5"/>
        <v>0</v>
      </c>
      <c r="J20" s="1087">
        <f t="shared" si="6"/>
        <v>0</v>
      </c>
      <c r="K20" s="1087">
        <v>0</v>
      </c>
      <c r="L20" s="1087">
        <f t="shared" si="7"/>
        <v>0</v>
      </c>
      <c r="M20" s="1087">
        <f t="shared" si="8"/>
        <v>0</v>
      </c>
      <c r="N20" s="1086">
        <f>'[8]FY2012-13 Initial'!$K21</f>
        <v>3605</v>
      </c>
      <c r="O20" s="1088">
        <f t="shared" si="9"/>
        <v>0</v>
      </c>
      <c r="P20" s="1155">
        <f t="shared" si="10"/>
        <v>0</v>
      </c>
      <c r="Q20" s="1088">
        <f t="shared" si="11"/>
        <v>0</v>
      </c>
      <c r="R20" s="1088">
        <v>0</v>
      </c>
      <c r="S20" s="1088">
        <f t="shared" si="12"/>
        <v>0</v>
      </c>
      <c r="T20" s="1088">
        <f t="shared" si="13"/>
        <v>0</v>
      </c>
      <c r="U20" s="1089">
        <f t="shared" si="14"/>
        <v>0</v>
      </c>
      <c r="V20" s="1089">
        <f t="shared" si="14"/>
        <v>0</v>
      </c>
    </row>
    <row r="21" spans="1:22">
      <c r="A21" s="1032">
        <v>15</v>
      </c>
      <c r="B21" s="1033" t="s">
        <v>116</v>
      </c>
      <c r="C21" s="1293">
        <f>'Table 8 2.1.12 MFP Funded'!X18</f>
        <v>0</v>
      </c>
      <c r="D21" s="1035">
        <f>'Table 3 Levels 1&amp;2'!AL22</f>
        <v>5428.9842692179664</v>
      </c>
      <c r="E21" s="1138">
        <f t="shared" si="2"/>
        <v>0</v>
      </c>
      <c r="F21" s="1138">
        <f>'Table 4 Level 3'!P20</f>
        <v>553.79999999999995</v>
      </c>
      <c r="G21" s="1138">
        <f t="shared" si="3"/>
        <v>0</v>
      </c>
      <c r="H21" s="1090">
        <f t="shared" si="4"/>
        <v>0</v>
      </c>
      <c r="I21" s="1148">
        <f t="shared" si="5"/>
        <v>0</v>
      </c>
      <c r="J21" s="1090">
        <f t="shared" si="6"/>
        <v>0</v>
      </c>
      <c r="K21" s="1090">
        <v>0</v>
      </c>
      <c r="L21" s="1090">
        <f t="shared" si="7"/>
        <v>0</v>
      </c>
      <c r="M21" s="1090">
        <f t="shared" si="8"/>
        <v>0</v>
      </c>
      <c r="N21" s="1091">
        <f>'[8]FY2012-13 Initial'!$K22</f>
        <v>2614</v>
      </c>
      <c r="O21" s="1092">
        <f t="shared" si="9"/>
        <v>0</v>
      </c>
      <c r="P21" s="1156">
        <f t="shared" si="10"/>
        <v>0</v>
      </c>
      <c r="Q21" s="1092">
        <f t="shared" si="11"/>
        <v>0</v>
      </c>
      <c r="R21" s="1092">
        <v>0</v>
      </c>
      <c r="S21" s="1092">
        <f t="shared" si="12"/>
        <v>0</v>
      </c>
      <c r="T21" s="1092">
        <f t="shared" si="13"/>
        <v>0</v>
      </c>
      <c r="U21" s="1093">
        <f t="shared" si="14"/>
        <v>0</v>
      </c>
      <c r="V21" s="1093">
        <f t="shared" si="14"/>
        <v>0</v>
      </c>
    </row>
    <row r="22" spans="1:22">
      <c r="A22" s="1021">
        <v>16</v>
      </c>
      <c r="B22" s="1022" t="s">
        <v>117</v>
      </c>
      <c r="C22" s="1294">
        <f>'Table 8 2.1.12 MFP Funded'!X19</f>
        <v>0</v>
      </c>
      <c r="D22" s="1024">
        <f>'Table 3 Levels 1&amp;2'!AL23</f>
        <v>1501.2470754125757</v>
      </c>
      <c r="E22" s="1136">
        <f t="shared" si="2"/>
        <v>0</v>
      </c>
      <c r="F22" s="1136">
        <f>'Table 4 Level 3'!P21</f>
        <v>686.73</v>
      </c>
      <c r="G22" s="1136">
        <f t="shared" si="3"/>
        <v>0</v>
      </c>
      <c r="H22" s="1025">
        <f t="shared" si="4"/>
        <v>0</v>
      </c>
      <c r="I22" s="1146">
        <f t="shared" si="5"/>
        <v>0</v>
      </c>
      <c r="J22" s="1025">
        <f t="shared" si="6"/>
        <v>0</v>
      </c>
      <c r="K22" s="1025">
        <v>0</v>
      </c>
      <c r="L22" s="1025">
        <f t="shared" si="7"/>
        <v>0</v>
      </c>
      <c r="M22" s="1025">
        <f t="shared" si="8"/>
        <v>0</v>
      </c>
      <c r="N22" s="1086">
        <f>'[8]FY2012-13 Initial'!$K23</f>
        <v>16006</v>
      </c>
      <c r="O22" s="1026">
        <f t="shared" si="9"/>
        <v>0</v>
      </c>
      <c r="P22" s="1154">
        <f t="shared" si="10"/>
        <v>0</v>
      </c>
      <c r="Q22" s="1026">
        <f t="shared" si="11"/>
        <v>0</v>
      </c>
      <c r="R22" s="1026">
        <v>0</v>
      </c>
      <c r="S22" s="1026">
        <f t="shared" si="12"/>
        <v>0</v>
      </c>
      <c r="T22" s="1026">
        <f t="shared" si="13"/>
        <v>0</v>
      </c>
      <c r="U22" s="1027">
        <f t="shared" si="14"/>
        <v>0</v>
      </c>
      <c r="V22" s="1027">
        <f t="shared" si="14"/>
        <v>0</v>
      </c>
    </row>
    <row r="23" spans="1:22">
      <c r="A23" s="1028">
        <v>17</v>
      </c>
      <c r="B23" s="1029" t="s">
        <v>118</v>
      </c>
      <c r="C23" s="1292">
        <f>'Table 8 2.1.12 MFP Funded'!X20</f>
        <v>0</v>
      </c>
      <c r="D23" s="1031">
        <f>'Table 3 Levels 1&amp;2'!AL24</f>
        <v>3386.5716964570697</v>
      </c>
      <c r="E23" s="1137">
        <f t="shared" si="2"/>
        <v>0</v>
      </c>
      <c r="F23" s="1137">
        <f>'Table 5B2_RSD_LA'!F7</f>
        <v>801.47762416806802</v>
      </c>
      <c r="G23" s="1137">
        <f t="shared" si="3"/>
        <v>0</v>
      </c>
      <c r="H23" s="1087">
        <f t="shared" si="4"/>
        <v>0</v>
      </c>
      <c r="I23" s="1147">
        <f t="shared" si="5"/>
        <v>0</v>
      </c>
      <c r="J23" s="1087">
        <f t="shared" si="6"/>
        <v>0</v>
      </c>
      <c r="K23" s="1087">
        <v>0</v>
      </c>
      <c r="L23" s="1087">
        <f t="shared" si="7"/>
        <v>0</v>
      </c>
      <c r="M23" s="1087">
        <f t="shared" si="8"/>
        <v>0</v>
      </c>
      <c r="N23" s="1086">
        <f>'[8]FY2012-13 Initial'!$K24</f>
        <v>6493</v>
      </c>
      <c r="O23" s="1088">
        <f t="shared" si="9"/>
        <v>0</v>
      </c>
      <c r="P23" s="1155">
        <f t="shared" si="10"/>
        <v>0</v>
      </c>
      <c r="Q23" s="1088">
        <f t="shared" si="11"/>
        <v>0</v>
      </c>
      <c r="R23" s="1088">
        <v>0</v>
      </c>
      <c r="S23" s="1088">
        <f t="shared" si="12"/>
        <v>0</v>
      </c>
      <c r="T23" s="1088">
        <f t="shared" si="13"/>
        <v>0</v>
      </c>
      <c r="U23" s="1089">
        <f t="shared" si="14"/>
        <v>0</v>
      </c>
      <c r="V23" s="1089">
        <f t="shared" si="14"/>
        <v>0</v>
      </c>
    </row>
    <row r="24" spans="1:22">
      <c r="A24" s="1028">
        <v>18</v>
      </c>
      <c r="B24" s="1029" t="s">
        <v>119</v>
      </c>
      <c r="C24" s="1292">
        <f>'Table 8 2.1.12 MFP Funded'!X21</f>
        <v>0</v>
      </c>
      <c r="D24" s="1031">
        <f>'Table 3 Levels 1&amp;2'!AL25</f>
        <v>5798.0598063231446</v>
      </c>
      <c r="E24" s="1137">
        <f t="shared" si="2"/>
        <v>0</v>
      </c>
      <c r="F24" s="1137">
        <f>'Table 4 Level 3'!P23</f>
        <v>845.94999999999993</v>
      </c>
      <c r="G24" s="1137">
        <f t="shared" si="3"/>
        <v>0</v>
      </c>
      <c r="H24" s="1087">
        <f t="shared" si="4"/>
        <v>0</v>
      </c>
      <c r="I24" s="1147">
        <f t="shared" si="5"/>
        <v>0</v>
      </c>
      <c r="J24" s="1087">
        <f t="shared" si="6"/>
        <v>0</v>
      </c>
      <c r="K24" s="1087">
        <v>0</v>
      </c>
      <c r="L24" s="1087">
        <f t="shared" si="7"/>
        <v>0</v>
      </c>
      <c r="M24" s="1087">
        <f t="shared" si="8"/>
        <v>0</v>
      </c>
      <c r="N24" s="1086">
        <f>'[8]FY2012-13 Initial'!$K25</f>
        <v>2088</v>
      </c>
      <c r="O24" s="1088">
        <f t="shared" si="9"/>
        <v>0</v>
      </c>
      <c r="P24" s="1155">
        <f t="shared" si="10"/>
        <v>0</v>
      </c>
      <c r="Q24" s="1088">
        <f t="shared" si="11"/>
        <v>0</v>
      </c>
      <c r="R24" s="1088">
        <v>0</v>
      </c>
      <c r="S24" s="1088">
        <f t="shared" si="12"/>
        <v>0</v>
      </c>
      <c r="T24" s="1088">
        <f t="shared" si="13"/>
        <v>0</v>
      </c>
      <c r="U24" s="1089">
        <f t="shared" si="14"/>
        <v>0</v>
      </c>
      <c r="V24" s="1089">
        <f t="shared" si="14"/>
        <v>0</v>
      </c>
    </row>
    <row r="25" spans="1:22">
      <c r="A25" s="1028">
        <v>19</v>
      </c>
      <c r="B25" s="1029" t="s">
        <v>120</v>
      </c>
      <c r="C25" s="1292">
        <f>'Table 8 2.1.12 MFP Funded'!X22</f>
        <v>0</v>
      </c>
      <c r="D25" s="1031">
        <f>'Table 3 Levels 1&amp;2'!AL26</f>
        <v>5219.1012787873206</v>
      </c>
      <c r="E25" s="1137">
        <f t="shared" si="2"/>
        <v>0</v>
      </c>
      <c r="F25" s="1137">
        <f>'Table 4 Level 3'!P24</f>
        <v>905.43</v>
      </c>
      <c r="G25" s="1137">
        <f t="shared" si="3"/>
        <v>0</v>
      </c>
      <c r="H25" s="1087">
        <f t="shared" si="4"/>
        <v>0</v>
      </c>
      <c r="I25" s="1147">
        <f t="shared" si="5"/>
        <v>0</v>
      </c>
      <c r="J25" s="1087">
        <f t="shared" si="6"/>
        <v>0</v>
      </c>
      <c r="K25" s="1087">
        <v>0</v>
      </c>
      <c r="L25" s="1087">
        <f t="shared" si="7"/>
        <v>0</v>
      </c>
      <c r="M25" s="1087">
        <f t="shared" si="8"/>
        <v>0</v>
      </c>
      <c r="N25" s="1086">
        <f>'[8]FY2012-13 Initial'!$K26</f>
        <v>2275</v>
      </c>
      <c r="O25" s="1088">
        <f t="shared" si="9"/>
        <v>0</v>
      </c>
      <c r="P25" s="1155">
        <f t="shared" si="10"/>
        <v>0</v>
      </c>
      <c r="Q25" s="1088">
        <f t="shared" si="11"/>
        <v>0</v>
      </c>
      <c r="R25" s="1088">
        <v>0</v>
      </c>
      <c r="S25" s="1088">
        <f t="shared" si="12"/>
        <v>0</v>
      </c>
      <c r="T25" s="1088">
        <f t="shared" si="13"/>
        <v>0</v>
      </c>
      <c r="U25" s="1089">
        <f t="shared" si="14"/>
        <v>0</v>
      </c>
      <c r="V25" s="1089">
        <f t="shared" si="14"/>
        <v>0</v>
      </c>
    </row>
    <row r="26" spans="1:22">
      <c r="A26" s="1032">
        <v>20</v>
      </c>
      <c r="B26" s="1033" t="s">
        <v>121</v>
      </c>
      <c r="C26" s="1293">
        <f>'Table 8 2.1.12 MFP Funded'!X23</f>
        <v>0</v>
      </c>
      <c r="D26" s="1035">
        <f>'Table 3 Levels 1&amp;2'!AL27</f>
        <v>5441.7799844976798</v>
      </c>
      <c r="E26" s="1138">
        <f t="shared" si="2"/>
        <v>0</v>
      </c>
      <c r="F26" s="1138">
        <f>'Table 4 Level 3'!P25</f>
        <v>586.16999999999996</v>
      </c>
      <c r="G26" s="1138">
        <f t="shared" si="3"/>
        <v>0</v>
      </c>
      <c r="H26" s="1090">
        <f t="shared" si="4"/>
        <v>0</v>
      </c>
      <c r="I26" s="1148">
        <f t="shared" si="5"/>
        <v>0</v>
      </c>
      <c r="J26" s="1090">
        <f t="shared" si="6"/>
        <v>0</v>
      </c>
      <c r="K26" s="1090">
        <v>0</v>
      </c>
      <c r="L26" s="1090">
        <f t="shared" si="7"/>
        <v>0</v>
      </c>
      <c r="M26" s="1090">
        <f t="shared" si="8"/>
        <v>0</v>
      </c>
      <c r="N26" s="1091">
        <f>'[8]FY2012-13 Initial'!$K27</f>
        <v>2308</v>
      </c>
      <c r="O26" s="1092">
        <f t="shared" si="9"/>
        <v>0</v>
      </c>
      <c r="P26" s="1156">
        <f t="shared" si="10"/>
        <v>0</v>
      </c>
      <c r="Q26" s="1092">
        <f t="shared" si="11"/>
        <v>0</v>
      </c>
      <c r="R26" s="1092">
        <v>0</v>
      </c>
      <c r="S26" s="1092">
        <f t="shared" si="12"/>
        <v>0</v>
      </c>
      <c r="T26" s="1092">
        <f t="shared" si="13"/>
        <v>0</v>
      </c>
      <c r="U26" s="1093">
        <f t="shared" si="14"/>
        <v>0</v>
      </c>
      <c r="V26" s="1093">
        <f t="shared" si="14"/>
        <v>0</v>
      </c>
    </row>
    <row r="27" spans="1:22">
      <c r="A27" s="1021">
        <v>21</v>
      </c>
      <c r="B27" s="1022" t="s">
        <v>122</v>
      </c>
      <c r="C27" s="1294">
        <f>'Table 8 2.1.12 MFP Funded'!X24</f>
        <v>0</v>
      </c>
      <c r="D27" s="1024">
        <f>'Table 3 Levels 1&amp;2'!AL28</f>
        <v>5718.7800910915075</v>
      </c>
      <c r="E27" s="1136">
        <f t="shared" si="2"/>
        <v>0</v>
      </c>
      <c r="F27" s="1136">
        <f>'Table 4 Level 3'!P26</f>
        <v>610.35</v>
      </c>
      <c r="G27" s="1136">
        <f t="shared" si="3"/>
        <v>0</v>
      </c>
      <c r="H27" s="1025">
        <f t="shared" si="4"/>
        <v>0</v>
      </c>
      <c r="I27" s="1146">
        <f t="shared" si="5"/>
        <v>0</v>
      </c>
      <c r="J27" s="1025">
        <f t="shared" si="6"/>
        <v>0</v>
      </c>
      <c r="K27" s="1025">
        <v>0</v>
      </c>
      <c r="L27" s="1025">
        <f t="shared" si="7"/>
        <v>0</v>
      </c>
      <c r="M27" s="1025">
        <f t="shared" si="8"/>
        <v>0</v>
      </c>
      <c r="N27" s="1086">
        <f>'[8]FY2012-13 Initial'!$K28</f>
        <v>2245</v>
      </c>
      <c r="O27" s="1026">
        <f t="shared" si="9"/>
        <v>0</v>
      </c>
      <c r="P27" s="1154">
        <f t="shared" si="10"/>
        <v>0</v>
      </c>
      <c r="Q27" s="1026">
        <f t="shared" si="11"/>
        <v>0</v>
      </c>
      <c r="R27" s="1026">
        <v>0</v>
      </c>
      <c r="S27" s="1026">
        <f t="shared" si="12"/>
        <v>0</v>
      </c>
      <c r="T27" s="1026">
        <f t="shared" si="13"/>
        <v>0</v>
      </c>
      <c r="U27" s="1027">
        <f t="shared" si="14"/>
        <v>0</v>
      </c>
      <c r="V27" s="1027">
        <f t="shared" si="14"/>
        <v>0</v>
      </c>
    </row>
    <row r="28" spans="1:22">
      <c r="A28" s="1028">
        <v>22</v>
      </c>
      <c r="B28" s="1029" t="s">
        <v>123</v>
      </c>
      <c r="C28" s="1292">
        <f>'Table 8 2.1.12 MFP Funded'!X25</f>
        <v>0</v>
      </c>
      <c r="D28" s="1031">
        <f>'Table 3 Levels 1&amp;2'!AL29</f>
        <v>6198.830003500153</v>
      </c>
      <c r="E28" s="1137">
        <f t="shared" si="2"/>
        <v>0</v>
      </c>
      <c r="F28" s="1137">
        <f>'Table 4 Level 3'!P27</f>
        <v>496.36</v>
      </c>
      <c r="G28" s="1137">
        <f t="shared" si="3"/>
        <v>0</v>
      </c>
      <c r="H28" s="1087">
        <f t="shared" si="4"/>
        <v>0</v>
      </c>
      <c r="I28" s="1147">
        <f t="shared" si="5"/>
        <v>0</v>
      </c>
      <c r="J28" s="1087">
        <f t="shared" si="6"/>
        <v>0</v>
      </c>
      <c r="K28" s="1087">
        <v>0</v>
      </c>
      <c r="L28" s="1087">
        <f t="shared" si="7"/>
        <v>0</v>
      </c>
      <c r="M28" s="1087">
        <f t="shared" si="8"/>
        <v>0</v>
      </c>
      <c r="N28" s="1086">
        <f>'[8]FY2012-13 Initial'!$K29</f>
        <v>1445</v>
      </c>
      <c r="O28" s="1088">
        <f t="shared" si="9"/>
        <v>0</v>
      </c>
      <c r="P28" s="1155">
        <f t="shared" si="10"/>
        <v>0</v>
      </c>
      <c r="Q28" s="1088">
        <f t="shared" si="11"/>
        <v>0</v>
      </c>
      <c r="R28" s="1088">
        <v>0</v>
      </c>
      <c r="S28" s="1088">
        <f t="shared" si="12"/>
        <v>0</v>
      </c>
      <c r="T28" s="1088">
        <f t="shared" si="13"/>
        <v>0</v>
      </c>
      <c r="U28" s="1089">
        <f t="shared" si="14"/>
        <v>0</v>
      </c>
      <c r="V28" s="1089">
        <f t="shared" si="14"/>
        <v>0</v>
      </c>
    </row>
    <row r="29" spans="1:22">
      <c r="A29" s="1028">
        <v>23</v>
      </c>
      <c r="B29" s="1029" t="s">
        <v>124</v>
      </c>
      <c r="C29" s="1292">
        <f>'Table 8 2.1.12 MFP Funded'!X26</f>
        <v>0</v>
      </c>
      <c r="D29" s="1031">
        <f>'Table 3 Levels 1&amp;2'!AL30</f>
        <v>4809.0299298140199</v>
      </c>
      <c r="E29" s="1137">
        <f t="shared" si="2"/>
        <v>0</v>
      </c>
      <c r="F29" s="1137">
        <f>'Table 4 Level 3'!P28</f>
        <v>688.58</v>
      </c>
      <c r="G29" s="1137">
        <f t="shared" si="3"/>
        <v>0</v>
      </c>
      <c r="H29" s="1087">
        <f t="shared" si="4"/>
        <v>0</v>
      </c>
      <c r="I29" s="1147">
        <f t="shared" si="5"/>
        <v>0</v>
      </c>
      <c r="J29" s="1087">
        <f t="shared" si="6"/>
        <v>0</v>
      </c>
      <c r="K29" s="1087">
        <v>0</v>
      </c>
      <c r="L29" s="1087">
        <f t="shared" si="7"/>
        <v>0</v>
      </c>
      <c r="M29" s="1087">
        <f t="shared" si="8"/>
        <v>0</v>
      </c>
      <c r="N29" s="1086">
        <f>'[8]FY2012-13 Initial'!$K30</f>
        <v>3295</v>
      </c>
      <c r="O29" s="1088">
        <f t="shared" si="9"/>
        <v>0</v>
      </c>
      <c r="P29" s="1155">
        <f t="shared" si="10"/>
        <v>0</v>
      </c>
      <c r="Q29" s="1088">
        <f t="shared" si="11"/>
        <v>0</v>
      </c>
      <c r="R29" s="1088">
        <v>0</v>
      </c>
      <c r="S29" s="1088">
        <f t="shared" si="12"/>
        <v>0</v>
      </c>
      <c r="T29" s="1088">
        <f t="shared" si="13"/>
        <v>0</v>
      </c>
      <c r="U29" s="1089">
        <f t="shared" si="14"/>
        <v>0</v>
      </c>
      <c r="V29" s="1089">
        <f t="shared" si="14"/>
        <v>0</v>
      </c>
    </row>
    <row r="30" spans="1:22">
      <c r="A30" s="1028">
        <v>24</v>
      </c>
      <c r="B30" s="1029" t="s">
        <v>125</v>
      </c>
      <c r="C30" s="1292">
        <f>'Table 8 2.1.12 MFP Funded'!X27</f>
        <v>0</v>
      </c>
      <c r="D30" s="1031">
        <f>'Table 3 Levels 1&amp;2'!AL31</f>
        <v>2649.7787452556372</v>
      </c>
      <c r="E30" s="1137">
        <f t="shared" si="2"/>
        <v>0</v>
      </c>
      <c r="F30" s="1137">
        <f>'Table 4 Level 3'!P29</f>
        <v>854.24999999999989</v>
      </c>
      <c r="G30" s="1137">
        <f t="shared" si="3"/>
        <v>0</v>
      </c>
      <c r="H30" s="1087">
        <f t="shared" si="4"/>
        <v>0</v>
      </c>
      <c r="I30" s="1147">
        <f t="shared" si="5"/>
        <v>0</v>
      </c>
      <c r="J30" s="1087">
        <f t="shared" si="6"/>
        <v>0</v>
      </c>
      <c r="K30" s="1087">
        <v>0</v>
      </c>
      <c r="L30" s="1087">
        <f t="shared" si="7"/>
        <v>0</v>
      </c>
      <c r="M30" s="1087">
        <f t="shared" si="8"/>
        <v>0</v>
      </c>
      <c r="N30" s="1086">
        <f>'[8]FY2012-13 Initial'!$K31</f>
        <v>8769</v>
      </c>
      <c r="O30" s="1088">
        <f t="shared" si="9"/>
        <v>0</v>
      </c>
      <c r="P30" s="1155">
        <f t="shared" si="10"/>
        <v>0</v>
      </c>
      <c r="Q30" s="1088">
        <f t="shared" si="11"/>
        <v>0</v>
      </c>
      <c r="R30" s="1088">
        <v>0</v>
      </c>
      <c r="S30" s="1088">
        <f t="shared" si="12"/>
        <v>0</v>
      </c>
      <c r="T30" s="1088">
        <f t="shared" si="13"/>
        <v>0</v>
      </c>
      <c r="U30" s="1089">
        <f t="shared" si="14"/>
        <v>0</v>
      </c>
      <c r="V30" s="1089">
        <f t="shared" si="14"/>
        <v>0</v>
      </c>
    </row>
    <row r="31" spans="1:22">
      <c r="A31" s="1032">
        <v>25</v>
      </c>
      <c r="B31" s="1033" t="s">
        <v>126</v>
      </c>
      <c r="C31" s="1293">
        <f>'Table 8 2.1.12 MFP Funded'!X28</f>
        <v>0</v>
      </c>
      <c r="D31" s="1035">
        <f>'Table 3 Levels 1&amp;2'!AL32</f>
        <v>3848.3923674564248</v>
      </c>
      <c r="E31" s="1138">
        <f t="shared" si="2"/>
        <v>0</v>
      </c>
      <c r="F31" s="1138">
        <f>'Table 4 Level 3'!P30</f>
        <v>653.73</v>
      </c>
      <c r="G31" s="1138">
        <f t="shared" si="3"/>
        <v>0</v>
      </c>
      <c r="H31" s="1090">
        <f t="shared" si="4"/>
        <v>0</v>
      </c>
      <c r="I31" s="1148">
        <f t="shared" si="5"/>
        <v>0</v>
      </c>
      <c r="J31" s="1090">
        <f t="shared" si="6"/>
        <v>0</v>
      </c>
      <c r="K31" s="1090">
        <v>0</v>
      </c>
      <c r="L31" s="1090">
        <f t="shared" si="7"/>
        <v>0</v>
      </c>
      <c r="M31" s="1090">
        <f t="shared" si="8"/>
        <v>0</v>
      </c>
      <c r="N31" s="1091">
        <f>'[8]FY2012-13 Initial'!$K32</f>
        <v>5187</v>
      </c>
      <c r="O31" s="1092">
        <f t="shared" si="9"/>
        <v>0</v>
      </c>
      <c r="P31" s="1156">
        <f t="shared" si="10"/>
        <v>0</v>
      </c>
      <c r="Q31" s="1092">
        <f t="shared" si="11"/>
        <v>0</v>
      </c>
      <c r="R31" s="1092">
        <v>0</v>
      </c>
      <c r="S31" s="1092">
        <f t="shared" si="12"/>
        <v>0</v>
      </c>
      <c r="T31" s="1092">
        <f t="shared" si="13"/>
        <v>0</v>
      </c>
      <c r="U31" s="1093">
        <f t="shared" si="14"/>
        <v>0</v>
      </c>
      <c r="V31" s="1093">
        <f t="shared" si="14"/>
        <v>0</v>
      </c>
    </row>
    <row r="32" spans="1:22">
      <c r="A32" s="1021">
        <v>26</v>
      </c>
      <c r="B32" s="1022" t="s">
        <v>127</v>
      </c>
      <c r="C32" s="1294">
        <f>'Table 8 2.1.12 MFP Funded'!X29</f>
        <v>0</v>
      </c>
      <c r="D32" s="1024">
        <f>'Table 3 Levels 1&amp;2'!AL33</f>
        <v>3145.9192082835102</v>
      </c>
      <c r="E32" s="1136">
        <f t="shared" si="2"/>
        <v>0</v>
      </c>
      <c r="F32" s="1136">
        <f>'Table 4 Level 3'!P31</f>
        <v>836.83</v>
      </c>
      <c r="G32" s="1136">
        <f t="shared" si="3"/>
        <v>0</v>
      </c>
      <c r="H32" s="1025">
        <f t="shared" si="4"/>
        <v>0</v>
      </c>
      <c r="I32" s="1146">
        <f t="shared" si="5"/>
        <v>0</v>
      </c>
      <c r="J32" s="1025">
        <f t="shared" si="6"/>
        <v>0</v>
      </c>
      <c r="K32" s="1025">
        <v>0</v>
      </c>
      <c r="L32" s="1025">
        <f t="shared" si="7"/>
        <v>0</v>
      </c>
      <c r="M32" s="1025">
        <f t="shared" si="8"/>
        <v>0</v>
      </c>
      <c r="N32" s="1086">
        <f>'[8]FY2012-13 Initial'!$K33</f>
        <v>5197</v>
      </c>
      <c r="O32" s="1026">
        <f t="shared" si="9"/>
        <v>0</v>
      </c>
      <c r="P32" s="1154">
        <f t="shared" si="10"/>
        <v>0</v>
      </c>
      <c r="Q32" s="1026">
        <f t="shared" si="11"/>
        <v>0</v>
      </c>
      <c r="R32" s="1026">
        <v>0</v>
      </c>
      <c r="S32" s="1026">
        <f t="shared" si="12"/>
        <v>0</v>
      </c>
      <c r="T32" s="1026">
        <f t="shared" si="13"/>
        <v>0</v>
      </c>
      <c r="U32" s="1027">
        <f t="shared" si="14"/>
        <v>0</v>
      </c>
      <c r="V32" s="1027">
        <f t="shared" si="14"/>
        <v>0</v>
      </c>
    </row>
    <row r="33" spans="1:22">
      <c r="A33" s="1028">
        <v>27</v>
      </c>
      <c r="B33" s="1029" t="s">
        <v>128</v>
      </c>
      <c r="C33" s="1295">
        <f>'Table 8 2.1.12 MFP Funded'!X30</f>
        <v>4</v>
      </c>
      <c r="D33" s="1037">
        <f>'Table 3 Levels 1&amp;2'!AL34</f>
        <v>5653.5502977926608</v>
      </c>
      <c r="E33" s="1139">
        <f t="shared" si="2"/>
        <v>22614.201191170643</v>
      </c>
      <c r="F33" s="1139">
        <f>'Table 4 Level 3'!P32</f>
        <v>693.06</v>
      </c>
      <c r="G33" s="1139">
        <f t="shared" si="3"/>
        <v>2772.24</v>
      </c>
      <c r="H33" s="1094">
        <f t="shared" si="4"/>
        <v>25386.441191170641</v>
      </c>
      <c r="I33" s="1149">
        <f t="shared" si="5"/>
        <v>-63.466102977926603</v>
      </c>
      <c r="J33" s="1094">
        <f t="shared" si="6"/>
        <v>25322.975088192714</v>
      </c>
      <c r="K33" s="1094">
        <v>0</v>
      </c>
      <c r="L33" s="1094">
        <f t="shared" si="7"/>
        <v>25322.975088192714</v>
      </c>
      <c r="M33" s="1094">
        <f t="shared" si="8"/>
        <v>2110.2479240160596</v>
      </c>
      <c r="N33" s="1086">
        <f>'[8]FY2012-13 Initial'!$K34</f>
        <v>3073</v>
      </c>
      <c r="O33" s="1088">
        <f t="shared" si="9"/>
        <v>12292</v>
      </c>
      <c r="P33" s="1155">
        <f t="shared" si="10"/>
        <v>-30.73</v>
      </c>
      <c r="Q33" s="1088">
        <f t="shared" si="11"/>
        <v>12261.27</v>
      </c>
      <c r="R33" s="1088">
        <v>0</v>
      </c>
      <c r="S33" s="1088">
        <f t="shared" si="12"/>
        <v>12261.27</v>
      </c>
      <c r="T33" s="1088">
        <f t="shared" si="13"/>
        <v>1021.7725</v>
      </c>
      <c r="U33" s="1089">
        <f t="shared" si="14"/>
        <v>37584.245088192714</v>
      </c>
      <c r="V33" s="1089">
        <f t="shared" si="14"/>
        <v>3132.0204240160597</v>
      </c>
    </row>
    <row r="34" spans="1:22">
      <c r="A34" s="1028">
        <v>28</v>
      </c>
      <c r="B34" s="1029" t="s">
        <v>129</v>
      </c>
      <c r="C34" s="1295">
        <f>'Table 8 2.1.12 MFP Funded'!X31</f>
        <v>0</v>
      </c>
      <c r="D34" s="1037">
        <f>'Table 3 Levels 1&amp;2'!AL35</f>
        <v>3200.5356505169011</v>
      </c>
      <c r="E34" s="1139">
        <f t="shared" si="2"/>
        <v>0</v>
      </c>
      <c r="F34" s="1139">
        <f>'Table 4 Level 3'!P33</f>
        <v>694.4</v>
      </c>
      <c r="G34" s="1139">
        <f t="shared" si="3"/>
        <v>0</v>
      </c>
      <c r="H34" s="1094">
        <f t="shared" si="4"/>
        <v>0</v>
      </c>
      <c r="I34" s="1149">
        <f t="shared" si="5"/>
        <v>0</v>
      </c>
      <c r="J34" s="1094">
        <f t="shared" si="6"/>
        <v>0</v>
      </c>
      <c r="K34" s="1094">
        <v>0</v>
      </c>
      <c r="L34" s="1094">
        <f t="shared" si="7"/>
        <v>0</v>
      </c>
      <c r="M34" s="1094">
        <f t="shared" si="8"/>
        <v>0</v>
      </c>
      <c r="N34" s="1086">
        <f>'[8]FY2012-13 Initial'!$K35</f>
        <v>5082</v>
      </c>
      <c r="O34" s="1088">
        <f t="shared" si="9"/>
        <v>0</v>
      </c>
      <c r="P34" s="1155">
        <f t="shared" si="10"/>
        <v>0</v>
      </c>
      <c r="Q34" s="1088">
        <f t="shared" si="11"/>
        <v>0</v>
      </c>
      <c r="R34" s="1088">
        <v>0</v>
      </c>
      <c r="S34" s="1088">
        <f t="shared" si="12"/>
        <v>0</v>
      </c>
      <c r="T34" s="1088">
        <f t="shared" si="13"/>
        <v>0</v>
      </c>
      <c r="U34" s="1089">
        <f t="shared" si="14"/>
        <v>0</v>
      </c>
      <c r="V34" s="1089">
        <f t="shared" si="14"/>
        <v>0</v>
      </c>
    </row>
    <row r="35" spans="1:22">
      <c r="A35" s="1028">
        <v>29</v>
      </c>
      <c r="B35" s="1029" t="s">
        <v>130</v>
      </c>
      <c r="C35" s="1295">
        <f>'Table 8 2.1.12 MFP Funded'!X32</f>
        <v>0</v>
      </c>
      <c r="D35" s="1037">
        <f>'Table 3 Levels 1&amp;2'!AL36</f>
        <v>3945.0399545376122</v>
      </c>
      <c r="E35" s="1139">
        <f t="shared" si="2"/>
        <v>0</v>
      </c>
      <c r="F35" s="1139">
        <f>'Table 4 Level 3'!P34</f>
        <v>754.94999999999993</v>
      </c>
      <c r="G35" s="1139">
        <f t="shared" si="3"/>
        <v>0</v>
      </c>
      <c r="H35" s="1094">
        <f t="shared" si="4"/>
        <v>0</v>
      </c>
      <c r="I35" s="1149">
        <f t="shared" si="5"/>
        <v>0</v>
      </c>
      <c r="J35" s="1094">
        <f t="shared" si="6"/>
        <v>0</v>
      </c>
      <c r="K35" s="1094">
        <v>0</v>
      </c>
      <c r="L35" s="1094">
        <f t="shared" si="7"/>
        <v>0</v>
      </c>
      <c r="M35" s="1094">
        <f t="shared" si="8"/>
        <v>0</v>
      </c>
      <c r="N35" s="1086">
        <f>'[8]FY2012-13 Initial'!$K36</f>
        <v>4295</v>
      </c>
      <c r="O35" s="1088">
        <f t="shared" si="9"/>
        <v>0</v>
      </c>
      <c r="P35" s="1155">
        <f t="shared" si="10"/>
        <v>0</v>
      </c>
      <c r="Q35" s="1088">
        <f t="shared" si="11"/>
        <v>0</v>
      </c>
      <c r="R35" s="1088">
        <v>0</v>
      </c>
      <c r="S35" s="1088">
        <f t="shared" si="12"/>
        <v>0</v>
      </c>
      <c r="T35" s="1088">
        <f t="shared" si="13"/>
        <v>0</v>
      </c>
      <c r="U35" s="1089">
        <f t="shared" si="14"/>
        <v>0</v>
      </c>
      <c r="V35" s="1089">
        <f t="shared" si="14"/>
        <v>0</v>
      </c>
    </row>
    <row r="36" spans="1:22">
      <c r="A36" s="1032">
        <v>30</v>
      </c>
      <c r="B36" s="1033" t="s">
        <v>131</v>
      </c>
      <c r="C36" s="1296">
        <f>'Table 8 2.1.12 MFP Funded'!X33</f>
        <v>0</v>
      </c>
      <c r="D36" s="1039">
        <f>'Table 3 Levels 1&amp;2'!AL37</f>
        <v>5594.8916667625617</v>
      </c>
      <c r="E36" s="1140">
        <f t="shared" si="2"/>
        <v>0</v>
      </c>
      <c r="F36" s="1140">
        <f>'Table 4 Level 3'!P35</f>
        <v>727.17</v>
      </c>
      <c r="G36" s="1140">
        <f t="shared" si="3"/>
        <v>0</v>
      </c>
      <c r="H36" s="1095">
        <f t="shared" si="4"/>
        <v>0</v>
      </c>
      <c r="I36" s="1150">
        <f t="shared" si="5"/>
        <v>0</v>
      </c>
      <c r="J36" s="1095">
        <f t="shared" si="6"/>
        <v>0</v>
      </c>
      <c r="K36" s="1095">
        <v>0</v>
      </c>
      <c r="L36" s="1095">
        <f t="shared" si="7"/>
        <v>0</v>
      </c>
      <c r="M36" s="1095">
        <f t="shared" si="8"/>
        <v>0</v>
      </c>
      <c r="N36" s="1091">
        <f>'[8]FY2012-13 Initial'!$K37</f>
        <v>3553</v>
      </c>
      <c r="O36" s="1092">
        <f t="shared" si="9"/>
        <v>0</v>
      </c>
      <c r="P36" s="1156">
        <f t="shared" si="10"/>
        <v>0</v>
      </c>
      <c r="Q36" s="1092">
        <f t="shared" si="11"/>
        <v>0</v>
      </c>
      <c r="R36" s="1092">
        <v>0</v>
      </c>
      <c r="S36" s="1092">
        <f t="shared" si="12"/>
        <v>0</v>
      </c>
      <c r="T36" s="1092">
        <f t="shared" si="13"/>
        <v>0</v>
      </c>
      <c r="U36" s="1093">
        <f t="shared" si="14"/>
        <v>0</v>
      </c>
      <c r="V36" s="1093">
        <f t="shared" si="14"/>
        <v>0</v>
      </c>
    </row>
    <row r="37" spans="1:22">
      <c r="A37" s="1021">
        <v>31</v>
      </c>
      <c r="B37" s="1022" t="s">
        <v>132</v>
      </c>
      <c r="C37" s="1297">
        <f>'Table 8 2.1.12 MFP Funded'!X34</f>
        <v>0</v>
      </c>
      <c r="D37" s="1041">
        <f>'Table 3 Levels 1&amp;2'!AL38</f>
        <v>4159.5846806435638</v>
      </c>
      <c r="E37" s="1141">
        <f t="shared" si="2"/>
        <v>0</v>
      </c>
      <c r="F37" s="1141">
        <f>'Table 4 Level 3'!P36</f>
        <v>620.83000000000004</v>
      </c>
      <c r="G37" s="1141">
        <f t="shared" si="3"/>
        <v>0</v>
      </c>
      <c r="H37" s="1096">
        <f t="shared" si="4"/>
        <v>0</v>
      </c>
      <c r="I37" s="1151">
        <f t="shared" si="5"/>
        <v>0</v>
      </c>
      <c r="J37" s="1096">
        <f t="shared" si="6"/>
        <v>0</v>
      </c>
      <c r="K37" s="1096">
        <v>0</v>
      </c>
      <c r="L37" s="1096">
        <f t="shared" si="7"/>
        <v>0</v>
      </c>
      <c r="M37" s="1096">
        <f t="shared" si="8"/>
        <v>0</v>
      </c>
      <c r="N37" s="1086">
        <f>'[8]FY2012-13 Initial'!$K38</f>
        <v>4719</v>
      </c>
      <c r="O37" s="1026">
        <f t="shared" si="9"/>
        <v>0</v>
      </c>
      <c r="P37" s="1154">
        <f t="shared" si="10"/>
        <v>0</v>
      </c>
      <c r="Q37" s="1026">
        <f t="shared" si="11"/>
        <v>0</v>
      </c>
      <c r="R37" s="1026">
        <v>0</v>
      </c>
      <c r="S37" s="1026">
        <f t="shared" si="12"/>
        <v>0</v>
      </c>
      <c r="T37" s="1026">
        <f t="shared" si="13"/>
        <v>0</v>
      </c>
      <c r="U37" s="1027">
        <f t="shared" si="14"/>
        <v>0</v>
      </c>
      <c r="V37" s="1027">
        <f t="shared" si="14"/>
        <v>0</v>
      </c>
    </row>
    <row r="38" spans="1:22">
      <c r="A38" s="1028">
        <v>32</v>
      </c>
      <c r="B38" s="1029" t="s">
        <v>133</v>
      </c>
      <c r="C38" s="1295">
        <f>'Table 8 2.1.12 MFP Funded'!X35</f>
        <v>0</v>
      </c>
      <c r="D38" s="1037">
        <f>'Table 3 Levels 1&amp;2'!AL39</f>
        <v>5475.1436637248598</v>
      </c>
      <c r="E38" s="1139">
        <f t="shared" si="2"/>
        <v>0</v>
      </c>
      <c r="F38" s="1139">
        <f>'Table 4 Level 3'!P37</f>
        <v>559.77</v>
      </c>
      <c r="G38" s="1139">
        <f t="shared" si="3"/>
        <v>0</v>
      </c>
      <c r="H38" s="1094">
        <f t="shared" si="4"/>
        <v>0</v>
      </c>
      <c r="I38" s="1149">
        <f t="shared" si="5"/>
        <v>0</v>
      </c>
      <c r="J38" s="1094">
        <f t="shared" si="6"/>
        <v>0</v>
      </c>
      <c r="K38" s="1094">
        <v>0</v>
      </c>
      <c r="L38" s="1094">
        <f t="shared" si="7"/>
        <v>0</v>
      </c>
      <c r="M38" s="1094">
        <f t="shared" si="8"/>
        <v>0</v>
      </c>
      <c r="N38" s="1086">
        <f>'[8]FY2012-13 Initial'!$K39</f>
        <v>1979</v>
      </c>
      <c r="O38" s="1088">
        <f t="shared" si="9"/>
        <v>0</v>
      </c>
      <c r="P38" s="1155">
        <f t="shared" si="10"/>
        <v>0</v>
      </c>
      <c r="Q38" s="1088">
        <f t="shared" si="11"/>
        <v>0</v>
      </c>
      <c r="R38" s="1088">
        <v>0</v>
      </c>
      <c r="S38" s="1088">
        <f t="shared" si="12"/>
        <v>0</v>
      </c>
      <c r="T38" s="1088">
        <f t="shared" si="13"/>
        <v>0</v>
      </c>
      <c r="U38" s="1089">
        <f t="shared" si="14"/>
        <v>0</v>
      </c>
      <c r="V38" s="1089">
        <f t="shared" si="14"/>
        <v>0</v>
      </c>
    </row>
    <row r="39" spans="1:22">
      <c r="A39" s="1028">
        <v>33</v>
      </c>
      <c r="B39" s="1029" t="s">
        <v>134</v>
      </c>
      <c r="C39" s="1295">
        <f>'Table 8 2.1.12 MFP Funded'!X36</f>
        <v>0</v>
      </c>
      <c r="D39" s="1037">
        <f>'Table 3 Levels 1&amp;2'!AL40</f>
        <v>5397.5678422891451</v>
      </c>
      <c r="E39" s="1139">
        <f t="shared" si="2"/>
        <v>0</v>
      </c>
      <c r="F39" s="1139">
        <f>'Table 4 Level 3'!P38</f>
        <v>655.31000000000006</v>
      </c>
      <c r="G39" s="1139">
        <f t="shared" si="3"/>
        <v>0</v>
      </c>
      <c r="H39" s="1094">
        <f t="shared" si="4"/>
        <v>0</v>
      </c>
      <c r="I39" s="1149">
        <f t="shared" si="5"/>
        <v>0</v>
      </c>
      <c r="J39" s="1094">
        <f t="shared" si="6"/>
        <v>0</v>
      </c>
      <c r="K39" s="1094">
        <v>0</v>
      </c>
      <c r="L39" s="1094">
        <f t="shared" si="7"/>
        <v>0</v>
      </c>
      <c r="M39" s="1094">
        <f t="shared" si="8"/>
        <v>0</v>
      </c>
      <c r="N39" s="1086">
        <f>'[8]FY2012-13 Initial'!$K40</f>
        <v>3055</v>
      </c>
      <c r="O39" s="1088">
        <f t="shared" si="9"/>
        <v>0</v>
      </c>
      <c r="P39" s="1155">
        <f t="shared" si="10"/>
        <v>0</v>
      </c>
      <c r="Q39" s="1088">
        <f t="shared" si="11"/>
        <v>0</v>
      </c>
      <c r="R39" s="1088">
        <v>0</v>
      </c>
      <c r="S39" s="1088">
        <f t="shared" si="12"/>
        <v>0</v>
      </c>
      <c r="T39" s="1088">
        <f t="shared" si="13"/>
        <v>0</v>
      </c>
      <c r="U39" s="1089">
        <f t="shared" si="14"/>
        <v>0</v>
      </c>
      <c r="V39" s="1089">
        <f t="shared" si="14"/>
        <v>0</v>
      </c>
    </row>
    <row r="40" spans="1:22">
      <c r="A40" s="1028">
        <v>34</v>
      </c>
      <c r="B40" s="1029" t="s">
        <v>135</v>
      </c>
      <c r="C40" s="1295">
        <f>'Table 8 2.1.12 MFP Funded'!X37</f>
        <v>0</v>
      </c>
      <c r="D40" s="1037">
        <f>'Table 3 Levels 1&amp;2'!AL41</f>
        <v>5843.9642210290731</v>
      </c>
      <c r="E40" s="1139">
        <f t="shared" si="2"/>
        <v>0</v>
      </c>
      <c r="F40" s="1139">
        <f>'Table 4 Level 3'!P39</f>
        <v>644.11000000000013</v>
      </c>
      <c r="G40" s="1139">
        <f t="shared" si="3"/>
        <v>0</v>
      </c>
      <c r="H40" s="1094">
        <f t="shared" si="4"/>
        <v>0</v>
      </c>
      <c r="I40" s="1149">
        <f t="shared" si="5"/>
        <v>0</v>
      </c>
      <c r="J40" s="1094">
        <f t="shared" si="6"/>
        <v>0</v>
      </c>
      <c r="K40" s="1094">
        <v>0</v>
      </c>
      <c r="L40" s="1094">
        <f t="shared" si="7"/>
        <v>0</v>
      </c>
      <c r="M40" s="1094">
        <f t="shared" si="8"/>
        <v>0</v>
      </c>
      <c r="N40" s="1086">
        <f>'[8]FY2012-13 Initial'!$K41</f>
        <v>2782</v>
      </c>
      <c r="O40" s="1088">
        <f t="shared" si="9"/>
        <v>0</v>
      </c>
      <c r="P40" s="1155">
        <f t="shared" si="10"/>
        <v>0</v>
      </c>
      <c r="Q40" s="1088">
        <f t="shared" si="11"/>
        <v>0</v>
      </c>
      <c r="R40" s="1088">
        <v>0</v>
      </c>
      <c r="S40" s="1088">
        <f t="shared" si="12"/>
        <v>0</v>
      </c>
      <c r="T40" s="1088">
        <f t="shared" si="13"/>
        <v>0</v>
      </c>
      <c r="U40" s="1089">
        <f t="shared" si="14"/>
        <v>0</v>
      </c>
      <c r="V40" s="1089">
        <f t="shared" si="14"/>
        <v>0</v>
      </c>
    </row>
    <row r="41" spans="1:22">
      <c r="A41" s="1032">
        <v>35</v>
      </c>
      <c r="B41" s="1033" t="s">
        <v>136</v>
      </c>
      <c r="C41" s="1296">
        <f>'Table 8 2.1.12 MFP Funded'!X38</f>
        <v>0</v>
      </c>
      <c r="D41" s="1039">
        <f>'Table 3 Levels 1&amp;2'!AL42</f>
        <v>4830.9633412658623</v>
      </c>
      <c r="E41" s="1140">
        <f t="shared" si="2"/>
        <v>0</v>
      </c>
      <c r="F41" s="1140">
        <f>'Table 4 Level 3'!P40</f>
        <v>537.96</v>
      </c>
      <c r="G41" s="1140">
        <f t="shared" si="3"/>
        <v>0</v>
      </c>
      <c r="H41" s="1095">
        <f t="shared" si="4"/>
        <v>0</v>
      </c>
      <c r="I41" s="1150">
        <f t="shared" si="5"/>
        <v>0</v>
      </c>
      <c r="J41" s="1095">
        <f t="shared" si="6"/>
        <v>0</v>
      </c>
      <c r="K41" s="1095">
        <v>0</v>
      </c>
      <c r="L41" s="1095">
        <f t="shared" si="7"/>
        <v>0</v>
      </c>
      <c r="M41" s="1095">
        <f t="shared" si="8"/>
        <v>0</v>
      </c>
      <c r="N41" s="1091">
        <f>'[8]FY2012-13 Initial'!$K42</f>
        <v>3175</v>
      </c>
      <c r="O41" s="1092">
        <f t="shared" si="9"/>
        <v>0</v>
      </c>
      <c r="P41" s="1156">
        <f t="shared" si="10"/>
        <v>0</v>
      </c>
      <c r="Q41" s="1092">
        <f t="shared" si="11"/>
        <v>0</v>
      </c>
      <c r="R41" s="1092">
        <v>0</v>
      </c>
      <c r="S41" s="1092">
        <f t="shared" si="12"/>
        <v>0</v>
      </c>
      <c r="T41" s="1092">
        <f t="shared" si="13"/>
        <v>0</v>
      </c>
      <c r="U41" s="1093">
        <f t="shared" si="14"/>
        <v>0</v>
      </c>
      <c r="V41" s="1093">
        <f t="shared" si="14"/>
        <v>0</v>
      </c>
    </row>
    <row r="42" spans="1:22">
      <c r="A42" s="1021">
        <v>36</v>
      </c>
      <c r="B42" s="1022" t="s">
        <v>137</v>
      </c>
      <c r="C42" s="1297">
        <f>'Table 8 2.1.12 MFP Funded'!X39</f>
        <v>0</v>
      </c>
      <c r="D42" s="1041">
        <f>'Table 3 Levels 1&amp;2'!AL43</f>
        <v>3493.4615493208294</v>
      </c>
      <c r="E42" s="1141">
        <f t="shared" si="2"/>
        <v>0</v>
      </c>
      <c r="F42" s="1141">
        <f>'Table 5B1_RSD_Orleans'!F78</f>
        <v>746.0335616438357</v>
      </c>
      <c r="G42" s="1141">
        <f t="shared" si="3"/>
        <v>0</v>
      </c>
      <c r="H42" s="1096">
        <f t="shared" si="4"/>
        <v>0</v>
      </c>
      <c r="I42" s="1151">
        <f t="shared" si="5"/>
        <v>0</v>
      </c>
      <c r="J42" s="1096">
        <f t="shared" si="6"/>
        <v>0</v>
      </c>
      <c r="K42" s="1096">
        <v>0</v>
      </c>
      <c r="L42" s="1096">
        <f t="shared" si="7"/>
        <v>0</v>
      </c>
      <c r="M42" s="1096">
        <f t="shared" si="8"/>
        <v>0</v>
      </c>
      <c r="N42" s="1086">
        <f>'[8]FY2012-13 Initial'!$K43</f>
        <v>4785</v>
      </c>
      <c r="O42" s="1026">
        <f t="shared" si="9"/>
        <v>0</v>
      </c>
      <c r="P42" s="1154">
        <f t="shared" si="10"/>
        <v>0</v>
      </c>
      <c r="Q42" s="1026">
        <f t="shared" si="11"/>
        <v>0</v>
      </c>
      <c r="R42" s="1026">
        <v>0</v>
      </c>
      <c r="S42" s="1026">
        <f t="shared" si="12"/>
        <v>0</v>
      </c>
      <c r="T42" s="1026">
        <f t="shared" si="13"/>
        <v>0</v>
      </c>
      <c r="U42" s="1027">
        <f t="shared" si="14"/>
        <v>0</v>
      </c>
      <c r="V42" s="1027">
        <f t="shared" si="14"/>
        <v>0</v>
      </c>
    </row>
    <row r="43" spans="1:22">
      <c r="A43" s="1028">
        <v>37</v>
      </c>
      <c r="B43" s="1029" t="s">
        <v>138</v>
      </c>
      <c r="C43" s="1295">
        <f>'Table 8 2.1.12 MFP Funded'!X40</f>
        <v>0</v>
      </c>
      <c r="D43" s="1037">
        <f>'Table 3 Levels 1&amp;2'!AL44</f>
        <v>5484.3026094077886</v>
      </c>
      <c r="E43" s="1139">
        <f t="shared" si="2"/>
        <v>0</v>
      </c>
      <c r="F43" s="1139">
        <f>'Table 4 Level 3'!P42</f>
        <v>653.61</v>
      </c>
      <c r="G43" s="1139">
        <f t="shared" si="3"/>
        <v>0</v>
      </c>
      <c r="H43" s="1094">
        <f t="shared" si="4"/>
        <v>0</v>
      </c>
      <c r="I43" s="1149">
        <f t="shared" si="5"/>
        <v>0</v>
      </c>
      <c r="J43" s="1094">
        <f t="shared" si="6"/>
        <v>0</v>
      </c>
      <c r="K43" s="1094">
        <v>0</v>
      </c>
      <c r="L43" s="1094">
        <f t="shared" si="7"/>
        <v>0</v>
      </c>
      <c r="M43" s="1094">
        <f t="shared" si="8"/>
        <v>0</v>
      </c>
      <c r="N43" s="1086">
        <f>'[8]FY2012-13 Initial'!$K44</f>
        <v>3112</v>
      </c>
      <c r="O43" s="1088">
        <f t="shared" si="9"/>
        <v>0</v>
      </c>
      <c r="P43" s="1155">
        <f t="shared" si="10"/>
        <v>0</v>
      </c>
      <c r="Q43" s="1088">
        <f t="shared" si="11"/>
        <v>0</v>
      </c>
      <c r="R43" s="1088">
        <v>0</v>
      </c>
      <c r="S43" s="1088">
        <f t="shared" si="12"/>
        <v>0</v>
      </c>
      <c r="T43" s="1088">
        <f t="shared" si="13"/>
        <v>0</v>
      </c>
      <c r="U43" s="1089">
        <f t="shared" si="14"/>
        <v>0</v>
      </c>
      <c r="V43" s="1089">
        <f t="shared" si="14"/>
        <v>0</v>
      </c>
    </row>
    <row r="44" spans="1:22">
      <c r="A44" s="1028">
        <v>38</v>
      </c>
      <c r="B44" s="1029" t="s">
        <v>139</v>
      </c>
      <c r="C44" s="1295">
        <f>'Table 8 2.1.12 MFP Funded'!X41</f>
        <v>0</v>
      </c>
      <c r="D44" s="1037">
        <f>'Table 3 Levels 1&amp;2'!AL45</f>
        <v>2191.7415364583335</v>
      </c>
      <c r="E44" s="1139">
        <f t="shared" si="2"/>
        <v>0</v>
      </c>
      <c r="F44" s="1139">
        <f>'Table 4 Level 3'!P43</f>
        <v>829.92000000000007</v>
      </c>
      <c r="G44" s="1139">
        <f t="shared" si="3"/>
        <v>0</v>
      </c>
      <c r="H44" s="1094">
        <f t="shared" si="4"/>
        <v>0</v>
      </c>
      <c r="I44" s="1149">
        <f t="shared" si="5"/>
        <v>0</v>
      </c>
      <c r="J44" s="1094">
        <f t="shared" si="6"/>
        <v>0</v>
      </c>
      <c r="K44" s="1094">
        <v>0</v>
      </c>
      <c r="L44" s="1094">
        <f t="shared" si="7"/>
        <v>0</v>
      </c>
      <c r="M44" s="1094">
        <f t="shared" si="8"/>
        <v>0</v>
      </c>
      <c r="N44" s="1086">
        <f>'[8]FY2012-13 Initial'!$K45</f>
        <v>9771</v>
      </c>
      <c r="O44" s="1088">
        <f t="shared" si="9"/>
        <v>0</v>
      </c>
      <c r="P44" s="1155">
        <f t="shared" si="10"/>
        <v>0</v>
      </c>
      <c r="Q44" s="1088">
        <f t="shared" si="11"/>
        <v>0</v>
      </c>
      <c r="R44" s="1088">
        <v>0</v>
      </c>
      <c r="S44" s="1088">
        <f t="shared" si="12"/>
        <v>0</v>
      </c>
      <c r="T44" s="1088">
        <f t="shared" si="13"/>
        <v>0</v>
      </c>
      <c r="U44" s="1089">
        <f t="shared" si="14"/>
        <v>0</v>
      </c>
      <c r="V44" s="1089">
        <f t="shared" si="14"/>
        <v>0</v>
      </c>
    </row>
    <row r="45" spans="1:22">
      <c r="A45" s="1028">
        <v>39</v>
      </c>
      <c r="B45" s="1029" t="s">
        <v>140</v>
      </c>
      <c r="C45" s="1295">
        <f>'Table 8 2.1.12 MFP Funded'!X42</f>
        <v>0</v>
      </c>
      <c r="D45" s="1037">
        <f>'Table 3 Levels 1&amp;2'!AL46</f>
        <v>3686.1886996918806</v>
      </c>
      <c r="E45" s="1139">
        <f t="shared" si="2"/>
        <v>0</v>
      </c>
      <c r="F45" s="1139">
        <f>'Table 5B2_RSD_LA'!F21</f>
        <v>779.65573042776441</v>
      </c>
      <c r="G45" s="1139">
        <f t="shared" si="3"/>
        <v>0</v>
      </c>
      <c r="H45" s="1094">
        <f t="shared" si="4"/>
        <v>0</v>
      </c>
      <c r="I45" s="1149">
        <f t="shared" si="5"/>
        <v>0</v>
      </c>
      <c r="J45" s="1094">
        <f t="shared" si="6"/>
        <v>0</v>
      </c>
      <c r="K45" s="1094">
        <v>0</v>
      </c>
      <c r="L45" s="1094">
        <f t="shared" si="7"/>
        <v>0</v>
      </c>
      <c r="M45" s="1094">
        <f t="shared" si="8"/>
        <v>0</v>
      </c>
      <c r="N45" s="1086">
        <f>'[8]FY2012-13 Initial'!$K46</f>
        <v>4190</v>
      </c>
      <c r="O45" s="1088">
        <f t="shared" si="9"/>
        <v>0</v>
      </c>
      <c r="P45" s="1155">
        <f t="shared" si="10"/>
        <v>0</v>
      </c>
      <c r="Q45" s="1088">
        <f t="shared" si="11"/>
        <v>0</v>
      </c>
      <c r="R45" s="1088">
        <v>0</v>
      </c>
      <c r="S45" s="1088">
        <f t="shared" si="12"/>
        <v>0</v>
      </c>
      <c r="T45" s="1088">
        <f t="shared" si="13"/>
        <v>0</v>
      </c>
      <c r="U45" s="1089">
        <f t="shared" si="14"/>
        <v>0</v>
      </c>
      <c r="V45" s="1089">
        <f t="shared" si="14"/>
        <v>0</v>
      </c>
    </row>
    <row r="46" spans="1:22">
      <c r="A46" s="1032">
        <v>40</v>
      </c>
      <c r="B46" s="1033" t="s">
        <v>141</v>
      </c>
      <c r="C46" s="1296">
        <f>'Table 8 2.1.12 MFP Funded'!X43</f>
        <v>0</v>
      </c>
      <c r="D46" s="1039">
        <f>'Table 3 Levels 1&amp;2'!AL47</f>
        <v>4879.0185326187402</v>
      </c>
      <c r="E46" s="1140">
        <f t="shared" si="2"/>
        <v>0</v>
      </c>
      <c r="F46" s="1140">
        <f>'Table 4 Level 3'!P45</f>
        <v>700.2700000000001</v>
      </c>
      <c r="G46" s="1140">
        <f t="shared" si="3"/>
        <v>0</v>
      </c>
      <c r="H46" s="1095">
        <f t="shared" si="4"/>
        <v>0</v>
      </c>
      <c r="I46" s="1150">
        <f t="shared" si="5"/>
        <v>0</v>
      </c>
      <c r="J46" s="1095">
        <f t="shared" si="6"/>
        <v>0</v>
      </c>
      <c r="K46" s="1095">
        <v>0</v>
      </c>
      <c r="L46" s="1095">
        <f t="shared" si="7"/>
        <v>0</v>
      </c>
      <c r="M46" s="1095">
        <f t="shared" si="8"/>
        <v>0</v>
      </c>
      <c r="N46" s="1091">
        <f>'[8]FY2012-13 Initial'!$K47</f>
        <v>2887</v>
      </c>
      <c r="O46" s="1092">
        <f t="shared" si="9"/>
        <v>0</v>
      </c>
      <c r="P46" s="1156">
        <f t="shared" si="10"/>
        <v>0</v>
      </c>
      <c r="Q46" s="1092">
        <f t="shared" si="11"/>
        <v>0</v>
      </c>
      <c r="R46" s="1092">
        <v>0</v>
      </c>
      <c r="S46" s="1092">
        <f t="shared" si="12"/>
        <v>0</v>
      </c>
      <c r="T46" s="1092">
        <f t="shared" si="13"/>
        <v>0</v>
      </c>
      <c r="U46" s="1093">
        <f t="shared" si="14"/>
        <v>0</v>
      </c>
      <c r="V46" s="1093">
        <f t="shared" si="14"/>
        <v>0</v>
      </c>
    </row>
    <row r="47" spans="1:22">
      <c r="A47" s="1021">
        <v>41</v>
      </c>
      <c r="B47" s="1022" t="s">
        <v>142</v>
      </c>
      <c r="C47" s="1297">
        <f>'Table 8 2.1.12 MFP Funded'!X44</f>
        <v>0</v>
      </c>
      <c r="D47" s="1041">
        <f>'Table 3 Levels 1&amp;2'!AL48</f>
        <v>1608.4303482587065</v>
      </c>
      <c r="E47" s="1141">
        <f t="shared" si="2"/>
        <v>0</v>
      </c>
      <c r="F47" s="1141">
        <f>'Table 4 Level 3'!P46</f>
        <v>886.22</v>
      </c>
      <c r="G47" s="1141">
        <f t="shared" si="3"/>
        <v>0</v>
      </c>
      <c r="H47" s="1096">
        <f t="shared" si="4"/>
        <v>0</v>
      </c>
      <c r="I47" s="1151">
        <f t="shared" si="5"/>
        <v>0</v>
      </c>
      <c r="J47" s="1096">
        <f t="shared" si="6"/>
        <v>0</v>
      </c>
      <c r="K47" s="1096">
        <v>0</v>
      </c>
      <c r="L47" s="1096">
        <f t="shared" si="7"/>
        <v>0</v>
      </c>
      <c r="M47" s="1096">
        <f t="shared" si="8"/>
        <v>0</v>
      </c>
      <c r="N47" s="1086">
        <f>'[8]FY2012-13 Initial'!$K48</f>
        <v>12470</v>
      </c>
      <c r="O47" s="1026">
        <f t="shared" si="9"/>
        <v>0</v>
      </c>
      <c r="P47" s="1154">
        <f t="shared" si="10"/>
        <v>0</v>
      </c>
      <c r="Q47" s="1026">
        <f t="shared" si="11"/>
        <v>0</v>
      </c>
      <c r="R47" s="1026">
        <v>0</v>
      </c>
      <c r="S47" s="1026">
        <f t="shared" si="12"/>
        <v>0</v>
      </c>
      <c r="T47" s="1026">
        <f t="shared" si="13"/>
        <v>0</v>
      </c>
      <c r="U47" s="1027">
        <f t="shared" si="14"/>
        <v>0</v>
      </c>
      <c r="V47" s="1027">
        <f t="shared" si="14"/>
        <v>0</v>
      </c>
    </row>
    <row r="48" spans="1:22">
      <c r="A48" s="1028">
        <v>42</v>
      </c>
      <c r="B48" s="1029" t="s">
        <v>143</v>
      </c>
      <c r="C48" s="1295">
        <f>'Table 8 2.1.12 MFP Funded'!X45</f>
        <v>0</v>
      </c>
      <c r="D48" s="1037">
        <f>'Table 3 Levels 1&amp;2'!AL49</f>
        <v>5260.3047779801664</v>
      </c>
      <c r="E48" s="1139">
        <f t="shared" si="2"/>
        <v>0</v>
      </c>
      <c r="F48" s="1139">
        <f>'Table 4 Level 3'!P47</f>
        <v>534.28</v>
      </c>
      <c r="G48" s="1139">
        <f t="shared" si="3"/>
        <v>0</v>
      </c>
      <c r="H48" s="1094">
        <f t="shared" si="4"/>
        <v>0</v>
      </c>
      <c r="I48" s="1149">
        <f t="shared" si="5"/>
        <v>0</v>
      </c>
      <c r="J48" s="1094">
        <f t="shared" si="6"/>
        <v>0</v>
      </c>
      <c r="K48" s="1094">
        <v>0</v>
      </c>
      <c r="L48" s="1094">
        <f t="shared" si="7"/>
        <v>0</v>
      </c>
      <c r="M48" s="1094">
        <f t="shared" si="8"/>
        <v>0</v>
      </c>
      <c r="N48" s="1086">
        <f>'[8]FY2012-13 Initial'!$K49</f>
        <v>2353</v>
      </c>
      <c r="O48" s="1088">
        <f t="shared" si="9"/>
        <v>0</v>
      </c>
      <c r="P48" s="1155">
        <f t="shared" si="10"/>
        <v>0</v>
      </c>
      <c r="Q48" s="1088">
        <f t="shared" si="11"/>
        <v>0</v>
      </c>
      <c r="R48" s="1088">
        <v>0</v>
      </c>
      <c r="S48" s="1088">
        <f t="shared" si="12"/>
        <v>0</v>
      </c>
      <c r="T48" s="1088">
        <f t="shared" si="13"/>
        <v>0</v>
      </c>
      <c r="U48" s="1089">
        <f t="shared" si="14"/>
        <v>0</v>
      </c>
      <c r="V48" s="1089">
        <f t="shared" si="14"/>
        <v>0</v>
      </c>
    </row>
    <row r="49" spans="1:22">
      <c r="A49" s="1028">
        <v>43</v>
      </c>
      <c r="B49" s="1029" t="s">
        <v>144</v>
      </c>
      <c r="C49" s="1295">
        <f>'Table 8 2.1.12 MFP Funded'!X46</f>
        <v>0</v>
      </c>
      <c r="D49" s="1037">
        <f>'Table 3 Levels 1&amp;2'!AL50</f>
        <v>5587.3492327608728</v>
      </c>
      <c r="E49" s="1139">
        <f t="shared" si="2"/>
        <v>0</v>
      </c>
      <c r="F49" s="1139">
        <f>'Table 4 Level 3'!P48</f>
        <v>574.6099999999999</v>
      </c>
      <c r="G49" s="1139">
        <f t="shared" si="3"/>
        <v>0</v>
      </c>
      <c r="H49" s="1094">
        <f t="shared" si="4"/>
        <v>0</v>
      </c>
      <c r="I49" s="1149">
        <f t="shared" si="5"/>
        <v>0</v>
      </c>
      <c r="J49" s="1094">
        <f t="shared" si="6"/>
        <v>0</v>
      </c>
      <c r="K49" s="1094">
        <v>0</v>
      </c>
      <c r="L49" s="1094">
        <f t="shared" si="7"/>
        <v>0</v>
      </c>
      <c r="M49" s="1094">
        <f t="shared" si="8"/>
        <v>0</v>
      </c>
      <c r="N49" s="1086">
        <f>'[8]FY2012-13 Initial'!$K50</f>
        <v>5599</v>
      </c>
      <c r="O49" s="1088">
        <f t="shared" si="9"/>
        <v>0</v>
      </c>
      <c r="P49" s="1155">
        <f t="shared" si="10"/>
        <v>0</v>
      </c>
      <c r="Q49" s="1088">
        <f t="shared" si="11"/>
        <v>0</v>
      </c>
      <c r="R49" s="1088">
        <v>0</v>
      </c>
      <c r="S49" s="1088">
        <f t="shared" si="12"/>
        <v>0</v>
      </c>
      <c r="T49" s="1088">
        <f t="shared" si="13"/>
        <v>0</v>
      </c>
      <c r="U49" s="1089">
        <f t="shared" si="14"/>
        <v>0</v>
      </c>
      <c r="V49" s="1089">
        <f t="shared" si="14"/>
        <v>0</v>
      </c>
    </row>
    <row r="50" spans="1:22">
      <c r="A50" s="1028">
        <v>44</v>
      </c>
      <c r="B50" s="1029" t="s">
        <v>145</v>
      </c>
      <c r="C50" s="1295">
        <f>'Table 8 2.1.12 MFP Funded'!X47</f>
        <v>0</v>
      </c>
      <c r="D50" s="1037">
        <f>'Table 3 Levels 1&amp;2'!AL51</f>
        <v>4113.1787591918992</v>
      </c>
      <c r="E50" s="1139">
        <f t="shared" si="2"/>
        <v>0</v>
      </c>
      <c r="F50" s="1139">
        <f>'Table 4 Level 3'!P49</f>
        <v>663.16000000000008</v>
      </c>
      <c r="G50" s="1139">
        <f t="shared" si="3"/>
        <v>0</v>
      </c>
      <c r="H50" s="1094">
        <f t="shared" si="4"/>
        <v>0</v>
      </c>
      <c r="I50" s="1149">
        <f t="shared" si="5"/>
        <v>0</v>
      </c>
      <c r="J50" s="1094">
        <f t="shared" si="6"/>
        <v>0</v>
      </c>
      <c r="K50" s="1094">
        <v>0</v>
      </c>
      <c r="L50" s="1094">
        <f t="shared" si="7"/>
        <v>0</v>
      </c>
      <c r="M50" s="1094">
        <f t="shared" si="8"/>
        <v>0</v>
      </c>
      <c r="N50" s="1086">
        <f>'[8]FY2012-13 Initial'!$K51</f>
        <v>4661</v>
      </c>
      <c r="O50" s="1088">
        <f t="shared" si="9"/>
        <v>0</v>
      </c>
      <c r="P50" s="1155">
        <f t="shared" si="10"/>
        <v>0</v>
      </c>
      <c r="Q50" s="1088">
        <f t="shared" si="11"/>
        <v>0</v>
      </c>
      <c r="R50" s="1088">
        <v>0</v>
      </c>
      <c r="S50" s="1088">
        <f t="shared" si="12"/>
        <v>0</v>
      </c>
      <c r="T50" s="1088">
        <f t="shared" si="13"/>
        <v>0</v>
      </c>
      <c r="U50" s="1089">
        <f t="shared" si="14"/>
        <v>0</v>
      </c>
      <c r="V50" s="1089">
        <f t="shared" si="14"/>
        <v>0</v>
      </c>
    </row>
    <row r="51" spans="1:22">
      <c r="A51" s="1032">
        <v>45</v>
      </c>
      <c r="B51" s="1033" t="s">
        <v>146</v>
      </c>
      <c r="C51" s="1296">
        <f>'Table 8 2.1.12 MFP Funded'!X48</f>
        <v>0</v>
      </c>
      <c r="D51" s="1039">
        <f>'Table 3 Levels 1&amp;2'!AL52</f>
        <v>2414.8479898164846</v>
      </c>
      <c r="E51" s="1140">
        <f t="shared" si="2"/>
        <v>0</v>
      </c>
      <c r="F51" s="1140">
        <f>'Table 4 Level 3'!P50</f>
        <v>753.96000000000015</v>
      </c>
      <c r="G51" s="1140">
        <f t="shared" si="3"/>
        <v>0</v>
      </c>
      <c r="H51" s="1095">
        <f t="shared" si="4"/>
        <v>0</v>
      </c>
      <c r="I51" s="1150">
        <f t="shared" si="5"/>
        <v>0</v>
      </c>
      <c r="J51" s="1095">
        <f t="shared" si="6"/>
        <v>0</v>
      </c>
      <c r="K51" s="1095">
        <v>0</v>
      </c>
      <c r="L51" s="1095">
        <f t="shared" si="7"/>
        <v>0</v>
      </c>
      <c r="M51" s="1095">
        <f t="shared" si="8"/>
        <v>0</v>
      </c>
      <c r="N51" s="1091">
        <f>'[8]FY2012-13 Initial'!$K52</f>
        <v>11650</v>
      </c>
      <c r="O51" s="1092">
        <f t="shared" si="9"/>
        <v>0</v>
      </c>
      <c r="P51" s="1156">
        <f t="shared" si="10"/>
        <v>0</v>
      </c>
      <c r="Q51" s="1092">
        <f t="shared" si="11"/>
        <v>0</v>
      </c>
      <c r="R51" s="1092">
        <v>0</v>
      </c>
      <c r="S51" s="1092">
        <f t="shared" si="12"/>
        <v>0</v>
      </c>
      <c r="T51" s="1092">
        <f t="shared" si="13"/>
        <v>0</v>
      </c>
      <c r="U51" s="1093">
        <f t="shared" si="14"/>
        <v>0</v>
      </c>
      <c r="V51" s="1093">
        <f t="shared" si="14"/>
        <v>0</v>
      </c>
    </row>
    <row r="52" spans="1:22">
      <c r="A52" s="1021">
        <v>46</v>
      </c>
      <c r="B52" s="1022" t="s">
        <v>147</v>
      </c>
      <c r="C52" s="1297">
        <f>'Table 8 2.1.12 MFP Funded'!X49</f>
        <v>0</v>
      </c>
      <c r="D52" s="1041">
        <f>'Table 3 Levels 1&amp;2'!AL53</f>
        <v>5765.0314518803261</v>
      </c>
      <c r="E52" s="1141">
        <f t="shared" si="2"/>
        <v>0</v>
      </c>
      <c r="F52" s="1141">
        <f>'Table 4 Level 3'!P51</f>
        <v>728.06</v>
      </c>
      <c r="G52" s="1141">
        <f t="shared" si="3"/>
        <v>0</v>
      </c>
      <c r="H52" s="1096">
        <f t="shared" si="4"/>
        <v>0</v>
      </c>
      <c r="I52" s="1151">
        <f t="shared" si="5"/>
        <v>0</v>
      </c>
      <c r="J52" s="1096">
        <f t="shared" si="6"/>
        <v>0</v>
      </c>
      <c r="K52" s="1096">
        <v>0</v>
      </c>
      <c r="L52" s="1096">
        <f t="shared" si="7"/>
        <v>0</v>
      </c>
      <c r="M52" s="1096">
        <f t="shared" si="8"/>
        <v>0</v>
      </c>
      <c r="N52" s="1086">
        <f>'[8]FY2012-13 Initial'!$K53</f>
        <v>1789</v>
      </c>
      <c r="O52" s="1026">
        <f t="shared" si="9"/>
        <v>0</v>
      </c>
      <c r="P52" s="1154">
        <f t="shared" si="10"/>
        <v>0</v>
      </c>
      <c r="Q52" s="1026">
        <f t="shared" si="11"/>
        <v>0</v>
      </c>
      <c r="R52" s="1026">
        <v>0</v>
      </c>
      <c r="S52" s="1026">
        <f t="shared" si="12"/>
        <v>0</v>
      </c>
      <c r="T52" s="1026">
        <f t="shared" si="13"/>
        <v>0</v>
      </c>
      <c r="U52" s="1027">
        <f t="shared" si="14"/>
        <v>0</v>
      </c>
      <c r="V52" s="1027">
        <f t="shared" si="14"/>
        <v>0</v>
      </c>
    </row>
    <row r="53" spans="1:22">
      <c r="A53" s="1028">
        <v>47</v>
      </c>
      <c r="B53" s="1029" t="s">
        <v>148</v>
      </c>
      <c r="C53" s="1295">
        <f>'Table 8 2.1.12 MFP Funded'!X50</f>
        <v>0</v>
      </c>
      <c r="D53" s="1037">
        <f>'Table 3 Levels 1&amp;2'!AL54</f>
        <v>3186.1712081166847</v>
      </c>
      <c r="E53" s="1139">
        <f t="shared" si="2"/>
        <v>0</v>
      </c>
      <c r="F53" s="1139">
        <f>'Table 4 Level 3'!P52</f>
        <v>910.76</v>
      </c>
      <c r="G53" s="1139">
        <f t="shared" si="3"/>
        <v>0</v>
      </c>
      <c r="H53" s="1094">
        <f t="shared" si="4"/>
        <v>0</v>
      </c>
      <c r="I53" s="1149">
        <f t="shared" si="5"/>
        <v>0</v>
      </c>
      <c r="J53" s="1094">
        <f t="shared" si="6"/>
        <v>0</v>
      </c>
      <c r="K53" s="1094">
        <v>0</v>
      </c>
      <c r="L53" s="1094">
        <f t="shared" si="7"/>
        <v>0</v>
      </c>
      <c r="M53" s="1094">
        <f t="shared" si="8"/>
        <v>0</v>
      </c>
      <c r="N53" s="1086">
        <f>'[8]FY2012-13 Initial'!$K54</f>
        <v>9947</v>
      </c>
      <c r="O53" s="1088">
        <f t="shared" si="9"/>
        <v>0</v>
      </c>
      <c r="P53" s="1155">
        <f t="shared" si="10"/>
        <v>0</v>
      </c>
      <c r="Q53" s="1088">
        <f t="shared" si="11"/>
        <v>0</v>
      </c>
      <c r="R53" s="1088">
        <v>0</v>
      </c>
      <c r="S53" s="1088">
        <f t="shared" si="12"/>
        <v>0</v>
      </c>
      <c r="T53" s="1088">
        <f t="shared" si="13"/>
        <v>0</v>
      </c>
      <c r="U53" s="1089">
        <f t="shared" si="14"/>
        <v>0</v>
      </c>
      <c r="V53" s="1089">
        <f t="shared" si="14"/>
        <v>0</v>
      </c>
    </row>
    <row r="54" spans="1:22">
      <c r="A54" s="1028">
        <v>48</v>
      </c>
      <c r="B54" s="1029" t="s">
        <v>222</v>
      </c>
      <c r="C54" s="1295">
        <f>'Table 8 2.1.12 MFP Funded'!X51</f>
        <v>0</v>
      </c>
      <c r="D54" s="1037">
        <f>'Table 3 Levels 1&amp;2'!AL55</f>
        <v>4260.4872196136057</v>
      </c>
      <c r="E54" s="1139">
        <f t="shared" si="2"/>
        <v>0</v>
      </c>
      <c r="F54" s="1139">
        <f>'Table 4 Level 3'!P53</f>
        <v>871.07</v>
      </c>
      <c r="G54" s="1139">
        <f t="shared" si="3"/>
        <v>0</v>
      </c>
      <c r="H54" s="1094">
        <f t="shared" si="4"/>
        <v>0</v>
      </c>
      <c r="I54" s="1149">
        <f t="shared" si="5"/>
        <v>0</v>
      </c>
      <c r="J54" s="1094">
        <f t="shared" si="6"/>
        <v>0</v>
      </c>
      <c r="K54" s="1094">
        <v>0</v>
      </c>
      <c r="L54" s="1094">
        <f t="shared" si="7"/>
        <v>0</v>
      </c>
      <c r="M54" s="1094">
        <f t="shared" si="8"/>
        <v>0</v>
      </c>
      <c r="N54" s="1086">
        <f>'[8]FY2012-13 Initial'!$K55</f>
        <v>5325</v>
      </c>
      <c r="O54" s="1088">
        <f t="shared" si="9"/>
        <v>0</v>
      </c>
      <c r="P54" s="1155">
        <f t="shared" si="10"/>
        <v>0</v>
      </c>
      <c r="Q54" s="1088">
        <f t="shared" si="11"/>
        <v>0</v>
      </c>
      <c r="R54" s="1088">
        <v>0</v>
      </c>
      <c r="S54" s="1088">
        <f t="shared" si="12"/>
        <v>0</v>
      </c>
      <c r="T54" s="1088">
        <f t="shared" si="13"/>
        <v>0</v>
      </c>
      <c r="U54" s="1089">
        <f t="shared" si="14"/>
        <v>0</v>
      </c>
      <c r="V54" s="1089">
        <f t="shared" si="14"/>
        <v>0</v>
      </c>
    </row>
    <row r="55" spans="1:22">
      <c r="A55" s="1028">
        <v>49</v>
      </c>
      <c r="B55" s="1029" t="s">
        <v>149</v>
      </c>
      <c r="C55" s="1295">
        <f>'Table 8 2.1.12 MFP Funded'!X52</f>
        <v>0</v>
      </c>
      <c r="D55" s="1037">
        <f>'Table 3 Levels 1&amp;2'!AL56</f>
        <v>4800.2172145077111</v>
      </c>
      <c r="E55" s="1139">
        <f t="shared" si="2"/>
        <v>0</v>
      </c>
      <c r="F55" s="1139">
        <f>'Table 4 Level 3'!P54</f>
        <v>574.43999999999994</v>
      </c>
      <c r="G55" s="1139">
        <f t="shared" si="3"/>
        <v>0</v>
      </c>
      <c r="H55" s="1094">
        <f t="shared" si="4"/>
        <v>0</v>
      </c>
      <c r="I55" s="1149">
        <f t="shared" si="5"/>
        <v>0</v>
      </c>
      <c r="J55" s="1094">
        <f t="shared" si="6"/>
        <v>0</v>
      </c>
      <c r="K55" s="1094">
        <v>0</v>
      </c>
      <c r="L55" s="1094">
        <f t="shared" si="7"/>
        <v>0</v>
      </c>
      <c r="M55" s="1094">
        <f t="shared" si="8"/>
        <v>0</v>
      </c>
      <c r="N55" s="1086">
        <f>'[8]FY2012-13 Initial'!$K56</f>
        <v>2326</v>
      </c>
      <c r="O55" s="1088">
        <f t="shared" si="9"/>
        <v>0</v>
      </c>
      <c r="P55" s="1155">
        <f t="shared" si="10"/>
        <v>0</v>
      </c>
      <c r="Q55" s="1088">
        <f t="shared" si="11"/>
        <v>0</v>
      </c>
      <c r="R55" s="1088">
        <v>0</v>
      </c>
      <c r="S55" s="1088">
        <f t="shared" si="12"/>
        <v>0</v>
      </c>
      <c r="T55" s="1088">
        <f t="shared" si="13"/>
        <v>0</v>
      </c>
      <c r="U55" s="1089">
        <f t="shared" si="14"/>
        <v>0</v>
      </c>
      <c r="V55" s="1089">
        <f t="shared" si="14"/>
        <v>0</v>
      </c>
    </row>
    <row r="56" spans="1:22">
      <c r="A56" s="1032">
        <v>50</v>
      </c>
      <c r="B56" s="1033" t="s">
        <v>150</v>
      </c>
      <c r="C56" s="1296">
        <f>'Table 8 2.1.12 MFP Funded'!X53</f>
        <v>0</v>
      </c>
      <c r="D56" s="1039">
        <f>'Table 3 Levels 1&amp;2'!AL57</f>
        <v>5059.523754419537</v>
      </c>
      <c r="E56" s="1140">
        <f t="shared" si="2"/>
        <v>0</v>
      </c>
      <c r="F56" s="1140">
        <f>'Table 4 Level 3'!P55</f>
        <v>634.46</v>
      </c>
      <c r="G56" s="1140">
        <f t="shared" si="3"/>
        <v>0</v>
      </c>
      <c r="H56" s="1095">
        <f t="shared" si="4"/>
        <v>0</v>
      </c>
      <c r="I56" s="1150">
        <f t="shared" si="5"/>
        <v>0</v>
      </c>
      <c r="J56" s="1095">
        <f t="shared" si="6"/>
        <v>0</v>
      </c>
      <c r="K56" s="1095">
        <v>0</v>
      </c>
      <c r="L56" s="1095">
        <f t="shared" si="7"/>
        <v>0</v>
      </c>
      <c r="M56" s="1095">
        <f t="shared" si="8"/>
        <v>0</v>
      </c>
      <c r="N56" s="1091">
        <f>'[8]FY2012-13 Initial'!$K57</f>
        <v>2574</v>
      </c>
      <c r="O56" s="1092">
        <f t="shared" si="9"/>
        <v>0</v>
      </c>
      <c r="P56" s="1156">
        <f t="shared" si="10"/>
        <v>0</v>
      </c>
      <c r="Q56" s="1092">
        <f t="shared" si="11"/>
        <v>0</v>
      </c>
      <c r="R56" s="1092">
        <v>0</v>
      </c>
      <c r="S56" s="1092">
        <f t="shared" si="12"/>
        <v>0</v>
      </c>
      <c r="T56" s="1092">
        <f t="shared" si="13"/>
        <v>0</v>
      </c>
      <c r="U56" s="1093">
        <f t="shared" si="14"/>
        <v>0</v>
      </c>
      <c r="V56" s="1093">
        <f t="shared" si="14"/>
        <v>0</v>
      </c>
    </row>
    <row r="57" spans="1:22">
      <c r="A57" s="1021">
        <v>51</v>
      </c>
      <c r="B57" s="1022" t="s">
        <v>151</v>
      </c>
      <c r="C57" s="1297">
        <f>'Table 8 2.1.12 MFP Funded'!X54</f>
        <v>0</v>
      </c>
      <c r="D57" s="1041">
        <f>'Table 3 Levels 1&amp;2'!AL58</f>
        <v>4384.0477116019692</v>
      </c>
      <c r="E57" s="1141">
        <f t="shared" si="2"/>
        <v>0</v>
      </c>
      <c r="F57" s="1141">
        <f>'Table 4 Level 3'!P56</f>
        <v>706.66</v>
      </c>
      <c r="G57" s="1141">
        <f t="shared" si="3"/>
        <v>0</v>
      </c>
      <c r="H57" s="1096">
        <f t="shared" si="4"/>
        <v>0</v>
      </c>
      <c r="I57" s="1151">
        <f t="shared" si="5"/>
        <v>0</v>
      </c>
      <c r="J57" s="1096">
        <f t="shared" si="6"/>
        <v>0</v>
      </c>
      <c r="K57" s="1096">
        <v>0</v>
      </c>
      <c r="L57" s="1096">
        <f t="shared" si="7"/>
        <v>0</v>
      </c>
      <c r="M57" s="1096">
        <f t="shared" si="8"/>
        <v>0</v>
      </c>
      <c r="N57" s="1086">
        <f>'[8]FY2012-13 Initial'!$K58</f>
        <v>3943</v>
      </c>
      <c r="O57" s="1026">
        <f t="shared" si="9"/>
        <v>0</v>
      </c>
      <c r="P57" s="1154">
        <f t="shared" si="10"/>
        <v>0</v>
      </c>
      <c r="Q57" s="1026">
        <f t="shared" si="11"/>
        <v>0</v>
      </c>
      <c r="R57" s="1026">
        <v>0</v>
      </c>
      <c r="S57" s="1026">
        <f t="shared" si="12"/>
        <v>0</v>
      </c>
      <c r="T57" s="1026">
        <f t="shared" si="13"/>
        <v>0</v>
      </c>
      <c r="U57" s="1027">
        <f t="shared" si="14"/>
        <v>0</v>
      </c>
      <c r="V57" s="1027">
        <f t="shared" si="14"/>
        <v>0</v>
      </c>
    </row>
    <row r="58" spans="1:22">
      <c r="A58" s="1028">
        <v>52</v>
      </c>
      <c r="B58" s="1029" t="s">
        <v>152</v>
      </c>
      <c r="C58" s="1295">
        <f>'Table 8 2.1.12 MFP Funded'!X55</f>
        <v>0</v>
      </c>
      <c r="D58" s="1037">
        <f>'Table 3 Levels 1&amp;2'!AL59</f>
        <v>4920.0697942988754</v>
      </c>
      <c r="E58" s="1139">
        <f t="shared" si="2"/>
        <v>0</v>
      </c>
      <c r="F58" s="1139">
        <f>'Table 4 Level 3'!P57</f>
        <v>658.37</v>
      </c>
      <c r="G58" s="1139">
        <f t="shared" si="3"/>
        <v>0</v>
      </c>
      <c r="H58" s="1094">
        <f t="shared" si="4"/>
        <v>0</v>
      </c>
      <c r="I58" s="1149">
        <f t="shared" si="5"/>
        <v>0</v>
      </c>
      <c r="J58" s="1094">
        <f t="shared" si="6"/>
        <v>0</v>
      </c>
      <c r="K58" s="1094">
        <v>0</v>
      </c>
      <c r="L58" s="1094">
        <f t="shared" si="7"/>
        <v>0</v>
      </c>
      <c r="M58" s="1094">
        <f t="shared" si="8"/>
        <v>0</v>
      </c>
      <c r="N58" s="1086">
        <f>'[8]FY2012-13 Initial'!$K59</f>
        <v>4750</v>
      </c>
      <c r="O58" s="1088">
        <f t="shared" si="9"/>
        <v>0</v>
      </c>
      <c r="P58" s="1155">
        <f t="shared" si="10"/>
        <v>0</v>
      </c>
      <c r="Q58" s="1088">
        <f t="shared" si="11"/>
        <v>0</v>
      </c>
      <c r="R58" s="1088">
        <v>0</v>
      </c>
      <c r="S58" s="1088">
        <f t="shared" si="12"/>
        <v>0</v>
      </c>
      <c r="T58" s="1088">
        <f t="shared" si="13"/>
        <v>0</v>
      </c>
      <c r="U58" s="1089">
        <f t="shared" si="14"/>
        <v>0</v>
      </c>
      <c r="V58" s="1089">
        <f t="shared" si="14"/>
        <v>0</v>
      </c>
    </row>
    <row r="59" spans="1:22">
      <c r="A59" s="1028">
        <v>53</v>
      </c>
      <c r="B59" s="1029" t="s">
        <v>153</v>
      </c>
      <c r="C59" s="1295">
        <f>'Table 8 2.1.12 MFP Funded'!X56</f>
        <v>0</v>
      </c>
      <c r="D59" s="1037">
        <f>'Table 3 Levels 1&amp;2'!AL60</f>
        <v>4784.2719870767614</v>
      </c>
      <c r="E59" s="1139">
        <f t="shared" si="2"/>
        <v>0</v>
      </c>
      <c r="F59" s="1139">
        <f>'Table 4 Level 3'!P58</f>
        <v>689.74</v>
      </c>
      <c r="G59" s="1139">
        <f t="shared" si="3"/>
        <v>0</v>
      </c>
      <c r="H59" s="1094">
        <f t="shared" si="4"/>
        <v>0</v>
      </c>
      <c r="I59" s="1149">
        <f t="shared" si="5"/>
        <v>0</v>
      </c>
      <c r="J59" s="1094">
        <f t="shared" si="6"/>
        <v>0</v>
      </c>
      <c r="K59" s="1094">
        <v>0</v>
      </c>
      <c r="L59" s="1094">
        <f t="shared" si="7"/>
        <v>0</v>
      </c>
      <c r="M59" s="1094">
        <f t="shared" si="8"/>
        <v>0</v>
      </c>
      <c r="N59" s="1086">
        <f>'[8]FY2012-13 Initial'!$K60</f>
        <v>1913</v>
      </c>
      <c r="O59" s="1088">
        <f t="shared" si="9"/>
        <v>0</v>
      </c>
      <c r="P59" s="1155">
        <f t="shared" si="10"/>
        <v>0</v>
      </c>
      <c r="Q59" s="1088">
        <f t="shared" si="11"/>
        <v>0</v>
      </c>
      <c r="R59" s="1088">
        <v>0</v>
      </c>
      <c r="S59" s="1088">
        <f t="shared" si="12"/>
        <v>0</v>
      </c>
      <c r="T59" s="1088">
        <f t="shared" si="13"/>
        <v>0</v>
      </c>
      <c r="U59" s="1089">
        <f t="shared" si="14"/>
        <v>0</v>
      </c>
      <c r="V59" s="1089">
        <f t="shared" si="14"/>
        <v>0</v>
      </c>
    </row>
    <row r="60" spans="1:22">
      <c r="A60" s="1028">
        <v>54</v>
      </c>
      <c r="B60" s="1029" t="s">
        <v>154</v>
      </c>
      <c r="C60" s="1295">
        <f>'Table 8 2.1.12 MFP Funded'!X57</f>
        <v>0</v>
      </c>
      <c r="D60" s="1037">
        <f>'Table 3 Levels 1&amp;2'!AL61</f>
        <v>5982.5555386476462</v>
      </c>
      <c r="E60" s="1139">
        <f t="shared" si="2"/>
        <v>0</v>
      </c>
      <c r="F60" s="1139">
        <f>'Table 4 Level 3'!P59</f>
        <v>951.45</v>
      </c>
      <c r="G60" s="1139">
        <f t="shared" si="3"/>
        <v>0</v>
      </c>
      <c r="H60" s="1094">
        <f t="shared" si="4"/>
        <v>0</v>
      </c>
      <c r="I60" s="1149">
        <f t="shared" si="5"/>
        <v>0</v>
      </c>
      <c r="J60" s="1094">
        <f t="shared" si="6"/>
        <v>0</v>
      </c>
      <c r="K60" s="1094">
        <v>0</v>
      </c>
      <c r="L60" s="1094">
        <f t="shared" si="7"/>
        <v>0</v>
      </c>
      <c r="M60" s="1094">
        <f t="shared" si="8"/>
        <v>0</v>
      </c>
      <c r="N60" s="1086">
        <f>'[8]FY2012-13 Initial'!$K61</f>
        <v>3264</v>
      </c>
      <c r="O60" s="1088">
        <f t="shared" si="9"/>
        <v>0</v>
      </c>
      <c r="P60" s="1155">
        <f t="shared" si="10"/>
        <v>0</v>
      </c>
      <c r="Q60" s="1088">
        <f t="shared" si="11"/>
        <v>0</v>
      </c>
      <c r="R60" s="1088">
        <v>0</v>
      </c>
      <c r="S60" s="1088">
        <f t="shared" si="12"/>
        <v>0</v>
      </c>
      <c r="T60" s="1088">
        <f t="shared" si="13"/>
        <v>0</v>
      </c>
      <c r="U60" s="1089">
        <f t="shared" si="14"/>
        <v>0</v>
      </c>
      <c r="V60" s="1089">
        <f t="shared" si="14"/>
        <v>0</v>
      </c>
    </row>
    <row r="61" spans="1:22">
      <c r="A61" s="1032">
        <v>55</v>
      </c>
      <c r="B61" s="1033" t="s">
        <v>155</v>
      </c>
      <c r="C61" s="1296">
        <f>'Table 8 2.1.12 MFP Funded'!X58</f>
        <v>0</v>
      </c>
      <c r="D61" s="1039">
        <f>'Table 3 Levels 1&amp;2'!AL62</f>
        <v>4087.4017448818722</v>
      </c>
      <c r="E61" s="1140">
        <f t="shared" si="2"/>
        <v>0</v>
      </c>
      <c r="F61" s="1140">
        <f>'Table 4 Level 3'!P60</f>
        <v>795.14</v>
      </c>
      <c r="G61" s="1140">
        <f t="shared" si="3"/>
        <v>0</v>
      </c>
      <c r="H61" s="1095">
        <f t="shared" si="4"/>
        <v>0</v>
      </c>
      <c r="I61" s="1150">
        <f t="shared" si="5"/>
        <v>0</v>
      </c>
      <c r="J61" s="1095">
        <f t="shared" si="6"/>
        <v>0</v>
      </c>
      <c r="K61" s="1095">
        <v>0</v>
      </c>
      <c r="L61" s="1095">
        <f t="shared" si="7"/>
        <v>0</v>
      </c>
      <c r="M61" s="1095">
        <f t="shared" si="8"/>
        <v>0</v>
      </c>
      <c r="N61" s="1091">
        <f>'[8]FY2012-13 Initial'!$K62</f>
        <v>3071</v>
      </c>
      <c r="O61" s="1092">
        <f t="shared" si="9"/>
        <v>0</v>
      </c>
      <c r="P61" s="1156">
        <f t="shared" si="10"/>
        <v>0</v>
      </c>
      <c r="Q61" s="1092">
        <f t="shared" si="11"/>
        <v>0</v>
      </c>
      <c r="R61" s="1092">
        <v>0</v>
      </c>
      <c r="S61" s="1092">
        <f t="shared" si="12"/>
        <v>0</v>
      </c>
      <c r="T61" s="1092">
        <f t="shared" si="13"/>
        <v>0</v>
      </c>
      <c r="U61" s="1093">
        <f t="shared" si="14"/>
        <v>0</v>
      </c>
      <c r="V61" s="1093">
        <f t="shared" si="14"/>
        <v>0</v>
      </c>
    </row>
    <row r="62" spans="1:22">
      <c r="A62" s="1021">
        <v>56</v>
      </c>
      <c r="B62" s="1022" t="s">
        <v>156</v>
      </c>
      <c r="C62" s="1297">
        <f>'Table 8 2.1.12 MFP Funded'!X59</f>
        <v>0</v>
      </c>
      <c r="D62" s="1041">
        <f>'Table 3 Levels 1&amp;2'!AL63</f>
        <v>5052.2250942802684</v>
      </c>
      <c r="E62" s="1141">
        <f t="shared" si="2"/>
        <v>0</v>
      </c>
      <c r="F62" s="1141">
        <f>'Table 4 Level 3'!P61</f>
        <v>614.66000000000008</v>
      </c>
      <c r="G62" s="1141">
        <f t="shared" si="3"/>
        <v>0</v>
      </c>
      <c r="H62" s="1096">
        <f t="shared" si="4"/>
        <v>0</v>
      </c>
      <c r="I62" s="1151">
        <f t="shared" si="5"/>
        <v>0</v>
      </c>
      <c r="J62" s="1096">
        <f t="shared" si="6"/>
        <v>0</v>
      </c>
      <c r="K62" s="1096">
        <v>0</v>
      </c>
      <c r="L62" s="1096">
        <f t="shared" si="7"/>
        <v>0</v>
      </c>
      <c r="M62" s="1096">
        <f t="shared" si="8"/>
        <v>0</v>
      </c>
      <c r="N62" s="1086">
        <f>'[8]FY2012-13 Initial'!$K63</f>
        <v>2630</v>
      </c>
      <c r="O62" s="1026">
        <f t="shared" si="9"/>
        <v>0</v>
      </c>
      <c r="P62" s="1154">
        <f t="shared" si="10"/>
        <v>0</v>
      </c>
      <c r="Q62" s="1026">
        <f t="shared" si="11"/>
        <v>0</v>
      </c>
      <c r="R62" s="1026">
        <v>0</v>
      </c>
      <c r="S62" s="1026">
        <f t="shared" si="12"/>
        <v>0</v>
      </c>
      <c r="T62" s="1026">
        <f t="shared" si="13"/>
        <v>0</v>
      </c>
      <c r="U62" s="1027">
        <f t="shared" si="14"/>
        <v>0</v>
      </c>
      <c r="V62" s="1027">
        <f t="shared" si="14"/>
        <v>0</v>
      </c>
    </row>
    <row r="63" spans="1:22">
      <c r="A63" s="1028">
        <v>57</v>
      </c>
      <c r="B63" s="1029" t="s">
        <v>157</v>
      </c>
      <c r="C63" s="1295">
        <f>'Table 8 2.1.12 MFP Funded'!X60</f>
        <v>0</v>
      </c>
      <c r="D63" s="1037">
        <f>'Table 3 Levels 1&amp;2'!AL64</f>
        <v>4389.3863180380931</v>
      </c>
      <c r="E63" s="1139">
        <f t="shared" si="2"/>
        <v>0</v>
      </c>
      <c r="F63" s="1139">
        <f>'Table 4 Level 3'!P62</f>
        <v>764.51</v>
      </c>
      <c r="G63" s="1139">
        <f t="shared" si="3"/>
        <v>0</v>
      </c>
      <c r="H63" s="1094">
        <f t="shared" si="4"/>
        <v>0</v>
      </c>
      <c r="I63" s="1149">
        <f t="shared" si="5"/>
        <v>0</v>
      </c>
      <c r="J63" s="1094">
        <f t="shared" si="6"/>
        <v>0</v>
      </c>
      <c r="K63" s="1094">
        <v>0</v>
      </c>
      <c r="L63" s="1094">
        <f t="shared" si="7"/>
        <v>0</v>
      </c>
      <c r="M63" s="1094">
        <f t="shared" si="8"/>
        <v>0</v>
      </c>
      <c r="N63" s="1086">
        <f>'[8]FY2012-13 Initial'!$K64</f>
        <v>3053</v>
      </c>
      <c r="O63" s="1088">
        <f t="shared" si="9"/>
        <v>0</v>
      </c>
      <c r="P63" s="1155">
        <f t="shared" si="10"/>
        <v>0</v>
      </c>
      <c r="Q63" s="1088">
        <f t="shared" si="11"/>
        <v>0</v>
      </c>
      <c r="R63" s="1088">
        <v>0</v>
      </c>
      <c r="S63" s="1088">
        <f t="shared" si="12"/>
        <v>0</v>
      </c>
      <c r="T63" s="1088">
        <f t="shared" si="13"/>
        <v>0</v>
      </c>
      <c r="U63" s="1089">
        <f t="shared" si="14"/>
        <v>0</v>
      </c>
      <c r="V63" s="1089">
        <f t="shared" si="14"/>
        <v>0</v>
      </c>
    </row>
    <row r="64" spans="1:22">
      <c r="A64" s="1028">
        <v>58</v>
      </c>
      <c r="B64" s="1029" t="s">
        <v>158</v>
      </c>
      <c r="C64" s="1295">
        <f>'Table 8 2.1.12 MFP Funded'!X61</f>
        <v>0</v>
      </c>
      <c r="D64" s="1037">
        <f>'Table 3 Levels 1&amp;2'!AL65</f>
        <v>5325.8881107130073</v>
      </c>
      <c r="E64" s="1139">
        <f t="shared" si="2"/>
        <v>0</v>
      </c>
      <c r="F64" s="1139">
        <f>'Table 4 Level 3'!P63</f>
        <v>697.04</v>
      </c>
      <c r="G64" s="1139">
        <f t="shared" si="3"/>
        <v>0</v>
      </c>
      <c r="H64" s="1094">
        <f t="shared" si="4"/>
        <v>0</v>
      </c>
      <c r="I64" s="1149">
        <f t="shared" si="5"/>
        <v>0</v>
      </c>
      <c r="J64" s="1094">
        <f t="shared" si="6"/>
        <v>0</v>
      </c>
      <c r="K64" s="1094">
        <v>0</v>
      </c>
      <c r="L64" s="1094">
        <f t="shared" si="7"/>
        <v>0</v>
      </c>
      <c r="M64" s="1094">
        <f t="shared" si="8"/>
        <v>0</v>
      </c>
      <c r="N64" s="1086">
        <f>'[8]FY2012-13 Initial'!$K65</f>
        <v>1917</v>
      </c>
      <c r="O64" s="1088">
        <f t="shared" si="9"/>
        <v>0</v>
      </c>
      <c r="P64" s="1155">
        <f t="shared" si="10"/>
        <v>0</v>
      </c>
      <c r="Q64" s="1088">
        <f t="shared" si="11"/>
        <v>0</v>
      </c>
      <c r="R64" s="1088">
        <v>0</v>
      </c>
      <c r="S64" s="1088">
        <f t="shared" si="12"/>
        <v>0</v>
      </c>
      <c r="T64" s="1088">
        <f t="shared" si="13"/>
        <v>0</v>
      </c>
      <c r="U64" s="1089">
        <f t="shared" si="14"/>
        <v>0</v>
      </c>
      <c r="V64" s="1089">
        <f t="shared" si="14"/>
        <v>0</v>
      </c>
    </row>
    <row r="65" spans="1:22">
      <c r="A65" s="1028">
        <v>59</v>
      </c>
      <c r="B65" s="1029" t="s">
        <v>159</v>
      </c>
      <c r="C65" s="1295">
        <f>'Table 8 2.1.12 MFP Funded'!X62</f>
        <v>0</v>
      </c>
      <c r="D65" s="1037">
        <f>'Table 3 Levels 1&amp;2'!AL66</f>
        <v>6328.4963620482158</v>
      </c>
      <c r="E65" s="1139">
        <f t="shared" si="2"/>
        <v>0</v>
      </c>
      <c r="F65" s="1139">
        <f>'Table 4 Level 3'!P64</f>
        <v>689.52</v>
      </c>
      <c r="G65" s="1139">
        <f t="shared" si="3"/>
        <v>0</v>
      </c>
      <c r="H65" s="1094">
        <f t="shared" si="4"/>
        <v>0</v>
      </c>
      <c r="I65" s="1149">
        <f t="shared" si="5"/>
        <v>0</v>
      </c>
      <c r="J65" s="1094">
        <f t="shared" si="6"/>
        <v>0</v>
      </c>
      <c r="K65" s="1094">
        <v>0</v>
      </c>
      <c r="L65" s="1094">
        <f t="shared" si="7"/>
        <v>0</v>
      </c>
      <c r="M65" s="1094">
        <f t="shared" si="8"/>
        <v>0</v>
      </c>
      <c r="N65" s="1086">
        <f>'[8]FY2012-13 Initial'!$K66</f>
        <v>1553</v>
      </c>
      <c r="O65" s="1088">
        <f t="shared" si="9"/>
        <v>0</v>
      </c>
      <c r="P65" s="1155">
        <f t="shared" si="10"/>
        <v>0</v>
      </c>
      <c r="Q65" s="1088">
        <f t="shared" si="11"/>
        <v>0</v>
      </c>
      <c r="R65" s="1088">
        <v>0</v>
      </c>
      <c r="S65" s="1088">
        <f t="shared" si="12"/>
        <v>0</v>
      </c>
      <c r="T65" s="1088">
        <f t="shared" si="13"/>
        <v>0</v>
      </c>
      <c r="U65" s="1089">
        <f t="shared" si="14"/>
        <v>0</v>
      </c>
      <c r="V65" s="1089">
        <f t="shared" si="14"/>
        <v>0</v>
      </c>
    </row>
    <row r="66" spans="1:22">
      <c r="A66" s="1032">
        <v>60</v>
      </c>
      <c r="B66" s="1033" t="s">
        <v>160</v>
      </c>
      <c r="C66" s="1296">
        <f>'Table 8 2.1.12 MFP Funded'!X63</f>
        <v>0</v>
      </c>
      <c r="D66" s="1039">
        <f>'Table 3 Levels 1&amp;2'!AL67</f>
        <v>4825.1723230627122</v>
      </c>
      <c r="E66" s="1140">
        <f t="shared" si="2"/>
        <v>0</v>
      </c>
      <c r="F66" s="1140">
        <f>'Table 4 Level 3'!P65</f>
        <v>594.04</v>
      </c>
      <c r="G66" s="1140">
        <f t="shared" si="3"/>
        <v>0</v>
      </c>
      <c r="H66" s="1095">
        <f t="shared" si="4"/>
        <v>0</v>
      </c>
      <c r="I66" s="1150">
        <f t="shared" si="5"/>
        <v>0</v>
      </c>
      <c r="J66" s="1095">
        <f t="shared" si="6"/>
        <v>0</v>
      </c>
      <c r="K66" s="1095">
        <v>0</v>
      </c>
      <c r="L66" s="1095">
        <f t="shared" si="7"/>
        <v>0</v>
      </c>
      <c r="M66" s="1095">
        <f t="shared" si="8"/>
        <v>0</v>
      </c>
      <c r="N66" s="1091">
        <f>'[8]FY2012-13 Initial'!$K67</f>
        <v>3798</v>
      </c>
      <c r="O66" s="1092">
        <f t="shared" si="9"/>
        <v>0</v>
      </c>
      <c r="P66" s="1156">
        <f t="shared" si="10"/>
        <v>0</v>
      </c>
      <c r="Q66" s="1092">
        <f t="shared" si="11"/>
        <v>0</v>
      </c>
      <c r="R66" s="1092">
        <v>0</v>
      </c>
      <c r="S66" s="1092">
        <f t="shared" si="12"/>
        <v>0</v>
      </c>
      <c r="T66" s="1092">
        <f t="shared" si="13"/>
        <v>0</v>
      </c>
      <c r="U66" s="1093">
        <f t="shared" si="14"/>
        <v>0</v>
      </c>
      <c r="V66" s="1093">
        <f t="shared" si="14"/>
        <v>0</v>
      </c>
    </row>
    <row r="67" spans="1:22">
      <c r="A67" s="1021">
        <v>61</v>
      </c>
      <c r="B67" s="1022" t="s">
        <v>161</v>
      </c>
      <c r="C67" s="1297">
        <f>'Table 8 2.1.12 MFP Funded'!X64</f>
        <v>0</v>
      </c>
      <c r="D67" s="1041">
        <f>'Table 3 Levels 1&amp;2'!AL68</f>
        <v>3063.3110364585282</v>
      </c>
      <c r="E67" s="1141">
        <f t="shared" si="2"/>
        <v>0</v>
      </c>
      <c r="F67" s="1141">
        <f>'Table 4 Level 3'!P66</f>
        <v>833.70999999999992</v>
      </c>
      <c r="G67" s="1141">
        <f t="shared" si="3"/>
        <v>0</v>
      </c>
      <c r="H67" s="1096">
        <f t="shared" si="4"/>
        <v>0</v>
      </c>
      <c r="I67" s="1151">
        <f t="shared" si="5"/>
        <v>0</v>
      </c>
      <c r="J67" s="1096">
        <f t="shared" si="6"/>
        <v>0</v>
      </c>
      <c r="K67" s="1096">
        <v>0</v>
      </c>
      <c r="L67" s="1096">
        <f t="shared" si="7"/>
        <v>0</v>
      </c>
      <c r="M67" s="1096">
        <f t="shared" si="8"/>
        <v>0</v>
      </c>
      <c r="N67" s="1086">
        <f>'[8]FY2012-13 Initial'!$K68</f>
        <v>6727</v>
      </c>
      <c r="O67" s="1026">
        <f t="shared" si="9"/>
        <v>0</v>
      </c>
      <c r="P67" s="1154">
        <f t="shared" si="10"/>
        <v>0</v>
      </c>
      <c r="Q67" s="1026">
        <f t="shared" si="11"/>
        <v>0</v>
      </c>
      <c r="R67" s="1026">
        <v>0</v>
      </c>
      <c r="S67" s="1026">
        <f t="shared" si="12"/>
        <v>0</v>
      </c>
      <c r="T67" s="1026">
        <f t="shared" si="13"/>
        <v>0</v>
      </c>
      <c r="U67" s="1027">
        <f t="shared" si="14"/>
        <v>0</v>
      </c>
      <c r="V67" s="1027">
        <f t="shared" si="14"/>
        <v>0</v>
      </c>
    </row>
    <row r="68" spans="1:22">
      <c r="A68" s="1028">
        <v>62</v>
      </c>
      <c r="B68" s="1029" t="s">
        <v>162</v>
      </c>
      <c r="C68" s="1295">
        <f>'Table 8 2.1.12 MFP Funded'!X65</f>
        <v>0</v>
      </c>
      <c r="D68" s="1037">
        <f>'Table 3 Levels 1&amp;2'!AL69</f>
        <v>5564.645485869667</v>
      </c>
      <c r="E68" s="1139">
        <f t="shared" si="2"/>
        <v>0</v>
      </c>
      <c r="F68" s="1139">
        <f>'Table 4 Level 3'!P67</f>
        <v>516.08000000000004</v>
      </c>
      <c r="G68" s="1139">
        <f t="shared" si="3"/>
        <v>0</v>
      </c>
      <c r="H68" s="1094">
        <f t="shared" si="4"/>
        <v>0</v>
      </c>
      <c r="I68" s="1149">
        <f t="shared" si="5"/>
        <v>0</v>
      </c>
      <c r="J68" s="1094">
        <f t="shared" si="6"/>
        <v>0</v>
      </c>
      <c r="K68" s="1094">
        <v>0</v>
      </c>
      <c r="L68" s="1094">
        <f t="shared" si="7"/>
        <v>0</v>
      </c>
      <c r="M68" s="1094">
        <f t="shared" si="8"/>
        <v>0</v>
      </c>
      <c r="N68" s="1086">
        <f>'[8]FY2012-13 Initial'!$K69</f>
        <v>1678</v>
      </c>
      <c r="O68" s="1088">
        <f t="shared" si="9"/>
        <v>0</v>
      </c>
      <c r="P68" s="1155">
        <f t="shared" si="10"/>
        <v>0</v>
      </c>
      <c r="Q68" s="1088">
        <f t="shared" si="11"/>
        <v>0</v>
      </c>
      <c r="R68" s="1088">
        <v>0</v>
      </c>
      <c r="S68" s="1088">
        <f t="shared" si="12"/>
        <v>0</v>
      </c>
      <c r="T68" s="1088">
        <f t="shared" si="13"/>
        <v>0</v>
      </c>
      <c r="U68" s="1089">
        <f t="shared" si="14"/>
        <v>0</v>
      </c>
      <c r="V68" s="1089">
        <f t="shared" si="14"/>
        <v>0</v>
      </c>
    </row>
    <row r="69" spans="1:22">
      <c r="A69" s="1028">
        <v>63</v>
      </c>
      <c r="B69" s="1029" t="s">
        <v>163</v>
      </c>
      <c r="C69" s="1295">
        <f>'Table 8 2.1.12 MFP Funded'!X66</f>
        <v>0</v>
      </c>
      <c r="D69" s="1037">
        <f>'Table 3 Levels 1&amp;2'!AL70</f>
        <v>4414.1775336636538</v>
      </c>
      <c r="E69" s="1139">
        <f t="shared" si="2"/>
        <v>0</v>
      </c>
      <c r="F69" s="1139">
        <f>'Table 4 Level 3'!P68</f>
        <v>756.79</v>
      </c>
      <c r="G69" s="1139">
        <f t="shared" si="3"/>
        <v>0</v>
      </c>
      <c r="H69" s="1094">
        <f t="shared" si="4"/>
        <v>0</v>
      </c>
      <c r="I69" s="1149">
        <f t="shared" si="5"/>
        <v>0</v>
      </c>
      <c r="J69" s="1094">
        <f t="shared" si="6"/>
        <v>0</v>
      </c>
      <c r="K69" s="1094">
        <v>0</v>
      </c>
      <c r="L69" s="1094">
        <f t="shared" si="7"/>
        <v>0</v>
      </c>
      <c r="M69" s="1094">
        <f t="shared" si="8"/>
        <v>0</v>
      </c>
      <c r="N69" s="1086">
        <f>'[8]FY2012-13 Initial'!$K70</f>
        <v>6524</v>
      </c>
      <c r="O69" s="1088">
        <f t="shared" si="9"/>
        <v>0</v>
      </c>
      <c r="P69" s="1155">
        <f t="shared" si="10"/>
        <v>0</v>
      </c>
      <c r="Q69" s="1088">
        <f t="shared" si="11"/>
        <v>0</v>
      </c>
      <c r="R69" s="1088">
        <v>0</v>
      </c>
      <c r="S69" s="1088">
        <f t="shared" si="12"/>
        <v>0</v>
      </c>
      <c r="T69" s="1088">
        <f t="shared" si="13"/>
        <v>0</v>
      </c>
      <c r="U69" s="1089">
        <f t="shared" si="14"/>
        <v>0</v>
      </c>
      <c r="V69" s="1089">
        <f t="shared" si="14"/>
        <v>0</v>
      </c>
    </row>
    <row r="70" spans="1:22">
      <c r="A70" s="1028">
        <v>64</v>
      </c>
      <c r="B70" s="1029" t="s">
        <v>164</v>
      </c>
      <c r="C70" s="1295">
        <f>'Table 8 2.1.12 MFP Funded'!X67</f>
        <v>0</v>
      </c>
      <c r="D70" s="1037">
        <f>'Table 3 Levels 1&amp;2'!AL71</f>
        <v>5871.0485811924027</v>
      </c>
      <c r="E70" s="1139">
        <f t="shared" si="2"/>
        <v>0</v>
      </c>
      <c r="F70" s="1139">
        <f>'Table 4 Level 3'!P69</f>
        <v>592.66</v>
      </c>
      <c r="G70" s="1139">
        <f t="shared" si="3"/>
        <v>0</v>
      </c>
      <c r="H70" s="1094">
        <f t="shared" si="4"/>
        <v>0</v>
      </c>
      <c r="I70" s="1149">
        <f t="shared" si="5"/>
        <v>0</v>
      </c>
      <c r="J70" s="1094">
        <f t="shared" si="6"/>
        <v>0</v>
      </c>
      <c r="K70" s="1094">
        <v>0</v>
      </c>
      <c r="L70" s="1094">
        <f t="shared" si="7"/>
        <v>0</v>
      </c>
      <c r="M70" s="1094">
        <f t="shared" si="8"/>
        <v>0</v>
      </c>
      <c r="N70" s="1086">
        <f>'[8]FY2012-13 Initial'!$K71</f>
        <v>2658</v>
      </c>
      <c r="O70" s="1088">
        <f t="shared" si="9"/>
        <v>0</v>
      </c>
      <c r="P70" s="1155">
        <f t="shared" si="10"/>
        <v>0</v>
      </c>
      <c r="Q70" s="1088">
        <f t="shared" si="11"/>
        <v>0</v>
      </c>
      <c r="R70" s="1088">
        <v>0</v>
      </c>
      <c r="S70" s="1088">
        <f t="shared" si="12"/>
        <v>0</v>
      </c>
      <c r="T70" s="1088">
        <f t="shared" si="13"/>
        <v>0</v>
      </c>
      <c r="U70" s="1089">
        <f t="shared" si="14"/>
        <v>0</v>
      </c>
      <c r="V70" s="1089">
        <f t="shared" si="14"/>
        <v>0</v>
      </c>
    </row>
    <row r="71" spans="1:22">
      <c r="A71" s="1032">
        <v>65</v>
      </c>
      <c r="B71" s="1033" t="s">
        <v>165</v>
      </c>
      <c r="C71" s="1296">
        <f>'Table 8 2.1.12 MFP Funded'!X68</f>
        <v>0</v>
      </c>
      <c r="D71" s="1039">
        <f>'Table 3 Levels 1&amp;2'!AL72</f>
        <v>4602.2046951319899</v>
      </c>
      <c r="E71" s="1140">
        <f t="shared" si="2"/>
        <v>0</v>
      </c>
      <c r="F71" s="1140">
        <f>'Table 4 Level 3'!P70</f>
        <v>829.12</v>
      </c>
      <c r="G71" s="1140">
        <f t="shared" si="3"/>
        <v>0</v>
      </c>
      <c r="H71" s="1095">
        <f t="shared" si="4"/>
        <v>0</v>
      </c>
      <c r="I71" s="1150">
        <f t="shared" si="5"/>
        <v>0</v>
      </c>
      <c r="J71" s="1095">
        <f t="shared" si="6"/>
        <v>0</v>
      </c>
      <c r="K71" s="1095">
        <v>0</v>
      </c>
      <c r="L71" s="1095">
        <f t="shared" si="7"/>
        <v>0</v>
      </c>
      <c r="M71" s="1095">
        <f t="shared" si="8"/>
        <v>0</v>
      </c>
      <c r="N71" s="1091">
        <f>'[8]FY2012-13 Initial'!$K72</f>
        <v>4631</v>
      </c>
      <c r="O71" s="1092">
        <f t="shared" si="9"/>
        <v>0</v>
      </c>
      <c r="P71" s="1156">
        <f t="shared" si="10"/>
        <v>0</v>
      </c>
      <c r="Q71" s="1092">
        <f t="shared" si="11"/>
        <v>0</v>
      </c>
      <c r="R71" s="1092">
        <v>0</v>
      </c>
      <c r="S71" s="1092">
        <f t="shared" si="12"/>
        <v>0</v>
      </c>
      <c r="T71" s="1092">
        <f t="shared" si="13"/>
        <v>0</v>
      </c>
      <c r="U71" s="1093">
        <f t="shared" si="14"/>
        <v>0</v>
      </c>
      <c r="V71" s="1093">
        <f t="shared" si="14"/>
        <v>0</v>
      </c>
    </row>
    <row r="72" spans="1:22">
      <c r="A72" s="1021">
        <v>66</v>
      </c>
      <c r="B72" s="1022" t="s">
        <v>166</v>
      </c>
      <c r="C72" s="1297">
        <f>'Table 8 2.1.12 MFP Funded'!X69</f>
        <v>0</v>
      </c>
      <c r="D72" s="1041">
        <f>'Table 3 Levels 1&amp;2'!AL73</f>
        <v>6243.8912249150071</v>
      </c>
      <c r="E72" s="1141">
        <f t="shared" ref="E72:E75" si="15">C72*D72</f>
        <v>0</v>
      </c>
      <c r="F72" s="1141">
        <f>'Table 4 Level 3'!P71</f>
        <v>730.06</v>
      </c>
      <c r="G72" s="1141">
        <f t="shared" ref="G72:G75" si="16">C72*F72</f>
        <v>0</v>
      </c>
      <c r="H72" s="1096">
        <f t="shared" ref="H72:H75" si="17">E72+G72</f>
        <v>0</v>
      </c>
      <c r="I72" s="1151">
        <f t="shared" ref="I72:I75" si="18">-(0.25%*H72)</f>
        <v>0</v>
      </c>
      <c r="J72" s="1096">
        <f t="shared" ref="J72:J75" si="19">SUM(H72:I72)</f>
        <v>0</v>
      </c>
      <c r="K72" s="1096">
        <v>0</v>
      </c>
      <c r="L72" s="1096">
        <f t="shared" ref="L72:L75" si="20">SUM(J72:K72)</f>
        <v>0</v>
      </c>
      <c r="M72" s="1096">
        <f t="shared" ref="M72:M75" si="21">L72/12</f>
        <v>0</v>
      </c>
      <c r="N72" s="1086">
        <f>'[8]FY2012-13 Initial'!$K73</f>
        <v>3443</v>
      </c>
      <c r="O72" s="1026">
        <f t="shared" ref="O72:O75" si="22">C72*N72</f>
        <v>0</v>
      </c>
      <c r="P72" s="1154">
        <f t="shared" ref="P72:P75" si="23">-(0.25%*O72)</f>
        <v>0</v>
      </c>
      <c r="Q72" s="1026">
        <f t="shared" ref="Q72:Q75" si="24">SUM(O72:P72)</f>
        <v>0</v>
      </c>
      <c r="R72" s="1026">
        <v>0</v>
      </c>
      <c r="S72" s="1026">
        <f t="shared" ref="S72:S75" si="25">SUM(Q72:R72)</f>
        <v>0</v>
      </c>
      <c r="T72" s="1026">
        <f t="shared" ref="T72:T75" si="26">S72/12</f>
        <v>0</v>
      </c>
      <c r="U72" s="1027">
        <f t="shared" ref="U72:V75" si="27">L72+S72</f>
        <v>0</v>
      </c>
      <c r="V72" s="1027">
        <f t="shared" si="27"/>
        <v>0</v>
      </c>
    </row>
    <row r="73" spans="1:22">
      <c r="A73" s="1028">
        <v>67</v>
      </c>
      <c r="B73" s="1029" t="s">
        <v>33</v>
      </c>
      <c r="C73" s="1295">
        <f>'Table 8 2.1.12 MFP Funded'!X70</f>
        <v>0</v>
      </c>
      <c r="D73" s="1037">
        <f>'Table 3 Levels 1&amp;2'!AL74</f>
        <v>5049.6489898847567</v>
      </c>
      <c r="E73" s="1139">
        <f t="shared" si="15"/>
        <v>0</v>
      </c>
      <c r="F73" s="1139">
        <f>'Table 4 Level 3'!P72</f>
        <v>715.61</v>
      </c>
      <c r="G73" s="1139">
        <f t="shared" si="16"/>
        <v>0</v>
      </c>
      <c r="H73" s="1094">
        <f t="shared" si="17"/>
        <v>0</v>
      </c>
      <c r="I73" s="1149">
        <f t="shared" si="18"/>
        <v>0</v>
      </c>
      <c r="J73" s="1094">
        <f t="shared" si="19"/>
        <v>0</v>
      </c>
      <c r="K73" s="1094">
        <v>0</v>
      </c>
      <c r="L73" s="1094">
        <f t="shared" si="20"/>
        <v>0</v>
      </c>
      <c r="M73" s="1094">
        <f t="shared" si="21"/>
        <v>0</v>
      </c>
      <c r="N73" s="1086">
        <f>'[8]FY2012-13 Initial'!$K74</f>
        <v>4502</v>
      </c>
      <c r="O73" s="1088">
        <f t="shared" si="22"/>
        <v>0</v>
      </c>
      <c r="P73" s="1155">
        <f t="shared" si="23"/>
        <v>0</v>
      </c>
      <c r="Q73" s="1088">
        <f t="shared" si="24"/>
        <v>0</v>
      </c>
      <c r="R73" s="1088">
        <v>0</v>
      </c>
      <c r="S73" s="1088">
        <f t="shared" si="25"/>
        <v>0</v>
      </c>
      <c r="T73" s="1088">
        <f t="shared" si="26"/>
        <v>0</v>
      </c>
      <c r="U73" s="1089">
        <f t="shared" si="27"/>
        <v>0</v>
      </c>
      <c r="V73" s="1089">
        <f t="shared" si="27"/>
        <v>0</v>
      </c>
    </row>
    <row r="74" spans="1:22">
      <c r="A74" s="1028">
        <v>68</v>
      </c>
      <c r="B74" s="1029" t="s">
        <v>31</v>
      </c>
      <c r="C74" s="1295">
        <f>'Table 8 2.1.12 MFP Funded'!X71</f>
        <v>0</v>
      </c>
      <c r="D74" s="1037">
        <f>'Table 3 Levels 1&amp;2'!AL75</f>
        <v>5861.7500805575619</v>
      </c>
      <c r="E74" s="1139">
        <f t="shared" si="15"/>
        <v>0</v>
      </c>
      <c r="F74" s="1139">
        <f>'Table 4 Level 3'!P73</f>
        <v>798.7</v>
      </c>
      <c r="G74" s="1139">
        <f t="shared" si="16"/>
        <v>0</v>
      </c>
      <c r="H74" s="1094">
        <f t="shared" si="17"/>
        <v>0</v>
      </c>
      <c r="I74" s="1149">
        <f t="shared" si="18"/>
        <v>0</v>
      </c>
      <c r="J74" s="1094">
        <f t="shared" si="19"/>
        <v>0</v>
      </c>
      <c r="K74" s="1094">
        <v>0</v>
      </c>
      <c r="L74" s="1094">
        <f t="shared" si="20"/>
        <v>0</v>
      </c>
      <c r="M74" s="1094">
        <f t="shared" si="21"/>
        <v>0</v>
      </c>
      <c r="N74" s="1086">
        <f>'[8]FY2012-13 Initial'!$K75</f>
        <v>2587</v>
      </c>
      <c r="O74" s="1088">
        <f t="shared" si="22"/>
        <v>0</v>
      </c>
      <c r="P74" s="1155">
        <f t="shared" si="23"/>
        <v>0</v>
      </c>
      <c r="Q74" s="1088">
        <f t="shared" si="24"/>
        <v>0</v>
      </c>
      <c r="R74" s="1088">
        <v>0</v>
      </c>
      <c r="S74" s="1088">
        <f t="shared" si="25"/>
        <v>0</v>
      </c>
      <c r="T74" s="1088">
        <f t="shared" si="26"/>
        <v>0</v>
      </c>
      <c r="U74" s="1089">
        <f t="shared" si="27"/>
        <v>0</v>
      </c>
      <c r="V74" s="1089">
        <f t="shared" si="27"/>
        <v>0</v>
      </c>
    </row>
    <row r="75" spans="1:22">
      <c r="A75" s="1042">
        <v>69</v>
      </c>
      <c r="B75" s="1043" t="s">
        <v>235</v>
      </c>
      <c r="C75" s="1298">
        <f>'Table 8 2.1.12 MFP Funded'!X72</f>
        <v>0</v>
      </c>
      <c r="D75" s="1045">
        <f>'Table 3 Levels 1&amp;2'!AL76</f>
        <v>5508.3397285189958</v>
      </c>
      <c r="E75" s="1142">
        <f t="shared" si="15"/>
        <v>0</v>
      </c>
      <c r="F75" s="1142">
        <f>'Table 4 Level 3'!P74</f>
        <v>705.67</v>
      </c>
      <c r="G75" s="1142">
        <f t="shared" si="16"/>
        <v>0</v>
      </c>
      <c r="H75" s="1097">
        <f t="shared" si="17"/>
        <v>0</v>
      </c>
      <c r="I75" s="1152">
        <f t="shared" si="18"/>
        <v>0</v>
      </c>
      <c r="J75" s="1097">
        <f t="shared" si="19"/>
        <v>0</v>
      </c>
      <c r="K75" s="1097">
        <v>0</v>
      </c>
      <c r="L75" s="1097">
        <f t="shared" si="20"/>
        <v>0</v>
      </c>
      <c r="M75" s="1097">
        <f t="shared" si="21"/>
        <v>0</v>
      </c>
      <c r="N75" s="1086">
        <f>'[8]FY2012-13 Initial'!$K76</f>
        <v>3233</v>
      </c>
      <c r="O75" s="1098">
        <f t="shared" si="22"/>
        <v>0</v>
      </c>
      <c r="P75" s="1157">
        <f t="shared" si="23"/>
        <v>0</v>
      </c>
      <c r="Q75" s="1098">
        <f t="shared" si="24"/>
        <v>0</v>
      </c>
      <c r="R75" s="1098">
        <v>0</v>
      </c>
      <c r="S75" s="1098">
        <f t="shared" si="25"/>
        <v>0</v>
      </c>
      <c r="T75" s="1098">
        <f t="shared" si="26"/>
        <v>0</v>
      </c>
      <c r="U75" s="1099">
        <f t="shared" si="27"/>
        <v>0</v>
      </c>
      <c r="V75" s="1099">
        <f t="shared" si="27"/>
        <v>0</v>
      </c>
    </row>
    <row r="76" spans="1:22" ht="13.5" thickBot="1">
      <c r="A76" s="1046"/>
      <c r="B76" s="1047" t="s">
        <v>167</v>
      </c>
      <c r="C76" s="1048">
        <f>SUM(C7:C75)</f>
        <v>640</v>
      </c>
      <c r="D76" s="1049">
        <f>'Table 3 Levels 1&amp;2'!AL77</f>
        <v>4325.8670725247357</v>
      </c>
      <c r="E76" s="1143">
        <f>SUM(E7:E75)</f>
        <v>2757425.790172243</v>
      </c>
      <c r="F76" s="1143">
        <f>'Table 4 Level 3'!P75</f>
        <v>703.90028204588873</v>
      </c>
      <c r="G76" s="1143">
        <f t="shared" ref="G76:L76" si="28">SUM(G7:G75)</f>
        <v>389622.4</v>
      </c>
      <c r="H76" s="1050">
        <f t="shared" si="28"/>
        <v>3147048.1901722434</v>
      </c>
      <c r="I76" s="1153">
        <f t="shared" si="28"/>
        <v>-7867.6204754306082</v>
      </c>
      <c r="J76" s="1050">
        <f t="shared" si="28"/>
        <v>3139180.5696968124</v>
      </c>
      <c r="K76" s="1050">
        <f t="shared" si="28"/>
        <v>0</v>
      </c>
      <c r="L76" s="1050">
        <f t="shared" si="28"/>
        <v>3139180.5696968124</v>
      </c>
      <c r="M76" s="1050">
        <f>SUM(M7:M75)</f>
        <v>261598.38080806768</v>
      </c>
      <c r="N76" s="1100"/>
      <c r="O76" s="1051">
        <f t="shared" ref="O76:V76" si="29">SUM(O7:O75)</f>
        <v>2754951</v>
      </c>
      <c r="P76" s="1158">
        <f t="shared" si="29"/>
        <v>-6887.3774999999996</v>
      </c>
      <c r="Q76" s="1051">
        <f t="shared" si="29"/>
        <v>2748063.6225000001</v>
      </c>
      <c r="R76" s="1051">
        <f t="shared" si="29"/>
        <v>0</v>
      </c>
      <c r="S76" s="1051">
        <f t="shared" si="29"/>
        <v>2748063.6225000001</v>
      </c>
      <c r="T76" s="1051">
        <f t="shared" si="29"/>
        <v>229005.301875</v>
      </c>
      <c r="U76" s="1052">
        <f t="shared" si="29"/>
        <v>5887244.1921968115</v>
      </c>
      <c r="V76" s="1052">
        <f t="shared" si="29"/>
        <v>490603.68268306769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8" right="0.42" top="0.75" bottom="0.75" header="0.3" footer="0.3"/>
  <pageSetup paperSize="5" scale="60" firstPageNumber="60" orientation="portrait" useFirstPageNumber="1" r:id="rId1"/>
  <headerFooter>
    <oddHeader>&amp;L&amp;"Arial,Bold"&amp;20Table 5C1-F: FY2012-13 MFP Budget Letter
Lake Charles Charter Academy</oddHeader>
    <oddFooter>&amp;R&amp;P</oddFooter>
  </headerFooter>
  <colBreaks count="1" manualBreakCount="1">
    <brk id="1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7109375" customWidth="1"/>
    <col min="4" max="4" width="17" customWidth="1"/>
    <col min="5" max="5" width="11.140625" customWidth="1"/>
    <col min="6" max="6" width="12" customWidth="1"/>
    <col min="7" max="7" width="13.28515625" customWidth="1"/>
    <col min="8" max="8" width="14.5703125" customWidth="1"/>
    <col min="9" max="9" width="12.28515625" customWidth="1"/>
    <col min="10" max="10" width="12" bestFit="1" customWidth="1"/>
    <col min="11" max="11" width="13.42578125" bestFit="1" customWidth="1"/>
    <col min="12" max="12" width="14" customWidth="1"/>
    <col min="13" max="13" width="9" bestFit="1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</row>
    <row r="2" spans="1:22" ht="45" customHeight="1">
      <c r="A2" s="1837" t="s">
        <v>1258</v>
      </c>
      <c r="B2" s="1838"/>
      <c r="C2" s="1843" t="s">
        <v>1250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2"/>
      <c r="N2" s="1770" t="s">
        <v>772</v>
      </c>
      <c r="O2" s="1771"/>
      <c r="P2" s="1771"/>
      <c r="Q2" s="1771"/>
      <c r="R2" s="1771"/>
      <c r="S2" s="1771"/>
      <c r="T2" s="1772"/>
      <c r="U2" s="1764" t="s">
        <v>1414</v>
      </c>
      <c r="V2" s="1764" t="s">
        <v>1389</v>
      </c>
    </row>
    <row r="3" spans="1:22" ht="81" customHeight="1">
      <c r="A3" s="1839"/>
      <c r="B3" s="1840"/>
      <c r="C3" s="1779" t="s">
        <v>1192</v>
      </c>
      <c r="D3" s="1781" t="s">
        <v>819</v>
      </c>
      <c r="E3" s="1781" t="s">
        <v>1406</v>
      </c>
      <c r="F3" s="1779" t="s">
        <v>1251</v>
      </c>
      <c r="G3" s="1779" t="s">
        <v>779</v>
      </c>
      <c r="H3" s="1779" t="s">
        <v>1407</v>
      </c>
      <c r="I3" s="1370" t="s">
        <v>813</v>
      </c>
      <c r="J3" s="1779" t="s">
        <v>1408</v>
      </c>
      <c r="K3" s="1779" t="s">
        <v>1197</v>
      </c>
      <c r="L3" s="1779" t="s">
        <v>1409</v>
      </c>
      <c r="M3" s="1781" t="s">
        <v>1410</v>
      </c>
      <c r="N3" s="1795" t="s">
        <v>1307</v>
      </c>
      <c r="O3" s="1598" t="s">
        <v>1411</v>
      </c>
      <c r="P3" s="1372" t="s">
        <v>815</v>
      </c>
      <c r="Q3" s="1795" t="s">
        <v>818</v>
      </c>
      <c r="R3" s="1795" t="s">
        <v>1197</v>
      </c>
      <c r="S3" s="1795" t="s">
        <v>1412</v>
      </c>
      <c r="T3" s="1598" t="s">
        <v>1413</v>
      </c>
      <c r="U3" s="1765"/>
      <c r="V3" s="1765"/>
    </row>
    <row r="4" spans="1:22" ht="26.25" customHeight="1">
      <c r="A4" s="1841"/>
      <c r="B4" s="1842"/>
      <c r="C4" s="1780"/>
      <c r="D4" s="1781"/>
      <c r="E4" s="1781"/>
      <c r="F4" s="1780"/>
      <c r="G4" s="1780"/>
      <c r="H4" s="1780"/>
      <c r="I4" s="1144">
        <v>2.5000000000000001E-3</v>
      </c>
      <c r="J4" s="1780"/>
      <c r="K4" s="1780"/>
      <c r="L4" s="1780"/>
      <c r="M4" s="1781"/>
      <c r="N4" s="1787"/>
      <c r="O4" s="1371"/>
      <c r="P4" s="1145">
        <v>2.5000000000000001E-3</v>
      </c>
      <c r="Q4" s="1787"/>
      <c r="R4" s="1787"/>
      <c r="S4" s="1787"/>
      <c r="T4" s="1371"/>
      <c r="U4" s="1766"/>
      <c r="V4" s="1766"/>
    </row>
    <row r="5" spans="1:22" ht="14.25" customHeight="1">
      <c r="A5" s="1012"/>
      <c r="B5" s="1013"/>
      <c r="C5" s="1014">
        <v>1</v>
      </c>
      <c r="D5" s="1014">
        <f t="shared" ref="D5" si="0">C5+1</f>
        <v>2</v>
      </c>
      <c r="E5" s="1014">
        <f>D5+1</f>
        <v>3</v>
      </c>
      <c r="F5" s="1014">
        <f t="shared" ref="F5:V5" si="1">E5+1</f>
        <v>4</v>
      </c>
      <c r="G5" s="1014">
        <f t="shared" si="1"/>
        <v>5</v>
      </c>
      <c r="H5" s="1014">
        <f t="shared" si="1"/>
        <v>6</v>
      </c>
      <c r="I5" s="1014">
        <f t="shared" si="1"/>
        <v>7</v>
      </c>
      <c r="J5" s="1014">
        <f t="shared" si="1"/>
        <v>8</v>
      </c>
      <c r="K5" s="1014">
        <f t="shared" si="1"/>
        <v>9</v>
      </c>
      <c r="L5" s="1014">
        <f t="shared" si="1"/>
        <v>10</v>
      </c>
      <c r="M5" s="1014">
        <f t="shared" si="1"/>
        <v>11</v>
      </c>
      <c r="N5" s="1014">
        <f t="shared" si="1"/>
        <v>12</v>
      </c>
      <c r="O5" s="1014">
        <f t="shared" si="1"/>
        <v>13</v>
      </c>
      <c r="P5" s="1014">
        <f t="shared" si="1"/>
        <v>14</v>
      </c>
      <c r="Q5" s="1014">
        <f t="shared" si="1"/>
        <v>15</v>
      </c>
      <c r="R5" s="1014">
        <f t="shared" si="1"/>
        <v>16</v>
      </c>
      <c r="S5" s="1014">
        <f t="shared" si="1"/>
        <v>17</v>
      </c>
      <c r="T5" s="1014">
        <f t="shared" si="1"/>
        <v>18</v>
      </c>
      <c r="U5" s="1014">
        <f t="shared" si="1"/>
        <v>19</v>
      </c>
      <c r="V5" s="1014">
        <f t="shared" si="1"/>
        <v>20</v>
      </c>
    </row>
    <row r="6" spans="1:22" ht="27" customHeight="1">
      <c r="A6" s="1076"/>
      <c r="B6" s="1077"/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  <c r="Q6" s="1077"/>
      <c r="R6" s="1077"/>
      <c r="S6" s="1077"/>
      <c r="T6" s="1077"/>
      <c r="U6" s="1077"/>
      <c r="V6" s="1077"/>
    </row>
    <row r="7" spans="1:22">
      <c r="A7" s="1021">
        <v>1</v>
      </c>
      <c r="B7" s="1022" t="s">
        <v>102</v>
      </c>
      <c r="C7" s="1023">
        <v>0</v>
      </c>
      <c r="D7" s="1024">
        <f>'Table 3 Levels 1&amp;2'!AL8</f>
        <v>4621.8175818834352</v>
      </c>
      <c r="E7" s="1136">
        <f>C7*D7</f>
        <v>0</v>
      </c>
      <c r="F7" s="1136">
        <f>'Table 4 Level 3'!P6</f>
        <v>777.48</v>
      </c>
      <c r="G7" s="1136">
        <f>C7*F7</f>
        <v>0</v>
      </c>
      <c r="H7" s="1025">
        <f>E7+G7</f>
        <v>0</v>
      </c>
      <c r="I7" s="1146">
        <f>-(0.25%*H7)</f>
        <v>0</v>
      </c>
      <c r="J7" s="1025">
        <f>SUM(H7:I7)</f>
        <v>0</v>
      </c>
      <c r="K7" s="1025">
        <v>0</v>
      </c>
      <c r="L7" s="1025">
        <f>SUM(J7:K7)</f>
        <v>0</v>
      </c>
      <c r="M7" s="1025">
        <f>L7/12</f>
        <v>0</v>
      </c>
      <c r="N7" s="1086">
        <f>'[8]FY2012-13 Initial'!$K8</f>
        <v>2094</v>
      </c>
      <c r="O7" s="1026">
        <f>C7*N7</f>
        <v>0</v>
      </c>
      <c r="P7" s="1154">
        <f>-(0.25%*O7)</f>
        <v>0</v>
      </c>
      <c r="Q7" s="1026">
        <f>SUM(O7:P7)</f>
        <v>0</v>
      </c>
      <c r="R7" s="1026">
        <v>0</v>
      </c>
      <c r="S7" s="1026">
        <f>SUM(Q7:R7)</f>
        <v>0</v>
      </c>
      <c r="T7" s="1026">
        <f>S7/12</f>
        <v>0</v>
      </c>
      <c r="U7" s="1027">
        <f>L7+S7</f>
        <v>0</v>
      </c>
      <c r="V7" s="1027">
        <f>M7+T7</f>
        <v>0</v>
      </c>
    </row>
    <row r="8" spans="1:22">
      <c r="A8" s="1028">
        <v>2</v>
      </c>
      <c r="B8" s="1029" t="s">
        <v>103</v>
      </c>
      <c r="C8" s="1292">
        <v>0</v>
      </c>
      <c r="D8" s="1031">
        <f>'Table 3 Levels 1&amp;2'!AL9</f>
        <v>6131.8351665660375</v>
      </c>
      <c r="E8" s="1137">
        <f t="shared" ref="E8:E71" si="2">C8*D8</f>
        <v>0</v>
      </c>
      <c r="F8" s="1137">
        <f>'Table 4 Level 3'!P7</f>
        <v>842.32</v>
      </c>
      <c r="G8" s="1137">
        <f t="shared" ref="G8:G71" si="3">C8*F8</f>
        <v>0</v>
      </c>
      <c r="H8" s="1087">
        <f t="shared" ref="H8:H71" si="4">E8+G8</f>
        <v>0</v>
      </c>
      <c r="I8" s="1147">
        <f t="shared" ref="I8:I71" si="5">-(0.25%*H8)</f>
        <v>0</v>
      </c>
      <c r="J8" s="1087">
        <f t="shared" ref="J8:J71" si="6">SUM(H8:I8)</f>
        <v>0</v>
      </c>
      <c r="K8" s="1087">
        <v>0</v>
      </c>
      <c r="L8" s="1087">
        <f t="shared" ref="L8:L71" si="7">SUM(J8:K8)</f>
        <v>0</v>
      </c>
      <c r="M8" s="1087">
        <f t="shared" ref="M8:M71" si="8">L8/12</f>
        <v>0</v>
      </c>
      <c r="N8" s="1086">
        <f>'[8]FY2012-13 Initial'!$K9</f>
        <v>2554</v>
      </c>
      <c r="O8" s="1088">
        <f t="shared" ref="O8:O71" si="9">C8*N8</f>
        <v>0</v>
      </c>
      <c r="P8" s="1155">
        <f t="shared" ref="P8:P71" si="10">-(0.25%*O8)</f>
        <v>0</v>
      </c>
      <c r="Q8" s="1088">
        <f t="shared" ref="Q8:Q71" si="11">SUM(O8:P8)</f>
        <v>0</v>
      </c>
      <c r="R8" s="1088">
        <v>0</v>
      </c>
      <c r="S8" s="1088">
        <f t="shared" ref="S8:S71" si="12">SUM(Q8:R8)</f>
        <v>0</v>
      </c>
      <c r="T8" s="1088">
        <f t="shared" ref="T8:T71" si="13">S8/12</f>
        <v>0</v>
      </c>
      <c r="U8" s="1089">
        <f t="shared" ref="U8:V71" si="14">L8+S8</f>
        <v>0</v>
      </c>
      <c r="V8" s="1089">
        <f t="shared" si="14"/>
        <v>0</v>
      </c>
    </row>
    <row r="9" spans="1:22">
      <c r="A9" s="1028">
        <v>3</v>
      </c>
      <c r="B9" s="1029" t="s">
        <v>104</v>
      </c>
      <c r="C9" s="1292">
        <v>0</v>
      </c>
      <c r="D9" s="1031">
        <f>'Table 3 Levels 1&amp;2'!AL10</f>
        <v>4326.5384352059973</v>
      </c>
      <c r="E9" s="1137">
        <f t="shared" si="2"/>
        <v>0</v>
      </c>
      <c r="F9" s="1137">
        <f>'Table 4 Level 3'!P8</f>
        <v>596.84</v>
      </c>
      <c r="G9" s="1137">
        <f t="shared" si="3"/>
        <v>0</v>
      </c>
      <c r="H9" s="1087">
        <f t="shared" si="4"/>
        <v>0</v>
      </c>
      <c r="I9" s="1147">
        <f t="shared" si="5"/>
        <v>0</v>
      </c>
      <c r="J9" s="1087">
        <f t="shared" si="6"/>
        <v>0</v>
      </c>
      <c r="K9" s="1087">
        <v>0</v>
      </c>
      <c r="L9" s="1087">
        <f t="shared" si="7"/>
        <v>0</v>
      </c>
      <c r="M9" s="1087">
        <f t="shared" si="8"/>
        <v>0</v>
      </c>
      <c r="N9" s="1086">
        <f>'[8]FY2012-13 Initial'!$K10</f>
        <v>4995</v>
      </c>
      <c r="O9" s="1088">
        <f t="shared" si="9"/>
        <v>0</v>
      </c>
      <c r="P9" s="1155">
        <f t="shared" si="10"/>
        <v>0</v>
      </c>
      <c r="Q9" s="1088">
        <f t="shared" si="11"/>
        <v>0</v>
      </c>
      <c r="R9" s="1088">
        <v>0</v>
      </c>
      <c r="S9" s="1088">
        <f t="shared" si="12"/>
        <v>0</v>
      </c>
      <c r="T9" s="1088">
        <f t="shared" si="13"/>
        <v>0</v>
      </c>
      <c r="U9" s="1089">
        <f t="shared" si="14"/>
        <v>0</v>
      </c>
      <c r="V9" s="1089">
        <f t="shared" si="14"/>
        <v>0</v>
      </c>
    </row>
    <row r="10" spans="1:22">
      <c r="A10" s="1028">
        <v>4</v>
      </c>
      <c r="B10" s="1029" t="s">
        <v>105</v>
      </c>
      <c r="C10" s="1292">
        <v>0</v>
      </c>
      <c r="D10" s="1031">
        <f>'Table 3 Levels 1&amp;2'!AL11</f>
        <v>6066.2659652331004</v>
      </c>
      <c r="E10" s="1137">
        <f t="shared" si="2"/>
        <v>0</v>
      </c>
      <c r="F10" s="1137">
        <f>'Table 4 Level 3'!P9</f>
        <v>585.76</v>
      </c>
      <c r="G10" s="1137">
        <f t="shared" si="3"/>
        <v>0</v>
      </c>
      <c r="H10" s="1087">
        <f t="shared" si="4"/>
        <v>0</v>
      </c>
      <c r="I10" s="1147">
        <f t="shared" si="5"/>
        <v>0</v>
      </c>
      <c r="J10" s="1087">
        <f t="shared" si="6"/>
        <v>0</v>
      </c>
      <c r="K10" s="1087">
        <v>0</v>
      </c>
      <c r="L10" s="1087">
        <f t="shared" si="7"/>
        <v>0</v>
      </c>
      <c r="M10" s="1087">
        <f t="shared" si="8"/>
        <v>0</v>
      </c>
      <c r="N10" s="1086">
        <f>'[8]FY2012-13 Initial'!$K11</f>
        <v>3361</v>
      </c>
      <c r="O10" s="1088">
        <f t="shared" si="9"/>
        <v>0</v>
      </c>
      <c r="P10" s="1155">
        <f t="shared" si="10"/>
        <v>0</v>
      </c>
      <c r="Q10" s="1088">
        <f t="shared" si="11"/>
        <v>0</v>
      </c>
      <c r="R10" s="1088">
        <v>0</v>
      </c>
      <c r="S10" s="1088">
        <f t="shared" si="12"/>
        <v>0</v>
      </c>
      <c r="T10" s="1088">
        <f t="shared" si="13"/>
        <v>0</v>
      </c>
      <c r="U10" s="1089">
        <f t="shared" si="14"/>
        <v>0</v>
      </c>
      <c r="V10" s="1089">
        <f t="shared" si="14"/>
        <v>0</v>
      </c>
    </row>
    <row r="11" spans="1:22">
      <c r="A11" s="1032">
        <v>5</v>
      </c>
      <c r="B11" s="1033" t="s">
        <v>106</v>
      </c>
      <c r="C11" s="1293">
        <v>0</v>
      </c>
      <c r="D11" s="1035">
        <f>'Table 3 Levels 1&amp;2'!AL12</f>
        <v>4806.2126132223084</v>
      </c>
      <c r="E11" s="1138">
        <f t="shared" si="2"/>
        <v>0</v>
      </c>
      <c r="F11" s="1138">
        <f>'Table 4 Level 3'!P10</f>
        <v>555.91</v>
      </c>
      <c r="G11" s="1138">
        <f t="shared" si="3"/>
        <v>0</v>
      </c>
      <c r="H11" s="1090">
        <f t="shared" si="4"/>
        <v>0</v>
      </c>
      <c r="I11" s="1148">
        <f t="shared" si="5"/>
        <v>0</v>
      </c>
      <c r="J11" s="1090">
        <f t="shared" si="6"/>
        <v>0</v>
      </c>
      <c r="K11" s="1090">
        <v>0</v>
      </c>
      <c r="L11" s="1090">
        <f t="shared" si="7"/>
        <v>0</v>
      </c>
      <c r="M11" s="1090">
        <f t="shared" si="8"/>
        <v>0</v>
      </c>
      <c r="N11" s="1091">
        <f>'[8]FY2012-13 Initial'!$K12</f>
        <v>1146</v>
      </c>
      <c r="O11" s="1092">
        <f t="shared" si="9"/>
        <v>0</v>
      </c>
      <c r="P11" s="1156">
        <f t="shared" si="10"/>
        <v>0</v>
      </c>
      <c r="Q11" s="1092">
        <f t="shared" si="11"/>
        <v>0</v>
      </c>
      <c r="R11" s="1092">
        <v>0</v>
      </c>
      <c r="S11" s="1092">
        <f t="shared" si="12"/>
        <v>0</v>
      </c>
      <c r="T11" s="1092">
        <f t="shared" si="13"/>
        <v>0</v>
      </c>
      <c r="U11" s="1093">
        <f t="shared" si="14"/>
        <v>0</v>
      </c>
      <c r="V11" s="1093">
        <f t="shared" si="14"/>
        <v>0</v>
      </c>
    </row>
    <row r="12" spans="1:22">
      <c r="A12" s="1021">
        <v>6</v>
      </c>
      <c r="B12" s="1022" t="s">
        <v>107</v>
      </c>
      <c r="C12" s="1294">
        <v>0</v>
      </c>
      <c r="D12" s="1024">
        <f>'Table 3 Levels 1&amp;2'!AL13</f>
        <v>5538.0879878550813</v>
      </c>
      <c r="E12" s="1136">
        <f t="shared" si="2"/>
        <v>0</v>
      </c>
      <c r="F12" s="1136">
        <f>'Table 4 Level 3'!P11</f>
        <v>545.4799999999999</v>
      </c>
      <c r="G12" s="1136">
        <f t="shared" si="3"/>
        <v>0</v>
      </c>
      <c r="H12" s="1025">
        <f t="shared" si="4"/>
        <v>0</v>
      </c>
      <c r="I12" s="1146">
        <f t="shared" si="5"/>
        <v>0</v>
      </c>
      <c r="J12" s="1025">
        <f t="shared" si="6"/>
        <v>0</v>
      </c>
      <c r="K12" s="1025">
        <v>0</v>
      </c>
      <c r="L12" s="1025">
        <f t="shared" si="7"/>
        <v>0</v>
      </c>
      <c r="M12" s="1025">
        <f t="shared" si="8"/>
        <v>0</v>
      </c>
      <c r="N12" s="1086">
        <f>'[8]FY2012-13 Initial'!$K13</f>
        <v>3431</v>
      </c>
      <c r="O12" s="1026">
        <f t="shared" si="9"/>
        <v>0</v>
      </c>
      <c r="P12" s="1154">
        <f t="shared" si="10"/>
        <v>0</v>
      </c>
      <c r="Q12" s="1026">
        <f t="shared" si="11"/>
        <v>0</v>
      </c>
      <c r="R12" s="1026">
        <v>0</v>
      </c>
      <c r="S12" s="1026">
        <f t="shared" si="12"/>
        <v>0</v>
      </c>
      <c r="T12" s="1026">
        <f t="shared" si="13"/>
        <v>0</v>
      </c>
      <c r="U12" s="1027">
        <f t="shared" si="14"/>
        <v>0</v>
      </c>
      <c r="V12" s="1027">
        <f t="shared" si="14"/>
        <v>0</v>
      </c>
    </row>
    <row r="13" spans="1:22">
      <c r="A13" s="1028">
        <v>7</v>
      </c>
      <c r="B13" s="1029" t="s">
        <v>108</v>
      </c>
      <c r="C13" s="1292">
        <v>0</v>
      </c>
      <c r="D13" s="1031">
        <f>'Table 3 Levels 1&amp;2'!AL14</f>
        <v>1543.5712353471597</v>
      </c>
      <c r="E13" s="1137">
        <f t="shared" si="2"/>
        <v>0</v>
      </c>
      <c r="F13" s="1137">
        <f>'Table 4 Level 3'!P12</f>
        <v>756.91999999999985</v>
      </c>
      <c r="G13" s="1137">
        <f t="shared" si="3"/>
        <v>0</v>
      </c>
      <c r="H13" s="1087">
        <f t="shared" si="4"/>
        <v>0</v>
      </c>
      <c r="I13" s="1147">
        <f t="shared" si="5"/>
        <v>0</v>
      </c>
      <c r="J13" s="1087">
        <f t="shared" si="6"/>
        <v>0</v>
      </c>
      <c r="K13" s="1087">
        <v>0</v>
      </c>
      <c r="L13" s="1087">
        <f t="shared" si="7"/>
        <v>0</v>
      </c>
      <c r="M13" s="1087">
        <f t="shared" si="8"/>
        <v>0</v>
      </c>
      <c r="N13" s="1086">
        <f>'[8]FY2012-13 Initial'!$K14</f>
        <v>12974</v>
      </c>
      <c r="O13" s="1088">
        <f t="shared" si="9"/>
        <v>0</v>
      </c>
      <c r="P13" s="1155">
        <f t="shared" si="10"/>
        <v>0</v>
      </c>
      <c r="Q13" s="1088">
        <f t="shared" si="11"/>
        <v>0</v>
      </c>
      <c r="R13" s="1088">
        <v>0</v>
      </c>
      <c r="S13" s="1088">
        <f t="shared" si="12"/>
        <v>0</v>
      </c>
      <c r="T13" s="1088">
        <f t="shared" si="13"/>
        <v>0</v>
      </c>
      <c r="U13" s="1089">
        <f t="shared" si="14"/>
        <v>0</v>
      </c>
      <c r="V13" s="1089">
        <f t="shared" si="14"/>
        <v>0</v>
      </c>
    </row>
    <row r="14" spans="1:22">
      <c r="A14" s="1028">
        <v>8</v>
      </c>
      <c r="B14" s="1029" t="s">
        <v>109</v>
      </c>
      <c r="C14" s="1292">
        <v>0</v>
      </c>
      <c r="D14" s="1031">
        <f>'Table 3 Levels 1&amp;2'!AL15</f>
        <v>4033.4866571910334</v>
      </c>
      <c r="E14" s="1137">
        <f t="shared" si="2"/>
        <v>0</v>
      </c>
      <c r="F14" s="1137">
        <f>'Table 4 Level 3'!P13</f>
        <v>725.76</v>
      </c>
      <c r="G14" s="1137">
        <f t="shared" si="3"/>
        <v>0</v>
      </c>
      <c r="H14" s="1087">
        <f t="shared" si="4"/>
        <v>0</v>
      </c>
      <c r="I14" s="1147">
        <f t="shared" si="5"/>
        <v>0</v>
      </c>
      <c r="J14" s="1087">
        <f t="shared" si="6"/>
        <v>0</v>
      </c>
      <c r="K14" s="1087">
        <v>0</v>
      </c>
      <c r="L14" s="1087">
        <f t="shared" si="7"/>
        <v>0</v>
      </c>
      <c r="M14" s="1087">
        <f t="shared" si="8"/>
        <v>0</v>
      </c>
      <c r="N14" s="1086">
        <f>'[8]FY2012-13 Initial'!$K15</f>
        <v>4234</v>
      </c>
      <c r="O14" s="1088">
        <f t="shared" si="9"/>
        <v>0</v>
      </c>
      <c r="P14" s="1155">
        <f t="shared" si="10"/>
        <v>0</v>
      </c>
      <c r="Q14" s="1088">
        <f t="shared" si="11"/>
        <v>0</v>
      </c>
      <c r="R14" s="1088">
        <v>0</v>
      </c>
      <c r="S14" s="1088">
        <f t="shared" si="12"/>
        <v>0</v>
      </c>
      <c r="T14" s="1088">
        <f t="shared" si="13"/>
        <v>0</v>
      </c>
      <c r="U14" s="1089">
        <f t="shared" si="14"/>
        <v>0</v>
      </c>
      <c r="V14" s="1089">
        <f t="shared" si="14"/>
        <v>0</v>
      </c>
    </row>
    <row r="15" spans="1:22">
      <c r="A15" s="1028">
        <v>9</v>
      </c>
      <c r="B15" s="1029" t="s">
        <v>110</v>
      </c>
      <c r="C15" s="1292">
        <v>0</v>
      </c>
      <c r="D15" s="1031">
        <f>'Table 3 Levels 1&amp;2'!AL16</f>
        <v>4268.3217271902904</v>
      </c>
      <c r="E15" s="1137">
        <f t="shared" si="2"/>
        <v>0</v>
      </c>
      <c r="F15" s="1137">
        <f>'Table 4 Level 3'!P14</f>
        <v>744.76</v>
      </c>
      <c r="G15" s="1137">
        <f t="shared" si="3"/>
        <v>0</v>
      </c>
      <c r="H15" s="1087">
        <f t="shared" si="4"/>
        <v>0</v>
      </c>
      <c r="I15" s="1147">
        <f t="shared" si="5"/>
        <v>0</v>
      </c>
      <c r="J15" s="1087">
        <f t="shared" si="6"/>
        <v>0</v>
      </c>
      <c r="K15" s="1087">
        <v>0</v>
      </c>
      <c r="L15" s="1087">
        <f t="shared" si="7"/>
        <v>0</v>
      </c>
      <c r="M15" s="1087">
        <f t="shared" si="8"/>
        <v>0</v>
      </c>
      <c r="N15" s="1086">
        <f>'[8]FY2012-13 Initial'!$K16</f>
        <v>4539</v>
      </c>
      <c r="O15" s="1088">
        <f t="shared" si="9"/>
        <v>0</v>
      </c>
      <c r="P15" s="1155">
        <f t="shared" si="10"/>
        <v>0</v>
      </c>
      <c r="Q15" s="1088">
        <f t="shared" si="11"/>
        <v>0</v>
      </c>
      <c r="R15" s="1088">
        <v>0</v>
      </c>
      <c r="S15" s="1088">
        <f t="shared" si="12"/>
        <v>0</v>
      </c>
      <c r="T15" s="1088">
        <f t="shared" si="13"/>
        <v>0</v>
      </c>
      <c r="U15" s="1089">
        <f t="shared" si="14"/>
        <v>0</v>
      </c>
      <c r="V15" s="1089">
        <f t="shared" si="14"/>
        <v>0</v>
      </c>
    </row>
    <row r="16" spans="1:22">
      <c r="A16" s="1032">
        <v>10</v>
      </c>
      <c r="B16" s="1033" t="s">
        <v>111</v>
      </c>
      <c r="C16" s="1293">
        <v>0</v>
      </c>
      <c r="D16" s="1035">
        <f>'Table 3 Levels 1&amp;2'!AL17</f>
        <v>4300.0681374076885</v>
      </c>
      <c r="E16" s="1138">
        <f t="shared" si="2"/>
        <v>0</v>
      </c>
      <c r="F16" s="1138">
        <f>'Table 4 Level 3'!P15</f>
        <v>608.04000000000008</v>
      </c>
      <c r="G16" s="1138">
        <f t="shared" si="3"/>
        <v>0</v>
      </c>
      <c r="H16" s="1090">
        <f t="shared" si="4"/>
        <v>0</v>
      </c>
      <c r="I16" s="1148">
        <f t="shared" si="5"/>
        <v>0</v>
      </c>
      <c r="J16" s="1090">
        <f t="shared" si="6"/>
        <v>0</v>
      </c>
      <c r="K16" s="1090">
        <v>0</v>
      </c>
      <c r="L16" s="1090">
        <f t="shared" si="7"/>
        <v>0</v>
      </c>
      <c r="M16" s="1090">
        <f t="shared" si="8"/>
        <v>0</v>
      </c>
      <c r="N16" s="1091">
        <f>'[8]FY2012-13 Initial'!$K17</f>
        <v>4312</v>
      </c>
      <c r="O16" s="1092">
        <f t="shared" si="9"/>
        <v>0</v>
      </c>
      <c r="P16" s="1156">
        <f t="shared" si="10"/>
        <v>0</v>
      </c>
      <c r="Q16" s="1092">
        <f t="shared" si="11"/>
        <v>0</v>
      </c>
      <c r="R16" s="1092">
        <v>0</v>
      </c>
      <c r="S16" s="1092">
        <f t="shared" si="12"/>
        <v>0</v>
      </c>
      <c r="T16" s="1092">
        <f t="shared" si="13"/>
        <v>0</v>
      </c>
      <c r="U16" s="1093">
        <f t="shared" si="14"/>
        <v>0</v>
      </c>
      <c r="V16" s="1093">
        <f t="shared" si="14"/>
        <v>0</v>
      </c>
    </row>
    <row r="17" spans="1:22">
      <c r="A17" s="1021">
        <v>11</v>
      </c>
      <c r="B17" s="1022" t="s">
        <v>112</v>
      </c>
      <c r="C17" s="1294">
        <v>0</v>
      </c>
      <c r="D17" s="1024">
        <f>'Table 3 Levels 1&amp;2'!AL18</f>
        <v>6740.2393955908683</v>
      </c>
      <c r="E17" s="1136">
        <f t="shared" si="2"/>
        <v>0</v>
      </c>
      <c r="F17" s="1136">
        <f>'Table 4 Level 3'!P16</f>
        <v>706.55</v>
      </c>
      <c r="G17" s="1136">
        <f t="shared" si="3"/>
        <v>0</v>
      </c>
      <c r="H17" s="1025">
        <f t="shared" si="4"/>
        <v>0</v>
      </c>
      <c r="I17" s="1146">
        <f t="shared" si="5"/>
        <v>0</v>
      </c>
      <c r="J17" s="1025">
        <f t="shared" si="6"/>
        <v>0</v>
      </c>
      <c r="K17" s="1025">
        <v>0</v>
      </c>
      <c r="L17" s="1025">
        <f t="shared" si="7"/>
        <v>0</v>
      </c>
      <c r="M17" s="1025">
        <f t="shared" si="8"/>
        <v>0</v>
      </c>
      <c r="N17" s="1086">
        <f>'[8]FY2012-13 Initial'!$K18</f>
        <v>3004</v>
      </c>
      <c r="O17" s="1026">
        <f t="shared" si="9"/>
        <v>0</v>
      </c>
      <c r="P17" s="1154">
        <f t="shared" si="10"/>
        <v>0</v>
      </c>
      <c r="Q17" s="1026">
        <f t="shared" si="11"/>
        <v>0</v>
      </c>
      <c r="R17" s="1026">
        <v>0</v>
      </c>
      <c r="S17" s="1026">
        <f t="shared" si="12"/>
        <v>0</v>
      </c>
      <c r="T17" s="1026">
        <f t="shared" si="13"/>
        <v>0</v>
      </c>
      <c r="U17" s="1027">
        <f t="shared" si="14"/>
        <v>0</v>
      </c>
      <c r="V17" s="1027">
        <f t="shared" si="14"/>
        <v>0</v>
      </c>
    </row>
    <row r="18" spans="1:22">
      <c r="A18" s="1028">
        <v>12</v>
      </c>
      <c r="B18" s="1029" t="s">
        <v>113</v>
      </c>
      <c r="C18" s="1292">
        <v>0</v>
      </c>
      <c r="D18" s="1031">
        <f>'Table 3 Levels 1&amp;2'!AL19</f>
        <v>1781.2877551020408</v>
      </c>
      <c r="E18" s="1137">
        <f t="shared" si="2"/>
        <v>0</v>
      </c>
      <c r="F18" s="1137">
        <f>'Table 4 Level 3'!P17</f>
        <v>1063.31</v>
      </c>
      <c r="G18" s="1137">
        <f t="shared" si="3"/>
        <v>0</v>
      </c>
      <c r="H18" s="1087">
        <f t="shared" si="4"/>
        <v>0</v>
      </c>
      <c r="I18" s="1147">
        <f t="shared" si="5"/>
        <v>0</v>
      </c>
      <c r="J18" s="1087">
        <f t="shared" si="6"/>
        <v>0</v>
      </c>
      <c r="K18" s="1087">
        <v>0</v>
      </c>
      <c r="L18" s="1087">
        <f t="shared" si="7"/>
        <v>0</v>
      </c>
      <c r="M18" s="1087">
        <f t="shared" si="8"/>
        <v>0</v>
      </c>
      <c r="N18" s="1086">
        <f>'[8]FY2012-13 Initial'!$K19</f>
        <v>12439</v>
      </c>
      <c r="O18" s="1088">
        <f t="shared" si="9"/>
        <v>0</v>
      </c>
      <c r="P18" s="1155">
        <f t="shared" si="10"/>
        <v>0</v>
      </c>
      <c r="Q18" s="1088">
        <f t="shared" si="11"/>
        <v>0</v>
      </c>
      <c r="R18" s="1088">
        <v>0</v>
      </c>
      <c r="S18" s="1088">
        <f t="shared" si="12"/>
        <v>0</v>
      </c>
      <c r="T18" s="1088">
        <f t="shared" si="13"/>
        <v>0</v>
      </c>
      <c r="U18" s="1089">
        <f t="shared" si="14"/>
        <v>0</v>
      </c>
      <c r="V18" s="1089">
        <f t="shared" si="14"/>
        <v>0</v>
      </c>
    </row>
    <row r="19" spans="1:22">
      <c r="A19" s="1028">
        <v>13</v>
      </c>
      <c r="B19" s="1029" t="s">
        <v>114</v>
      </c>
      <c r="C19" s="1292">
        <v>0</v>
      </c>
      <c r="D19" s="1031">
        <f>'Table 3 Levels 1&amp;2'!AL20</f>
        <v>6125.5331903699798</v>
      </c>
      <c r="E19" s="1137">
        <f t="shared" si="2"/>
        <v>0</v>
      </c>
      <c r="F19" s="1137">
        <f>'Table 4 Level 3'!P18</f>
        <v>749.43000000000006</v>
      </c>
      <c r="G19" s="1137">
        <f t="shared" si="3"/>
        <v>0</v>
      </c>
      <c r="H19" s="1087">
        <f t="shared" si="4"/>
        <v>0</v>
      </c>
      <c r="I19" s="1147">
        <f t="shared" si="5"/>
        <v>0</v>
      </c>
      <c r="J19" s="1087">
        <f t="shared" si="6"/>
        <v>0</v>
      </c>
      <c r="K19" s="1087">
        <v>0</v>
      </c>
      <c r="L19" s="1087">
        <f t="shared" si="7"/>
        <v>0</v>
      </c>
      <c r="M19" s="1087">
        <f t="shared" si="8"/>
        <v>0</v>
      </c>
      <c r="N19" s="1086">
        <f>'[8]FY2012-13 Initial'!$K20</f>
        <v>2518</v>
      </c>
      <c r="O19" s="1088">
        <f t="shared" si="9"/>
        <v>0</v>
      </c>
      <c r="P19" s="1155">
        <f t="shared" si="10"/>
        <v>0</v>
      </c>
      <c r="Q19" s="1088">
        <f t="shared" si="11"/>
        <v>0</v>
      </c>
      <c r="R19" s="1088">
        <v>0</v>
      </c>
      <c r="S19" s="1088">
        <f t="shared" si="12"/>
        <v>0</v>
      </c>
      <c r="T19" s="1088">
        <f t="shared" si="13"/>
        <v>0</v>
      </c>
      <c r="U19" s="1089">
        <f t="shared" si="14"/>
        <v>0</v>
      </c>
      <c r="V19" s="1089">
        <f t="shared" si="14"/>
        <v>0</v>
      </c>
    </row>
    <row r="20" spans="1:22">
      <c r="A20" s="1028">
        <v>14</v>
      </c>
      <c r="B20" s="1029" t="s">
        <v>115</v>
      </c>
      <c r="C20" s="1292">
        <v>0</v>
      </c>
      <c r="D20" s="1031">
        <f>'Table 3 Levels 1&amp;2'!AL21</f>
        <v>5278.0936993421856</v>
      </c>
      <c r="E20" s="1137">
        <f t="shared" si="2"/>
        <v>0</v>
      </c>
      <c r="F20" s="1137">
        <f>'Table 4 Level 3'!P19</f>
        <v>809.9799999999999</v>
      </c>
      <c r="G20" s="1137">
        <f t="shared" si="3"/>
        <v>0</v>
      </c>
      <c r="H20" s="1087">
        <f t="shared" si="4"/>
        <v>0</v>
      </c>
      <c r="I20" s="1147">
        <f t="shared" si="5"/>
        <v>0</v>
      </c>
      <c r="J20" s="1087">
        <f t="shared" si="6"/>
        <v>0</v>
      </c>
      <c r="K20" s="1087">
        <v>0</v>
      </c>
      <c r="L20" s="1087">
        <f t="shared" si="7"/>
        <v>0</v>
      </c>
      <c r="M20" s="1087">
        <f t="shared" si="8"/>
        <v>0</v>
      </c>
      <c r="N20" s="1086">
        <f>'[8]FY2012-13 Initial'!$K21</f>
        <v>3605</v>
      </c>
      <c r="O20" s="1088">
        <f t="shared" si="9"/>
        <v>0</v>
      </c>
      <c r="P20" s="1155">
        <f t="shared" si="10"/>
        <v>0</v>
      </c>
      <c r="Q20" s="1088">
        <f t="shared" si="11"/>
        <v>0</v>
      </c>
      <c r="R20" s="1088">
        <v>0</v>
      </c>
      <c r="S20" s="1088">
        <f t="shared" si="12"/>
        <v>0</v>
      </c>
      <c r="T20" s="1088">
        <f t="shared" si="13"/>
        <v>0</v>
      </c>
      <c r="U20" s="1089">
        <f t="shared" si="14"/>
        <v>0</v>
      </c>
      <c r="V20" s="1089">
        <f t="shared" si="14"/>
        <v>0</v>
      </c>
    </row>
    <row r="21" spans="1:22">
      <c r="A21" s="1032">
        <v>15</v>
      </c>
      <c r="B21" s="1033" t="s">
        <v>116</v>
      </c>
      <c r="C21" s="1293">
        <v>0</v>
      </c>
      <c r="D21" s="1035">
        <f>'Table 3 Levels 1&amp;2'!AL22</f>
        <v>5428.9842692179664</v>
      </c>
      <c r="E21" s="1138">
        <f t="shared" si="2"/>
        <v>0</v>
      </c>
      <c r="F21" s="1138">
        <f>'Table 4 Level 3'!P20</f>
        <v>553.79999999999995</v>
      </c>
      <c r="G21" s="1138">
        <f t="shared" si="3"/>
        <v>0</v>
      </c>
      <c r="H21" s="1090">
        <f t="shared" si="4"/>
        <v>0</v>
      </c>
      <c r="I21" s="1148">
        <f t="shared" si="5"/>
        <v>0</v>
      </c>
      <c r="J21" s="1090">
        <f t="shared" si="6"/>
        <v>0</v>
      </c>
      <c r="K21" s="1090">
        <v>0</v>
      </c>
      <c r="L21" s="1090">
        <f t="shared" si="7"/>
        <v>0</v>
      </c>
      <c r="M21" s="1090">
        <f t="shared" si="8"/>
        <v>0</v>
      </c>
      <c r="N21" s="1091">
        <f>'[8]FY2012-13 Initial'!$K22</f>
        <v>2614</v>
      </c>
      <c r="O21" s="1092">
        <f t="shared" si="9"/>
        <v>0</v>
      </c>
      <c r="P21" s="1156">
        <f t="shared" si="10"/>
        <v>0</v>
      </c>
      <c r="Q21" s="1092">
        <f t="shared" si="11"/>
        <v>0</v>
      </c>
      <c r="R21" s="1092">
        <v>0</v>
      </c>
      <c r="S21" s="1092">
        <f t="shared" si="12"/>
        <v>0</v>
      </c>
      <c r="T21" s="1092">
        <f t="shared" si="13"/>
        <v>0</v>
      </c>
      <c r="U21" s="1093">
        <f t="shared" si="14"/>
        <v>0</v>
      </c>
      <c r="V21" s="1093">
        <f t="shared" si="14"/>
        <v>0</v>
      </c>
    </row>
    <row r="22" spans="1:22">
      <c r="A22" s="1021">
        <v>16</v>
      </c>
      <c r="B22" s="1022" t="s">
        <v>117</v>
      </c>
      <c r="C22" s="1294">
        <v>0</v>
      </c>
      <c r="D22" s="1024">
        <f>'Table 3 Levels 1&amp;2'!AL23</f>
        <v>1501.2470754125757</v>
      </c>
      <c r="E22" s="1136">
        <f t="shared" si="2"/>
        <v>0</v>
      </c>
      <c r="F22" s="1136">
        <f>'Table 4 Level 3'!P21</f>
        <v>686.73</v>
      </c>
      <c r="G22" s="1136">
        <f t="shared" si="3"/>
        <v>0</v>
      </c>
      <c r="H22" s="1025">
        <f t="shared" si="4"/>
        <v>0</v>
      </c>
      <c r="I22" s="1146">
        <f t="shared" si="5"/>
        <v>0</v>
      </c>
      <c r="J22" s="1025">
        <f t="shared" si="6"/>
        <v>0</v>
      </c>
      <c r="K22" s="1025">
        <v>0</v>
      </c>
      <c r="L22" s="1025">
        <f t="shared" si="7"/>
        <v>0</v>
      </c>
      <c r="M22" s="1025">
        <f t="shared" si="8"/>
        <v>0</v>
      </c>
      <c r="N22" s="1086">
        <f>'[8]FY2012-13 Initial'!$K23</f>
        <v>16006</v>
      </c>
      <c r="O22" s="1026">
        <f t="shared" si="9"/>
        <v>0</v>
      </c>
      <c r="P22" s="1154">
        <f t="shared" si="10"/>
        <v>0</v>
      </c>
      <c r="Q22" s="1026">
        <f t="shared" si="11"/>
        <v>0</v>
      </c>
      <c r="R22" s="1026">
        <v>0</v>
      </c>
      <c r="S22" s="1026">
        <f t="shared" si="12"/>
        <v>0</v>
      </c>
      <c r="T22" s="1026">
        <f t="shared" si="13"/>
        <v>0</v>
      </c>
      <c r="U22" s="1027">
        <f t="shared" si="14"/>
        <v>0</v>
      </c>
      <c r="V22" s="1027">
        <f t="shared" si="14"/>
        <v>0</v>
      </c>
    </row>
    <row r="23" spans="1:22">
      <c r="A23" s="1028">
        <v>17</v>
      </c>
      <c r="B23" s="1029" t="s">
        <v>118</v>
      </c>
      <c r="C23" s="1292">
        <v>0</v>
      </c>
      <c r="D23" s="1031">
        <f>'Table 3 Levels 1&amp;2'!AL24</f>
        <v>3386.5716964570697</v>
      </c>
      <c r="E23" s="1137">
        <f t="shared" si="2"/>
        <v>0</v>
      </c>
      <c r="F23" s="1137">
        <f>'Table 5B2_RSD_LA'!F7</f>
        <v>801.47762416806802</v>
      </c>
      <c r="G23" s="1137">
        <f t="shared" si="3"/>
        <v>0</v>
      </c>
      <c r="H23" s="1087">
        <f t="shared" si="4"/>
        <v>0</v>
      </c>
      <c r="I23" s="1147">
        <f t="shared" si="5"/>
        <v>0</v>
      </c>
      <c r="J23" s="1087">
        <f t="shared" si="6"/>
        <v>0</v>
      </c>
      <c r="K23" s="1087">
        <v>0</v>
      </c>
      <c r="L23" s="1087">
        <f t="shared" si="7"/>
        <v>0</v>
      </c>
      <c r="M23" s="1087">
        <f t="shared" si="8"/>
        <v>0</v>
      </c>
      <c r="N23" s="1086">
        <f>'[8]FY2012-13 Initial'!$K24</f>
        <v>6493</v>
      </c>
      <c r="O23" s="1088">
        <f t="shared" si="9"/>
        <v>0</v>
      </c>
      <c r="P23" s="1155">
        <f t="shared" si="10"/>
        <v>0</v>
      </c>
      <c r="Q23" s="1088">
        <f t="shared" si="11"/>
        <v>0</v>
      </c>
      <c r="R23" s="1088">
        <v>0</v>
      </c>
      <c r="S23" s="1088">
        <f t="shared" si="12"/>
        <v>0</v>
      </c>
      <c r="T23" s="1088">
        <f t="shared" si="13"/>
        <v>0</v>
      </c>
      <c r="U23" s="1089">
        <f t="shared" si="14"/>
        <v>0</v>
      </c>
      <c r="V23" s="1089">
        <f t="shared" si="14"/>
        <v>0</v>
      </c>
    </row>
    <row r="24" spans="1:22">
      <c r="A24" s="1028">
        <v>18</v>
      </c>
      <c r="B24" s="1029" t="s">
        <v>119</v>
      </c>
      <c r="C24" s="1292">
        <v>0</v>
      </c>
      <c r="D24" s="1031">
        <f>'Table 3 Levels 1&amp;2'!AL25</f>
        <v>5798.0598063231446</v>
      </c>
      <c r="E24" s="1137">
        <f t="shared" si="2"/>
        <v>0</v>
      </c>
      <c r="F24" s="1137">
        <f>'Table 4 Level 3'!P23</f>
        <v>845.94999999999993</v>
      </c>
      <c r="G24" s="1137">
        <f t="shared" si="3"/>
        <v>0</v>
      </c>
      <c r="H24" s="1087">
        <f t="shared" si="4"/>
        <v>0</v>
      </c>
      <c r="I24" s="1147">
        <f t="shared" si="5"/>
        <v>0</v>
      </c>
      <c r="J24" s="1087">
        <f t="shared" si="6"/>
        <v>0</v>
      </c>
      <c r="K24" s="1087">
        <v>0</v>
      </c>
      <c r="L24" s="1087">
        <f t="shared" si="7"/>
        <v>0</v>
      </c>
      <c r="M24" s="1087">
        <f t="shared" si="8"/>
        <v>0</v>
      </c>
      <c r="N24" s="1086">
        <f>'[8]FY2012-13 Initial'!$K25</f>
        <v>2088</v>
      </c>
      <c r="O24" s="1088">
        <f t="shared" si="9"/>
        <v>0</v>
      </c>
      <c r="P24" s="1155">
        <f t="shared" si="10"/>
        <v>0</v>
      </c>
      <c r="Q24" s="1088">
        <f t="shared" si="11"/>
        <v>0</v>
      </c>
      <c r="R24" s="1088">
        <v>0</v>
      </c>
      <c r="S24" s="1088">
        <f t="shared" si="12"/>
        <v>0</v>
      </c>
      <c r="T24" s="1088">
        <f t="shared" si="13"/>
        <v>0</v>
      </c>
      <c r="U24" s="1089">
        <f t="shared" si="14"/>
        <v>0</v>
      </c>
      <c r="V24" s="1089">
        <f t="shared" si="14"/>
        <v>0</v>
      </c>
    </row>
    <row r="25" spans="1:22">
      <c r="A25" s="1028">
        <v>19</v>
      </c>
      <c r="B25" s="1029" t="s">
        <v>120</v>
      </c>
      <c r="C25" s="1292">
        <v>0</v>
      </c>
      <c r="D25" s="1031">
        <f>'Table 3 Levels 1&amp;2'!AL26</f>
        <v>5219.1012787873206</v>
      </c>
      <c r="E25" s="1137">
        <f t="shared" si="2"/>
        <v>0</v>
      </c>
      <c r="F25" s="1137">
        <f>'Table 4 Level 3'!P24</f>
        <v>905.43</v>
      </c>
      <c r="G25" s="1137">
        <f t="shared" si="3"/>
        <v>0</v>
      </c>
      <c r="H25" s="1087">
        <f t="shared" si="4"/>
        <v>0</v>
      </c>
      <c r="I25" s="1147">
        <f t="shared" si="5"/>
        <v>0</v>
      </c>
      <c r="J25" s="1087">
        <f t="shared" si="6"/>
        <v>0</v>
      </c>
      <c r="K25" s="1087">
        <v>0</v>
      </c>
      <c r="L25" s="1087">
        <f t="shared" si="7"/>
        <v>0</v>
      </c>
      <c r="M25" s="1087">
        <f t="shared" si="8"/>
        <v>0</v>
      </c>
      <c r="N25" s="1086">
        <f>'[8]FY2012-13 Initial'!$K26</f>
        <v>2275</v>
      </c>
      <c r="O25" s="1088">
        <f t="shared" si="9"/>
        <v>0</v>
      </c>
      <c r="P25" s="1155">
        <f t="shared" si="10"/>
        <v>0</v>
      </c>
      <c r="Q25" s="1088">
        <f t="shared" si="11"/>
        <v>0</v>
      </c>
      <c r="R25" s="1088">
        <v>0</v>
      </c>
      <c r="S25" s="1088">
        <f t="shared" si="12"/>
        <v>0</v>
      </c>
      <c r="T25" s="1088">
        <f t="shared" si="13"/>
        <v>0</v>
      </c>
      <c r="U25" s="1089">
        <f t="shared" si="14"/>
        <v>0</v>
      </c>
      <c r="V25" s="1089">
        <f t="shared" si="14"/>
        <v>0</v>
      </c>
    </row>
    <row r="26" spans="1:22">
      <c r="A26" s="1032">
        <v>20</v>
      </c>
      <c r="B26" s="1033" t="s">
        <v>121</v>
      </c>
      <c r="C26" s="1293">
        <v>0</v>
      </c>
      <c r="D26" s="1035">
        <f>'Table 3 Levels 1&amp;2'!AL27</f>
        <v>5441.7799844976798</v>
      </c>
      <c r="E26" s="1138">
        <f t="shared" si="2"/>
        <v>0</v>
      </c>
      <c r="F26" s="1138">
        <f>'Table 4 Level 3'!P25</f>
        <v>586.16999999999996</v>
      </c>
      <c r="G26" s="1138">
        <f t="shared" si="3"/>
        <v>0</v>
      </c>
      <c r="H26" s="1090">
        <f t="shared" si="4"/>
        <v>0</v>
      </c>
      <c r="I26" s="1148">
        <f t="shared" si="5"/>
        <v>0</v>
      </c>
      <c r="J26" s="1090">
        <f t="shared" si="6"/>
        <v>0</v>
      </c>
      <c r="K26" s="1090">
        <v>0</v>
      </c>
      <c r="L26" s="1090">
        <f t="shared" si="7"/>
        <v>0</v>
      </c>
      <c r="M26" s="1090">
        <f t="shared" si="8"/>
        <v>0</v>
      </c>
      <c r="N26" s="1091">
        <f>'[8]FY2012-13 Initial'!$K27</f>
        <v>2308</v>
      </c>
      <c r="O26" s="1092">
        <f t="shared" si="9"/>
        <v>0</v>
      </c>
      <c r="P26" s="1156">
        <f t="shared" si="10"/>
        <v>0</v>
      </c>
      <c r="Q26" s="1092">
        <f t="shared" si="11"/>
        <v>0</v>
      </c>
      <c r="R26" s="1092">
        <v>0</v>
      </c>
      <c r="S26" s="1092">
        <f t="shared" si="12"/>
        <v>0</v>
      </c>
      <c r="T26" s="1092">
        <f t="shared" si="13"/>
        <v>0</v>
      </c>
      <c r="U26" s="1093">
        <f t="shared" si="14"/>
        <v>0</v>
      </c>
      <c r="V26" s="1093">
        <f t="shared" si="14"/>
        <v>0</v>
      </c>
    </row>
    <row r="27" spans="1:22">
      <c r="A27" s="1021">
        <v>21</v>
      </c>
      <c r="B27" s="1022" t="s">
        <v>122</v>
      </c>
      <c r="C27" s="1294">
        <v>0</v>
      </c>
      <c r="D27" s="1024">
        <f>'Table 3 Levels 1&amp;2'!AL28</f>
        <v>5718.7800910915075</v>
      </c>
      <c r="E27" s="1136">
        <f t="shared" si="2"/>
        <v>0</v>
      </c>
      <c r="F27" s="1136">
        <f>'Table 4 Level 3'!P26</f>
        <v>610.35</v>
      </c>
      <c r="G27" s="1136">
        <f t="shared" si="3"/>
        <v>0</v>
      </c>
      <c r="H27" s="1025">
        <f t="shared" si="4"/>
        <v>0</v>
      </c>
      <c r="I27" s="1146">
        <f t="shared" si="5"/>
        <v>0</v>
      </c>
      <c r="J27" s="1025">
        <f t="shared" si="6"/>
        <v>0</v>
      </c>
      <c r="K27" s="1025">
        <v>0</v>
      </c>
      <c r="L27" s="1025">
        <f t="shared" si="7"/>
        <v>0</v>
      </c>
      <c r="M27" s="1025">
        <f t="shared" si="8"/>
        <v>0</v>
      </c>
      <c r="N27" s="1086">
        <f>'[8]FY2012-13 Initial'!$K28</f>
        <v>2245</v>
      </c>
      <c r="O27" s="1026">
        <f t="shared" si="9"/>
        <v>0</v>
      </c>
      <c r="P27" s="1154">
        <f t="shared" si="10"/>
        <v>0</v>
      </c>
      <c r="Q27" s="1026">
        <f t="shared" si="11"/>
        <v>0</v>
      </c>
      <c r="R27" s="1026">
        <v>0</v>
      </c>
      <c r="S27" s="1026">
        <f t="shared" si="12"/>
        <v>0</v>
      </c>
      <c r="T27" s="1026">
        <f t="shared" si="13"/>
        <v>0</v>
      </c>
      <c r="U27" s="1027">
        <f t="shared" si="14"/>
        <v>0</v>
      </c>
      <c r="V27" s="1027">
        <f t="shared" si="14"/>
        <v>0</v>
      </c>
    </row>
    <row r="28" spans="1:22">
      <c r="A28" s="1028">
        <v>22</v>
      </c>
      <c r="B28" s="1029" t="s">
        <v>123</v>
      </c>
      <c r="C28" s="1292">
        <v>0</v>
      </c>
      <c r="D28" s="1031">
        <f>'Table 3 Levels 1&amp;2'!AL29</f>
        <v>6198.830003500153</v>
      </c>
      <c r="E28" s="1137">
        <f t="shared" si="2"/>
        <v>0</v>
      </c>
      <c r="F28" s="1137">
        <f>'Table 4 Level 3'!P27</f>
        <v>496.36</v>
      </c>
      <c r="G28" s="1137">
        <f t="shared" si="3"/>
        <v>0</v>
      </c>
      <c r="H28" s="1087">
        <f t="shared" si="4"/>
        <v>0</v>
      </c>
      <c r="I28" s="1147">
        <f t="shared" si="5"/>
        <v>0</v>
      </c>
      <c r="J28" s="1087">
        <f t="shared" si="6"/>
        <v>0</v>
      </c>
      <c r="K28" s="1087">
        <v>0</v>
      </c>
      <c r="L28" s="1087">
        <f t="shared" si="7"/>
        <v>0</v>
      </c>
      <c r="M28" s="1087">
        <f t="shared" si="8"/>
        <v>0</v>
      </c>
      <c r="N28" s="1086">
        <f>'[8]FY2012-13 Initial'!$K29</f>
        <v>1445</v>
      </c>
      <c r="O28" s="1088">
        <f t="shared" si="9"/>
        <v>0</v>
      </c>
      <c r="P28" s="1155">
        <f t="shared" si="10"/>
        <v>0</v>
      </c>
      <c r="Q28" s="1088">
        <f t="shared" si="11"/>
        <v>0</v>
      </c>
      <c r="R28" s="1088">
        <v>0</v>
      </c>
      <c r="S28" s="1088">
        <f t="shared" si="12"/>
        <v>0</v>
      </c>
      <c r="T28" s="1088">
        <f t="shared" si="13"/>
        <v>0</v>
      </c>
      <c r="U28" s="1089">
        <f t="shared" si="14"/>
        <v>0</v>
      </c>
      <c r="V28" s="1089">
        <f t="shared" si="14"/>
        <v>0</v>
      </c>
    </row>
    <row r="29" spans="1:22">
      <c r="A29" s="1028">
        <v>23</v>
      </c>
      <c r="B29" s="1029" t="s">
        <v>124</v>
      </c>
      <c r="C29" s="1292">
        <v>0</v>
      </c>
      <c r="D29" s="1031">
        <f>'Table 3 Levels 1&amp;2'!AL30</f>
        <v>4809.0299298140199</v>
      </c>
      <c r="E29" s="1137">
        <f t="shared" si="2"/>
        <v>0</v>
      </c>
      <c r="F29" s="1137">
        <f>'Table 4 Level 3'!P28</f>
        <v>688.58</v>
      </c>
      <c r="G29" s="1137">
        <f t="shared" si="3"/>
        <v>0</v>
      </c>
      <c r="H29" s="1087">
        <f t="shared" si="4"/>
        <v>0</v>
      </c>
      <c r="I29" s="1147">
        <f t="shared" si="5"/>
        <v>0</v>
      </c>
      <c r="J29" s="1087">
        <f t="shared" si="6"/>
        <v>0</v>
      </c>
      <c r="K29" s="1087">
        <v>0</v>
      </c>
      <c r="L29" s="1087">
        <f t="shared" si="7"/>
        <v>0</v>
      </c>
      <c r="M29" s="1087">
        <f t="shared" si="8"/>
        <v>0</v>
      </c>
      <c r="N29" s="1086">
        <f>'[8]FY2012-13 Initial'!$K30</f>
        <v>3295</v>
      </c>
      <c r="O29" s="1088">
        <f t="shared" si="9"/>
        <v>0</v>
      </c>
      <c r="P29" s="1155">
        <f t="shared" si="10"/>
        <v>0</v>
      </c>
      <c r="Q29" s="1088">
        <f t="shared" si="11"/>
        <v>0</v>
      </c>
      <c r="R29" s="1088">
        <v>0</v>
      </c>
      <c r="S29" s="1088">
        <f t="shared" si="12"/>
        <v>0</v>
      </c>
      <c r="T29" s="1088">
        <f t="shared" si="13"/>
        <v>0</v>
      </c>
      <c r="U29" s="1089">
        <f t="shared" si="14"/>
        <v>0</v>
      </c>
      <c r="V29" s="1089">
        <f t="shared" si="14"/>
        <v>0</v>
      </c>
    </row>
    <row r="30" spans="1:22">
      <c r="A30" s="1028">
        <v>24</v>
      </c>
      <c r="B30" s="1029" t="s">
        <v>125</v>
      </c>
      <c r="C30" s="1292">
        <v>0</v>
      </c>
      <c r="D30" s="1031">
        <f>'Table 3 Levels 1&amp;2'!AL31</f>
        <v>2649.7787452556372</v>
      </c>
      <c r="E30" s="1137">
        <f t="shared" si="2"/>
        <v>0</v>
      </c>
      <c r="F30" s="1137">
        <f>'Table 4 Level 3'!P29</f>
        <v>854.24999999999989</v>
      </c>
      <c r="G30" s="1137">
        <f t="shared" si="3"/>
        <v>0</v>
      </c>
      <c r="H30" s="1087">
        <f t="shared" si="4"/>
        <v>0</v>
      </c>
      <c r="I30" s="1147">
        <f t="shared" si="5"/>
        <v>0</v>
      </c>
      <c r="J30" s="1087">
        <f t="shared" si="6"/>
        <v>0</v>
      </c>
      <c r="K30" s="1087">
        <v>0</v>
      </c>
      <c r="L30" s="1087">
        <f t="shared" si="7"/>
        <v>0</v>
      </c>
      <c r="M30" s="1087">
        <f t="shared" si="8"/>
        <v>0</v>
      </c>
      <c r="N30" s="1086">
        <f>'[8]FY2012-13 Initial'!$K31</f>
        <v>8769</v>
      </c>
      <c r="O30" s="1088">
        <f t="shared" si="9"/>
        <v>0</v>
      </c>
      <c r="P30" s="1155">
        <f t="shared" si="10"/>
        <v>0</v>
      </c>
      <c r="Q30" s="1088">
        <f t="shared" si="11"/>
        <v>0</v>
      </c>
      <c r="R30" s="1088">
        <v>0</v>
      </c>
      <c r="S30" s="1088">
        <f t="shared" si="12"/>
        <v>0</v>
      </c>
      <c r="T30" s="1088">
        <f t="shared" si="13"/>
        <v>0</v>
      </c>
      <c r="U30" s="1089">
        <f t="shared" si="14"/>
        <v>0</v>
      </c>
      <c r="V30" s="1089">
        <f t="shared" si="14"/>
        <v>0</v>
      </c>
    </row>
    <row r="31" spans="1:22">
      <c r="A31" s="1032">
        <v>25</v>
      </c>
      <c r="B31" s="1033" t="s">
        <v>126</v>
      </c>
      <c r="C31" s="1293">
        <v>0</v>
      </c>
      <c r="D31" s="1035">
        <f>'Table 3 Levels 1&amp;2'!AL32</f>
        <v>3848.3923674564248</v>
      </c>
      <c r="E31" s="1138">
        <f t="shared" si="2"/>
        <v>0</v>
      </c>
      <c r="F31" s="1138">
        <f>'Table 4 Level 3'!P30</f>
        <v>653.73</v>
      </c>
      <c r="G31" s="1138">
        <f t="shared" si="3"/>
        <v>0</v>
      </c>
      <c r="H31" s="1090">
        <f t="shared" si="4"/>
        <v>0</v>
      </c>
      <c r="I31" s="1148">
        <f t="shared" si="5"/>
        <v>0</v>
      </c>
      <c r="J31" s="1090">
        <f t="shared" si="6"/>
        <v>0</v>
      </c>
      <c r="K31" s="1090">
        <v>0</v>
      </c>
      <c r="L31" s="1090">
        <f t="shared" si="7"/>
        <v>0</v>
      </c>
      <c r="M31" s="1090">
        <f t="shared" si="8"/>
        <v>0</v>
      </c>
      <c r="N31" s="1091">
        <f>'[8]FY2012-13 Initial'!$K32</f>
        <v>5187</v>
      </c>
      <c r="O31" s="1092">
        <f t="shared" si="9"/>
        <v>0</v>
      </c>
      <c r="P31" s="1156">
        <f t="shared" si="10"/>
        <v>0</v>
      </c>
      <c r="Q31" s="1092">
        <f t="shared" si="11"/>
        <v>0</v>
      </c>
      <c r="R31" s="1092">
        <v>0</v>
      </c>
      <c r="S31" s="1092">
        <f t="shared" si="12"/>
        <v>0</v>
      </c>
      <c r="T31" s="1092">
        <f t="shared" si="13"/>
        <v>0</v>
      </c>
      <c r="U31" s="1093">
        <f t="shared" si="14"/>
        <v>0</v>
      </c>
      <c r="V31" s="1093">
        <f t="shared" si="14"/>
        <v>0</v>
      </c>
    </row>
    <row r="32" spans="1:22">
      <c r="A32" s="1021">
        <v>26</v>
      </c>
      <c r="B32" s="1022" t="s">
        <v>127</v>
      </c>
      <c r="C32" s="1294">
        <v>0</v>
      </c>
      <c r="D32" s="1024">
        <f>'Table 3 Levels 1&amp;2'!AL33</f>
        <v>3145.9192082835102</v>
      </c>
      <c r="E32" s="1136">
        <f t="shared" si="2"/>
        <v>0</v>
      </c>
      <c r="F32" s="1136">
        <f>'Table 4 Level 3'!P31</f>
        <v>836.83</v>
      </c>
      <c r="G32" s="1136">
        <f t="shared" si="3"/>
        <v>0</v>
      </c>
      <c r="H32" s="1025">
        <f t="shared" si="4"/>
        <v>0</v>
      </c>
      <c r="I32" s="1146">
        <f t="shared" si="5"/>
        <v>0</v>
      </c>
      <c r="J32" s="1025">
        <f t="shared" si="6"/>
        <v>0</v>
      </c>
      <c r="K32" s="1025">
        <v>0</v>
      </c>
      <c r="L32" s="1025">
        <f t="shared" si="7"/>
        <v>0</v>
      </c>
      <c r="M32" s="1025">
        <f t="shared" si="8"/>
        <v>0</v>
      </c>
      <c r="N32" s="1086">
        <f>'[8]FY2012-13 Initial'!$K33</f>
        <v>5197</v>
      </c>
      <c r="O32" s="1026">
        <f t="shared" si="9"/>
        <v>0</v>
      </c>
      <c r="P32" s="1154">
        <f t="shared" si="10"/>
        <v>0</v>
      </c>
      <c r="Q32" s="1026">
        <f t="shared" si="11"/>
        <v>0</v>
      </c>
      <c r="R32" s="1026">
        <v>0</v>
      </c>
      <c r="S32" s="1026">
        <f t="shared" si="12"/>
        <v>0</v>
      </c>
      <c r="T32" s="1026">
        <f t="shared" si="13"/>
        <v>0</v>
      </c>
      <c r="U32" s="1027">
        <f t="shared" si="14"/>
        <v>0</v>
      </c>
      <c r="V32" s="1027">
        <f t="shared" si="14"/>
        <v>0</v>
      </c>
    </row>
    <row r="33" spans="1:22">
      <c r="A33" s="1028">
        <v>27</v>
      </c>
      <c r="B33" s="1029" t="s">
        <v>128</v>
      </c>
      <c r="C33" s="1295">
        <v>0</v>
      </c>
      <c r="D33" s="1037">
        <f>'Table 3 Levels 1&amp;2'!AL34</f>
        <v>5653.5502977926608</v>
      </c>
      <c r="E33" s="1139">
        <f t="shared" si="2"/>
        <v>0</v>
      </c>
      <c r="F33" s="1139">
        <f>'Table 4 Level 3'!P32</f>
        <v>693.06</v>
      </c>
      <c r="G33" s="1139">
        <f t="shared" si="3"/>
        <v>0</v>
      </c>
      <c r="H33" s="1094">
        <f t="shared" si="4"/>
        <v>0</v>
      </c>
      <c r="I33" s="1149">
        <f t="shared" si="5"/>
        <v>0</v>
      </c>
      <c r="J33" s="1094">
        <f t="shared" si="6"/>
        <v>0</v>
      </c>
      <c r="K33" s="1094">
        <v>0</v>
      </c>
      <c r="L33" s="1094">
        <f t="shared" si="7"/>
        <v>0</v>
      </c>
      <c r="M33" s="1094">
        <f t="shared" si="8"/>
        <v>0</v>
      </c>
      <c r="N33" s="1086">
        <f>'[8]FY2012-13 Initial'!$K34</f>
        <v>3073</v>
      </c>
      <c r="O33" s="1088">
        <f t="shared" si="9"/>
        <v>0</v>
      </c>
      <c r="P33" s="1155">
        <f t="shared" si="10"/>
        <v>0</v>
      </c>
      <c r="Q33" s="1088">
        <f t="shared" si="11"/>
        <v>0</v>
      </c>
      <c r="R33" s="1088">
        <v>0</v>
      </c>
      <c r="S33" s="1088">
        <f t="shared" si="12"/>
        <v>0</v>
      </c>
      <c r="T33" s="1088">
        <f t="shared" si="13"/>
        <v>0</v>
      </c>
      <c r="U33" s="1089">
        <f t="shared" si="14"/>
        <v>0</v>
      </c>
      <c r="V33" s="1089">
        <f t="shared" si="14"/>
        <v>0</v>
      </c>
    </row>
    <row r="34" spans="1:22">
      <c r="A34" s="1028">
        <v>28</v>
      </c>
      <c r="B34" s="1029" t="s">
        <v>129</v>
      </c>
      <c r="C34" s="1295">
        <v>0</v>
      </c>
      <c r="D34" s="1037">
        <f>'Table 3 Levels 1&amp;2'!AL35</f>
        <v>3200.5356505169011</v>
      </c>
      <c r="E34" s="1139">
        <f t="shared" si="2"/>
        <v>0</v>
      </c>
      <c r="F34" s="1139">
        <f>'Table 4 Level 3'!P33</f>
        <v>694.4</v>
      </c>
      <c r="G34" s="1139">
        <f t="shared" si="3"/>
        <v>0</v>
      </c>
      <c r="H34" s="1094">
        <f t="shared" si="4"/>
        <v>0</v>
      </c>
      <c r="I34" s="1149">
        <f t="shared" si="5"/>
        <v>0</v>
      </c>
      <c r="J34" s="1094">
        <f t="shared" si="6"/>
        <v>0</v>
      </c>
      <c r="K34" s="1094">
        <v>0</v>
      </c>
      <c r="L34" s="1094">
        <f t="shared" si="7"/>
        <v>0</v>
      </c>
      <c r="M34" s="1094">
        <f t="shared" si="8"/>
        <v>0</v>
      </c>
      <c r="N34" s="1086">
        <f>'[8]FY2012-13 Initial'!$K35</f>
        <v>5082</v>
      </c>
      <c r="O34" s="1088">
        <f t="shared" si="9"/>
        <v>0</v>
      </c>
      <c r="P34" s="1155">
        <f t="shared" si="10"/>
        <v>0</v>
      </c>
      <c r="Q34" s="1088">
        <f t="shared" si="11"/>
        <v>0</v>
      </c>
      <c r="R34" s="1088">
        <v>0</v>
      </c>
      <c r="S34" s="1088">
        <f t="shared" si="12"/>
        <v>0</v>
      </c>
      <c r="T34" s="1088">
        <f t="shared" si="13"/>
        <v>0</v>
      </c>
      <c r="U34" s="1089">
        <f t="shared" si="14"/>
        <v>0</v>
      </c>
      <c r="V34" s="1089">
        <f t="shared" si="14"/>
        <v>0</v>
      </c>
    </row>
    <row r="35" spans="1:22">
      <c r="A35" s="1028">
        <v>29</v>
      </c>
      <c r="B35" s="1029" t="s">
        <v>130</v>
      </c>
      <c r="C35" s="1295">
        <v>0</v>
      </c>
      <c r="D35" s="1037">
        <f>'Table 3 Levels 1&amp;2'!AL36</f>
        <v>3945.0399545376122</v>
      </c>
      <c r="E35" s="1139">
        <f t="shared" si="2"/>
        <v>0</v>
      </c>
      <c r="F35" s="1139">
        <f>'Table 4 Level 3'!P34</f>
        <v>754.94999999999993</v>
      </c>
      <c r="G35" s="1139">
        <f t="shared" si="3"/>
        <v>0</v>
      </c>
      <c r="H35" s="1094">
        <f t="shared" si="4"/>
        <v>0</v>
      </c>
      <c r="I35" s="1149">
        <f t="shared" si="5"/>
        <v>0</v>
      </c>
      <c r="J35" s="1094">
        <f t="shared" si="6"/>
        <v>0</v>
      </c>
      <c r="K35" s="1094">
        <v>0</v>
      </c>
      <c r="L35" s="1094">
        <f t="shared" si="7"/>
        <v>0</v>
      </c>
      <c r="M35" s="1094">
        <f t="shared" si="8"/>
        <v>0</v>
      </c>
      <c r="N35" s="1086">
        <f>'[8]FY2012-13 Initial'!$K36</f>
        <v>4295</v>
      </c>
      <c r="O35" s="1088">
        <f t="shared" si="9"/>
        <v>0</v>
      </c>
      <c r="P35" s="1155">
        <f t="shared" si="10"/>
        <v>0</v>
      </c>
      <c r="Q35" s="1088">
        <f t="shared" si="11"/>
        <v>0</v>
      </c>
      <c r="R35" s="1088">
        <v>0</v>
      </c>
      <c r="S35" s="1088">
        <f t="shared" si="12"/>
        <v>0</v>
      </c>
      <c r="T35" s="1088">
        <f t="shared" si="13"/>
        <v>0</v>
      </c>
      <c r="U35" s="1089">
        <f t="shared" si="14"/>
        <v>0</v>
      </c>
      <c r="V35" s="1089">
        <f t="shared" si="14"/>
        <v>0</v>
      </c>
    </row>
    <row r="36" spans="1:22">
      <c r="A36" s="1032">
        <v>30</v>
      </c>
      <c r="B36" s="1033" t="s">
        <v>131</v>
      </c>
      <c r="C36" s="1296">
        <v>0</v>
      </c>
      <c r="D36" s="1039">
        <f>'Table 3 Levels 1&amp;2'!AL37</f>
        <v>5594.8916667625617</v>
      </c>
      <c r="E36" s="1140">
        <f t="shared" si="2"/>
        <v>0</v>
      </c>
      <c r="F36" s="1140">
        <f>'Table 4 Level 3'!P35</f>
        <v>727.17</v>
      </c>
      <c r="G36" s="1140">
        <f t="shared" si="3"/>
        <v>0</v>
      </c>
      <c r="H36" s="1095">
        <f t="shared" si="4"/>
        <v>0</v>
      </c>
      <c r="I36" s="1150">
        <f t="shared" si="5"/>
        <v>0</v>
      </c>
      <c r="J36" s="1095">
        <f t="shared" si="6"/>
        <v>0</v>
      </c>
      <c r="K36" s="1095">
        <v>0</v>
      </c>
      <c r="L36" s="1095">
        <f t="shared" si="7"/>
        <v>0</v>
      </c>
      <c r="M36" s="1095">
        <f t="shared" si="8"/>
        <v>0</v>
      </c>
      <c r="N36" s="1091">
        <f>'[8]FY2012-13 Initial'!$K37</f>
        <v>3553</v>
      </c>
      <c r="O36" s="1092">
        <f t="shared" si="9"/>
        <v>0</v>
      </c>
      <c r="P36" s="1156">
        <f t="shared" si="10"/>
        <v>0</v>
      </c>
      <c r="Q36" s="1092">
        <f t="shared" si="11"/>
        <v>0</v>
      </c>
      <c r="R36" s="1092">
        <v>0</v>
      </c>
      <c r="S36" s="1092">
        <f t="shared" si="12"/>
        <v>0</v>
      </c>
      <c r="T36" s="1092">
        <f t="shared" si="13"/>
        <v>0</v>
      </c>
      <c r="U36" s="1093">
        <f t="shared" si="14"/>
        <v>0</v>
      </c>
      <c r="V36" s="1093">
        <f t="shared" si="14"/>
        <v>0</v>
      </c>
    </row>
    <row r="37" spans="1:22">
      <c r="A37" s="1021">
        <v>31</v>
      </c>
      <c r="B37" s="1022" t="s">
        <v>132</v>
      </c>
      <c r="C37" s="1297">
        <v>0</v>
      </c>
      <c r="D37" s="1041">
        <f>'Table 3 Levels 1&amp;2'!AL38</f>
        <v>4159.5846806435638</v>
      </c>
      <c r="E37" s="1141">
        <f t="shared" si="2"/>
        <v>0</v>
      </c>
      <c r="F37" s="1141">
        <f>'Table 4 Level 3'!P36</f>
        <v>620.83000000000004</v>
      </c>
      <c r="G37" s="1141">
        <f t="shared" si="3"/>
        <v>0</v>
      </c>
      <c r="H37" s="1096">
        <f t="shared" si="4"/>
        <v>0</v>
      </c>
      <c r="I37" s="1151">
        <f t="shared" si="5"/>
        <v>0</v>
      </c>
      <c r="J37" s="1096">
        <f t="shared" si="6"/>
        <v>0</v>
      </c>
      <c r="K37" s="1096">
        <v>0</v>
      </c>
      <c r="L37" s="1096">
        <f t="shared" si="7"/>
        <v>0</v>
      </c>
      <c r="M37" s="1096">
        <f t="shared" si="8"/>
        <v>0</v>
      </c>
      <c r="N37" s="1086">
        <f>'[8]FY2012-13 Initial'!$K38</f>
        <v>4719</v>
      </c>
      <c r="O37" s="1026">
        <f t="shared" si="9"/>
        <v>0</v>
      </c>
      <c r="P37" s="1154">
        <f t="shared" si="10"/>
        <v>0</v>
      </c>
      <c r="Q37" s="1026">
        <f t="shared" si="11"/>
        <v>0</v>
      </c>
      <c r="R37" s="1026">
        <v>0</v>
      </c>
      <c r="S37" s="1026">
        <f t="shared" si="12"/>
        <v>0</v>
      </c>
      <c r="T37" s="1026">
        <f t="shared" si="13"/>
        <v>0</v>
      </c>
      <c r="U37" s="1027">
        <f t="shared" si="14"/>
        <v>0</v>
      </c>
      <c r="V37" s="1027">
        <f t="shared" si="14"/>
        <v>0</v>
      </c>
    </row>
    <row r="38" spans="1:22">
      <c r="A38" s="1028">
        <v>32</v>
      </c>
      <c r="B38" s="1029" t="s">
        <v>133</v>
      </c>
      <c r="C38" s="1295">
        <v>0</v>
      </c>
      <c r="D38" s="1037">
        <f>'Table 3 Levels 1&amp;2'!AL39</f>
        <v>5475.1436637248598</v>
      </c>
      <c r="E38" s="1139">
        <f t="shared" si="2"/>
        <v>0</v>
      </c>
      <c r="F38" s="1139">
        <f>'Table 4 Level 3'!P37</f>
        <v>559.77</v>
      </c>
      <c r="G38" s="1139">
        <f t="shared" si="3"/>
        <v>0</v>
      </c>
      <c r="H38" s="1094">
        <f t="shared" si="4"/>
        <v>0</v>
      </c>
      <c r="I38" s="1149">
        <f t="shared" si="5"/>
        <v>0</v>
      </c>
      <c r="J38" s="1094">
        <f t="shared" si="6"/>
        <v>0</v>
      </c>
      <c r="K38" s="1094">
        <v>0</v>
      </c>
      <c r="L38" s="1094">
        <f t="shared" si="7"/>
        <v>0</v>
      </c>
      <c r="M38" s="1094">
        <f t="shared" si="8"/>
        <v>0</v>
      </c>
      <c r="N38" s="1086">
        <f>'[8]FY2012-13 Initial'!$K39</f>
        <v>1979</v>
      </c>
      <c r="O38" s="1088">
        <f t="shared" si="9"/>
        <v>0</v>
      </c>
      <c r="P38" s="1155">
        <f t="shared" si="10"/>
        <v>0</v>
      </c>
      <c r="Q38" s="1088">
        <f t="shared" si="11"/>
        <v>0</v>
      </c>
      <c r="R38" s="1088">
        <v>0</v>
      </c>
      <c r="S38" s="1088">
        <f t="shared" si="12"/>
        <v>0</v>
      </c>
      <c r="T38" s="1088">
        <f t="shared" si="13"/>
        <v>0</v>
      </c>
      <c r="U38" s="1089">
        <f t="shared" si="14"/>
        <v>0</v>
      </c>
      <c r="V38" s="1089">
        <f t="shared" si="14"/>
        <v>0</v>
      </c>
    </row>
    <row r="39" spans="1:22">
      <c r="A39" s="1028">
        <v>33</v>
      </c>
      <c r="B39" s="1029" t="s">
        <v>134</v>
      </c>
      <c r="C39" s="1295">
        <v>0</v>
      </c>
      <c r="D39" s="1037">
        <f>'Table 3 Levels 1&amp;2'!AL40</f>
        <v>5397.5678422891451</v>
      </c>
      <c r="E39" s="1139">
        <f t="shared" si="2"/>
        <v>0</v>
      </c>
      <c r="F39" s="1139">
        <f>'Table 4 Level 3'!P38</f>
        <v>655.31000000000006</v>
      </c>
      <c r="G39" s="1139">
        <f t="shared" si="3"/>
        <v>0</v>
      </c>
      <c r="H39" s="1094">
        <f t="shared" si="4"/>
        <v>0</v>
      </c>
      <c r="I39" s="1149">
        <f t="shared" si="5"/>
        <v>0</v>
      </c>
      <c r="J39" s="1094">
        <f t="shared" si="6"/>
        <v>0</v>
      </c>
      <c r="K39" s="1094">
        <v>0</v>
      </c>
      <c r="L39" s="1094">
        <f t="shared" si="7"/>
        <v>0</v>
      </c>
      <c r="M39" s="1094">
        <f t="shared" si="8"/>
        <v>0</v>
      </c>
      <c r="N39" s="1086">
        <f>'[8]FY2012-13 Initial'!$K40</f>
        <v>3055</v>
      </c>
      <c r="O39" s="1088">
        <f t="shared" si="9"/>
        <v>0</v>
      </c>
      <c r="P39" s="1155">
        <f t="shared" si="10"/>
        <v>0</v>
      </c>
      <c r="Q39" s="1088">
        <f t="shared" si="11"/>
        <v>0</v>
      </c>
      <c r="R39" s="1088">
        <v>0</v>
      </c>
      <c r="S39" s="1088">
        <f t="shared" si="12"/>
        <v>0</v>
      </c>
      <c r="T39" s="1088">
        <f t="shared" si="13"/>
        <v>0</v>
      </c>
      <c r="U39" s="1089">
        <f t="shared" si="14"/>
        <v>0</v>
      </c>
      <c r="V39" s="1089">
        <f t="shared" si="14"/>
        <v>0</v>
      </c>
    </row>
    <row r="40" spans="1:22">
      <c r="A40" s="1028">
        <v>34</v>
      </c>
      <c r="B40" s="1029" t="s">
        <v>135</v>
      </c>
      <c r="C40" s="1295">
        <v>0</v>
      </c>
      <c r="D40" s="1037">
        <f>'Table 3 Levels 1&amp;2'!AL41</f>
        <v>5843.9642210290731</v>
      </c>
      <c r="E40" s="1139">
        <f t="shared" si="2"/>
        <v>0</v>
      </c>
      <c r="F40" s="1139">
        <f>'Table 4 Level 3'!P39</f>
        <v>644.11000000000013</v>
      </c>
      <c r="G40" s="1139">
        <f t="shared" si="3"/>
        <v>0</v>
      </c>
      <c r="H40" s="1094">
        <f t="shared" si="4"/>
        <v>0</v>
      </c>
      <c r="I40" s="1149">
        <f t="shared" si="5"/>
        <v>0</v>
      </c>
      <c r="J40" s="1094">
        <f t="shared" si="6"/>
        <v>0</v>
      </c>
      <c r="K40" s="1094">
        <v>0</v>
      </c>
      <c r="L40" s="1094">
        <f t="shared" si="7"/>
        <v>0</v>
      </c>
      <c r="M40" s="1094">
        <f t="shared" si="8"/>
        <v>0</v>
      </c>
      <c r="N40" s="1086">
        <f>'[8]FY2012-13 Initial'!$K41</f>
        <v>2782</v>
      </c>
      <c r="O40" s="1088">
        <f t="shared" si="9"/>
        <v>0</v>
      </c>
      <c r="P40" s="1155">
        <f t="shared" si="10"/>
        <v>0</v>
      </c>
      <c r="Q40" s="1088">
        <f t="shared" si="11"/>
        <v>0</v>
      </c>
      <c r="R40" s="1088">
        <v>0</v>
      </c>
      <c r="S40" s="1088">
        <f t="shared" si="12"/>
        <v>0</v>
      </c>
      <c r="T40" s="1088">
        <f t="shared" si="13"/>
        <v>0</v>
      </c>
      <c r="U40" s="1089">
        <f t="shared" si="14"/>
        <v>0</v>
      </c>
      <c r="V40" s="1089">
        <f t="shared" si="14"/>
        <v>0</v>
      </c>
    </row>
    <row r="41" spans="1:22">
      <c r="A41" s="1032">
        <v>35</v>
      </c>
      <c r="B41" s="1033" t="s">
        <v>136</v>
      </c>
      <c r="C41" s="1296">
        <v>0</v>
      </c>
      <c r="D41" s="1039">
        <f>'Table 3 Levels 1&amp;2'!AL42</f>
        <v>4830.9633412658623</v>
      </c>
      <c r="E41" s="1140">
        <f t="shared" si="2"/>
        <v>0</v>
      </c>
      <c r="F41" s="1140">
        <f>'Table 4 Level 3'!P40</f>
        <v>537.96</v>
      </c>
      <c r="G41" s="1140">
        <f t="shared" si="3"/>
        <v>0</v>
      </c>
      <c r="H41" s="1095">
        <f t="shared" si="4"/>
        <v>0</v>
      </c>
      <c r="I41" s="1150">
        <f t="shared" si="5"/>
        <v>0</v>
      </c>
      <c r="J41" s="1095">
        <f t="shared" si="6"/>
        <v>0</v>
      </c>
      <c r="K41" s="1095">
        <v>0</v>
      </c>
      <c r="L41" s="1095">
        <f t="shared" si="7"/>
        <v>0</v>
      </c>
      <c r="M41" s="1095">
        <f t="shared" si="8"/>
        <v>0</v>
      </c>
      <c r="N41" s="1091">
        <f>'[8]FY2012-13 Initial'!$K42</f>
        <v>3175</v>
      </c>
      <c r="O41" s="1092">
        <f t="shared" si="9"/>
        <v>0</v>
      </c>
      <c r="P41" s="1156">
        <f t="shared" si="10"/>
        <v>0</v>
      </c>
      <c r="Q41" s="1092">
        <f t="shared" si="11"/>
        <v>0</v>
      </c>
      <c r="R41" s="1092">
        <v>0</v>
      </c>
      <c r="S41" s="1092">
        <f t="shared" si="12"/>
        <v>0</v>
      </c>
      <c r="T41" s="1092">
        <f t="shared" si="13"/>
        <v>0</v>
      </c>
      <c r="U41" s="1093">
        <f t="shared" si="14"/>
        <v>0</v>
      </c>
      <c r="V41" s="1093">
        <f t="shared" si="14"/>
        <v>0</v>
      </c>
    </row>
    <row r="42" spans="1:22">
      <c r="A42" s="1021">
        <v>36</v>
      </c>
      <c r="B42" s="1022" t="s">
        <v>137</v>
      </c>
      <c r="C42" s="1297">
        <v>0</v>
      </c>
      <c r="D42" s="1041">
        <f>'Table 3 Levels 1&amp;2'!AL43</f>
        <v>3493.4615493208294</v>
      </c>
      <c r="E42" s="1141">
        <f t="shared" si="2"/>
        <v>0</v>
      </c>
      <c r="F42" s="1141">
        <f>'Table 5B1_RSD_Orleans'!F78</f>
        <v>746.0335616438357</v>
      </c>
      <c r="G42" s="1141">
        <f t="shared" si="3"/>
        <v>0</v>
      </c>
      <c r="H42" s="1096">
        <f t="shared" si="4"/>
        <v>0</v>
      </c>
      <c r="I42" s="1151">
        <f t="shared" si="5"/>
        <v>0</v>
      </c>
      <c r="J42" s="1096">
        <f t="shared" si="6"/>
        <v>0</v>
      </c>
      <c r="K42" s="1096">
        <v>0</v>
      </c>
      <c r="L42" s="1096">
        <f t="shared" si="7"/>
        <v>0</v>
      </c>
      <c r="M42" s="1096">
        <f t="shared" si="8"/>
        <v>0</v>
      </c>
      <c r="N42" s="1086">
        <f>'[8]FY2012-13 Initial'!$K43</f>
        <v>4785</v>
      </c>
      <c r="O42" s="1026">
        <f t="shared" si="9"/>
        <v>0</v>
      </c>
      <c r="P42" s="1154">
        <f t="shared" si="10"/>
        <v>0</v>
      </c>
      <c r="Q42" s="1026">
        <f t="shared" si="11"/>
        <v>0</v>
      </c>
      <c r="R42" s="1026">
        <v>0</v>
      </c>
      <c r="S42" s="1026">
        <f t="shared" si="12"/>
        <v>0</v>
      </c>
      <c r="T42" s="1026">
        <f t="shared" si="13"/>
        <v>0</v>
      </c>
      <c r="U42" s="1027">
        <f t="shared" si="14"/>
        <v>0</v>
      </c>
      <c r="V42" s="1027">
        <f t="shared" si="14"/>
        <v>0</v>
      </c>
    </row>
    <row r="43" spans="1:22">
      <c r="A43" s="1028">
        <v>37</v>
      </c>
      <c r="B43" s="1029" t="s">
        <v>138</v>
      </c>
      <c r="C43" s="1295">
        <v>0</v>
      </c>
      <c r="D43" s="1037">
        <f>'Table 3 Levels 1&amp;2'!AL44</f>
        <v>5484.3026094077886</v>
      </c>
      <c r="E43" s="1139">
        <f t="shared" si="2"/>
        <v>0</v>
      </c>
      <c r="F43" s="1139">
        <f>'Table 4 Level 3'!P42</f>
        <v>653.61</v>
      </c>
      <c r="G43" s="1139">
        <f t="shared" si="3"/>
        <v>0</v>
      </c>
      <c r="H43" s="1094">
        <f t="shared" si="4"/>
        <v>0</v>
      </c>
      <c r="I43" s="1149">
        <f t="shared" si="5"/>
        <v>0</v>
      </c>
      <c r="J43" s="1094">
        <f t="shared" si="6"/>
        <v>0</v>
      </c>
      <c r="K43" s="1094">
        <v>0</v>
      </c>
      <c r="L43" s="1094">
        <f t="shared" si="7"/>
        <v>0</v>
      </c>
      <c r="M43" s="1094">
        <f t="shared" si="8"/>
        <v>0</v>
      </c>
      <c r="N43" s="1086">
        <f>'[8]FY2012-13 Initial'!$K44</f>
        <v>3112</v>
      </c>
      <c r="O43" s="1088">
        <f t="shared" si="9"/>
        <v>0</v>
      </c>
      <c r="P43" s="1155">
        <f t="shared" si="10"/>
        <v>0</v>
      </c>
      <c r="Q43" s="1088">
        <f t="shared" si="11"/>
        <v>0</v>
      </c>
      <c r="R43" s="1088">
        <v>0</v>
      </c>
      <c r="S43" s="1088">
        <f t="shared" si="12"/>
        <v>0</v>
      </c>
      <c r="T43" s="1088">
        <f t="shared" si="13"/>
        <v>0</v>
      </c>
      <c r="U43" s="1089">
        <f t="shared" si="14"/>
        <v>0</v>
      </c>
      <c r="V43" s="1089">
        <f t="shared" si="14"/>
        <v>0</v>
      </c>
    </row>
    <row r="44" spans="1:22">
      <c r="A44" s="1028">
        <v>38</v>
      </c>
      <c r="B44" s="1029" t="s">
        <v>139</v>
      </c>
      <c r="C44" s="1295">
        <v>0</v>
      </c>
      <c r="D44" s="1037">
        <f>'Table 3 Levels 1&amp;2'!AL45</f>
        <v>2191.7415364583335</v>
      </c>
      <c r="E44" s="1139">
        <f t="shared" si="2"/>
        <v>0</v>
      </c>
      <c r="F44" s="1139">
        <f>'Table 4 Level 3'!P43</f>
        <v>829.92000000000007</v>
      </c>
      <c r="G44" s="1139">
        <f t="shared" si="3"/>
        <v>0</v>
      </c>
      <c r="H44" s="1094">
        <f t="shared" si="4"/>
        <v>0</v>
      </c>
      <c r="I44" s="1149">
        <f t="shared" si="5"/>
        <v>0</v>
      </c>
      <c r="J44" s="1094">
        <f t="shared" si="6"/>
        <v>0</v>
      </c>
      <c r="K44" s="1094">
        <v>0</v>
      </c>
      <c r="L44" s="1094">
        <f t="shared" si="7"/>
        <v>0</v>
      </c>
      <c r="M44" s="1094">
        <f t="shared" si="8"/>
        <v>0</v>
      </c>
      <c r="N44" s="1086">
        <f>'[8]FY2012-13 Initial'!$K45</f>
        <v>9771</v>
      </c>
      <c r="O44" s="1088">
        <f t="shared" si="9"/>
        <v>0</v>
      </c>
      <c r="P44" s="1155">
        <f t="shared" si="10"/>
        <v>0</v>
      </c>
      <c r="Q44" s="1088">
        <f t="shared" si="11"/>
        <v>0</v>
      </c>
      <c r="R44" s="1088">
        <v>0</v>
      </c>
      <c r="S44" s="1088">
        <f t="shared" si="12"/>
        <v>0</v>
      </c>
      <c r="T44" s="1088">
        <f t="shared" si="13"/>
        <v>0</v>
      </c>
      <c r="U44" s="1089">
        <f t="shared" si="14"/>
        <v>0</v>
      </c>
      <c r="V44" s="1089">
        <f t="shared" si="14"/>
        <v>0</v>
      </c>
    </row>
    <row r="45" spans="1:22">
      <c r="A45" s="1028">
        <v>39</v>
      </c>
      <c r="B45" s="1029" t="s">
        <v>140</v>
      </c>
      <c r="C45" s="1295">
        <v>0</v>
      </c>
      <c r="D45" s="1037">
        <f>'Table 3 Levels 1&amp;2'!AL46</f>
        <v>3686.1886996918806</v>
      </c>
      <c r="E45" s="1139">
        <f t="shared" si="2"/>
        <v>0</v>
      </c>
      <c r="F45" s="1139">
        <f>'Table 5B2_RSD_LA'!F21</f>
        <v>779.65573042776441</v>
      </c>
      <c r="G45" s="1139">
        <f t="shared" si="3"/>
        <v>0</v>
      </c>
      <c r="H45" s="1094">
        <f t="shared" si="4"/>
        <v>0</v>
      </c>
      <c r="I45" s="1149">
        <f t="shared" si="5"/>
        <v>0</v>
      </c>
      <c r="J45" s="1094">
        <f t="shared" si="6"/>
        <v>0</v>
      </c>
      <c r="K45" s="1094">
        <v>0</v>
      </c>
      <c r="L45" s="1094">
        <f t="shared" si="7"/>
        <v>0</v>
      </c>
      <c r="M45" s="1094">
        <f t="shared" si="8"/>
        <v>0</v>
      </c>
      <c r="N45" s="1086">
        <f>'[8]FY2012-13 Initial'!$K46</f>
        <v>4190</v>
      </c>
      <c r="O45" s="1088">
        <f t="shared" si="9"/>
        <v>0</v>
      </c>
      <c r="P45" s="1155">
        <f t="shared" si="10"/>
        <v>0</v>
      </c>
      <c r="Q45" s="1088">
        <f t="shared" si="11"/>
        <v>0</v>
      </c>
      <c r="R45" s="1088">
        <v>0</v>
      </c>
      <c r="S45" s="1088">
        <f t="shared" si="12"/>
        <v>0</v>
      </c>
      <c r="T45" s="1088">
        <f t="shared" si="13"/>
        <v>0</v>
      </c>
      <c r="U45" s="1089">
        <f t="shared" si="14"/>
        <v>0</v>
      </c>
      <c r="V45" s="1089">
        <f t="shared" si="14"/>
        <v>0</v>
      </c>
    </row>
    <row r="46" spans="1:22">
      <c r="A46" s="1032">
        <v>40</v>
      </c>
      <c r="B46" s="1033" t="s">
        <v>141</v>
      </c>
      <c r="C46" s="1296">
        <v>0</v>
      </c>
      <c r="D46" s="1039">
        <f>'Table 3 Levels 1&amp;2'!AL47</f>
        <v>4879.0185326187402</v>
      </c>
      <c r="E46" s="1140">
        <f t="shared" si="2"/>
        <v>0</v>
      </c>
      <c r="F46" s="1140">
        <f>'Table 4 Level 3'!P45</f>
        <v>700.2700000000001</v>
      </c>
      <c r="G46" s="1140">
        <f t="shared" si="3"/>
        <v>0</v>
      </c>
      <c r="H46" s="1095">
        <f t="shared" si="4"/>
        <v>0</v>
      </c>
      <c r="I46" s="1150">
        <f t="shared" si="5"/>
        <v>0</v>
      </c>
      <c r="J46" s="1095">
        <f t="shared" si="6"/>
        <v>0</v>
      </c>
      <c r="K46" s="1095">
        <v>0</v>
      </c>
      <c r="L46" s="1095">
        <f t="shared" si="7"/>
        <v>0</v>
      </c>
      <c r="M46" s="1095">
        <f t="shared" si="8"/>
        <v>0</v>
      </c>
      <c r="N46" s="1091">
        <f>'[8]FY2012-13 Initial'!$K47</f>
        <v>2887</v>
      </c>
      <c r="O46" s="1092">
        <f t="shared" si="9"/>
        <v>0</v>
      </c>
      <c r="P46" s="1156">
        <f t="shared" si="10"/>
        <v>0</v>
      </c>
      <c r="Q46" s="1092">
        <f t="shared" si="11"/>
        <v>0</v>
      </c>
      <c r="R46" s="1092">
        <v>0</v>
      </c>
      <c r="S46" s="1092">
        <f t="shared" si="12"/>
        <v>0</v>
      </c>
      <c r="T46" s="1092">
        <f t="shared" si="13"/>
        <v>0</v>
      </c>
      <c r="U46" s="1093">
        <f t="shared" si="14"/>
        <v>0</v>
      </c>
      <c r="V46" s="1093">
        <f t="shared" si="14"/>
        <v>0</v>
      </c>
    </row>
    <row r="47" spans="1:22">
      <c r="A47" s="1021">
        <v>41</v>
      </c>
      <c r="B47" s="1022" t="s">
        <v>142</v>
      </c>
      <c r="C47" s="1297">
        <v>0</v>
      </c>
      <c r="D47" s="1041">
        <f>'Table 3 Levels 1&amp;2'!AL48</f>
        <v>1608.4303482587065</v>
      </c>
      <c r="E47" s="1141">
        <f t="shared" si="2"/>
        <v>0</v>
      </c>
      <c r="F47" s="1141">
        <f>'Table 4 Level 3'!P46</f>
        <v>886.22</v>
      </c>
      <c r="G47" s="1141">
        <f t="shared" si="3"/>
        <v>0</v>
      </c>
      <c r="H47" s="1096">
        <f t="shared" si="4"/>
        <v>0</v>
      </c>
      <c r="I47" s="1151">
        <f t="shared" si="5"/>
        <v>0</v>
      </c>
      <c r="J47" s="1096">
        <f t="shared" si="6"/>
        <v>0</v>
      </c>
      <c r="K47" s="1096">
        <v>0</v>
      </c>
      <c r="L47" s="1096">
        <f t="shared" si="7"/>
        <v>0</v>
      </c>
      <c r="M47" s="1096">
        <f t="shared" si="8"/>
        <v>0</v>
      </c>
      <c r="N47" s="1086">
        <f>'[8]FY2012-13 Initial'!$K48</f>
        <v>12470</v>
      </c>
      <c r="O47" s="1026">
        <f t="shared" si="9"/>
        <v>0</v>
      </c>
      <c r="P47" s="1154">
        <f t="shared" si="10"/>
        <v>0</v>
      </c>
      <c r="Q47" s="1026">
        <f t="shared" si="11"/>
        <v>0</v>
      </c>
      <c r="R47" s="1026">
        <v>0</v>
      </c>
      <c r="S47" s="1026">
        <f t="shared" si="12"/>
        <v>0</v>
      </c>
      <c r="T47" s="1026">
        <f t="shared" si="13"/>
        <v>0</v>
      </c>
      <c r="U47" s="1027">
        <f t="shared" si="14"/>
        <v>0</v>
      </c>
      <c r="V47" s="1027">
        <f t="shared" si="14"/>
        <v>0</v>
      </c>
    </row>
    <row r="48" spans="1:22">
      <c r="A48" s="1028">
        <v>42</v>
      </c>
      <c r="B48" s="1029" t="s">
        <v>143</v>
      </c>
      <c r="C48" s="1295">
        <v>0</v>
      </c>
      <c r="D48" s="1037">
        <f>'Table 3 Levels 1&amp;2'!AL49</f>
        <v>5260.3047779801664</v>
      </c>
      <c r="E48" s="1139">
        <f t="shared" si="2"/>
        <v>0</v>
      </c>
      <c r="F48" s="1139">
        <f>'Table 4 Level 3'!P47</f>
        <v>534.28</v>
      </c>
      <c r="G48" s="1139">
        <f t="shared" si="3"/>
        <v>0</v>
      </c>
      <c r="H48" s="1094">
        <f t="shared" si="4"/>
        <v>0</v>
      </c>
      <c r="I48" s="1149">
        <f t="shared" si="5"/>
        <v>0</v>
      </c>
      <c r="J48" s="1094">
        <f t="shared" si="6"/>
        <v>0</v>
      </c>
      <c r="K48" s="1094">
        <v>0</v>
      </c>
      <c r="L48" s="1094">
        <f t="shared" si="7"/>
        <v>0</v>
      </c>
      <c r="M48" s="1094">
        <f t="shared" si="8"/>
        <v>0</v>
      </c>
      <c r="N48" s="1086">
        <f>'[8]FY2012-13 Initial'!$K49</f>
        <v>2353</v>
      </c>
      <c r="O48" s="1088">
        <f t="shared" si="9"/>
        <v>0</v>
      </c>
      <c r="P48" s="1155">
        <f t="shared" si="10"/>
        <v>0</v>
      </c>
      <c r="Q48" s="1088">
        <f t="shared" si="11"/>
        <v>0</v>
      </c>
      <c r="R48" s="1088">
        <v>0</v>
      </c>
      <c r="S48" s="1088">
        <f t="shared" si="12"/>
        <v>0</v>
      </c>
      <c r="T48" s="1088">
        <f t="shared" si="13"/>
        <v>0</v>
      </c>
      <c r="U48" s="1089">
        <f t="shared" si="14"/>
        <v>0</v>
      </c>
      <c r="V48" s="1089">
        <f t="shared" si="14"/>
        <v>0</v>
      </c>
    </row>
    <row r="49" spans="1:22">
      <c r="A49" s="1028">
        <v>43</v>
      </c>
      <c r="B49" s="1029" t="s">
        <v>144</v>
      </c>
      <c r="C49" s="1295">
        <v>0</v>
      </c>
      <c r="D49" s="1037">
        <f>'Table 3 Levels 1&amp;2'!AL50</f>
        <v>5587.3492327608728</v>
      </c>
      <c r="E49" s="1139">
        <f t="shared" si="2"/>
        <v>0</v>
      </c>
      <c r="F49" s="1139">
        <f>'Table 4 Level 3'!P48</f>
        <v>574.6099999999999</v>
      </c>
      <c r="G49" s="1139">
        <f t="shared" si="3"/>
        <v>0</v>
      </c>
      <c r="H49" s="1094">
        <f t="shared" si="4"/>
        <v>0</v>
      </c>
      <c r="I49" s="1149">
        <f t="shared" si="5"/>
        <v>0</v>
      </c>
      <c r="J49" s="1094">
        <f t="shared" si="6"/>
        <v>0</v>
      </c>
      <c r="K49" s="1094">
        <v>0</v>
      </c>
      <c r="L49" s="1094">
        <f t="shared" si="7"/>
        <v>0</v>
      </c>
      <c r="M49" s="1094">
        <f t="shared" si="8"/>
        <v>0</v>
      </c>
      <c r="N49" s="1086">
        <f>'[8]FY2012-13 Initial'!$K50</f>
        <v>5599</v>
      </c>
      <c r="O49" s="1088">
        <f t="shared" si="9"/>
        <v>0</v>
      </c>
      <c r="P49" s="1155">
        <f t="shared" si="10"/>
        <v>0</v>
      </c>
      <c r="Q49" s="1088">
        <f t="shared" si="11"/>
        <v>0</v>
      </c>
      <c r="R49" s="1088">
        <v>0</v>
      </c>
      <c r="S49" s="1088">
        <f t="shared" si="12"/>
        <v>0</v>
      </c>
      <c r="T49" s="1088">
        <f t="shared" si="13"/>
        <v>0</v>
      </c>
      <c r="U49" s="1089">
        <f t="shared" si="14"/>
        <v>0</v>
      </c>
      <c r="V49" s="1089">
        <f t="shared" si="14"/>
        <v>0</v>
      </c>
    </row>
    <row r="50" spans="1:22">
      <c r="A50" s="1028">
        <v>44</v>
      </c>
      <c r="B50" s="1029" t="s">
        <v>145</v>
      </c>
      <c r="C50" s="1295">
        <v>0</v>
      </c>
      <c r="D50" s="1037">
        <f>'Table 3 Levels 1&amp;2'!AL51</f>
        <v>4113.1787591918992</v>
      </c>
      <c r="E50" s="1139">
        <f t="shared" si="2"/>
        <v>0</v>
      </c>
      <c r="F50" s="1139">
        <f>'Table 4 Level 3'!P49</f>
        <v>663.16000000000008</v>
      </c>
      <c r="G50" s="1139">
        <f t="shared" si="3"/>
        <v>0</v>
      </c>
      <c r="H50" s="1094">
        <f t="shared" si="4"/>
        <v>0</v>
      </c>
      <c r="I50" s="1149">
        <f t="shared" si="5"/>
        <v>0</v>
      </c>
      <c r="J50" s="1094">
        <f t="shared" si="6"/>
        <v>0</v>
      </c>
      <c r="K50" s="1094">
        <v>0</v>
      </c>
      <c r="L50" s="1094">
        <f t="shared" si="7"/>
        <v>0</v>
      </c>
      <c r="M50" s="1094">
        <f t="shared" si="8"/>
        <v>0</v>
      </c>
      <c r="N50" s="1086">
        <f>'[8]FY2012-13 Initial'!$K51</f>
        <v>4661</v>
      </c>
      <c r="O50" s="1088">
        <f t="shared" si="9"/>
        <v>0</v>
      </c>
      <c r="P50" s="1155">
        <f t="shared" si="10"/>
        <v>0</v>
      </c>
      <c r="Q50" s="1088">
        <f t="shared" si="11"/>
        <v>0</v>
      </c>
      <c r="R50" s="1088">
        <v>0</v>
      </c>
      <c r="S50" s="1088">
        <f t="shared" si="12"/>
        <v>0</v>
      </c>
      <c r="T50" s="1088">
        <f t="shared" si="13"/>
        <v>0</v>
      </c>
      <c r="U50" s="1089">
        <f t="shared" si="14"/>
        <v>0</v>
      </c>
      <c r="V50" s="1089">
        <f t="shared" si="14"/>
        <v>0</v>
      </c>
    </row>
    <row r="51" spans="1:22">
      <c r="A51" s="1032">
        <v>45</v>
      </c>
      <c r="B51" s="1033" t="s">
        <v>146</v>
      </c>
      <c r="C51" s="1296">
        <v>0</v>
      </c>
      <c r="D51" s="1039">
        <f>'Table 3 Levels 1&amp;2'!AL52</f>
        <v>2414.8479898164846</v>
      </c>
      <c r="E51" s="1140">
        <f t="shared" si="2"/>
        <v>0</v>
      </c>
      <c r="F51" s="1140">
        <f>'Table 4 Level 3'!P50</f>
        <v>753.96000000000015</v>
      </c>
      <c r="G51" s="1140">
        <f t="shared" si="3"/>
        <v>0</v>
      </c>
      <c r="H51" s="1095">
        <f t="shared" si="4"/>
        <v>0</v>
      </c>
      <c r="I51" s="1150">
        <f t="shared" si="5"/>
        <v>0</v>
      </c>
      <c r="J51" s="1095">
        <f t="shared" si="6"/>
        <v>0</v>
      </c>
      <c r="K51" s="1095">
        <v>0</v>
      </c>
      <c r="L51" s="1095">
        <f t="shared" si="7"/>
        <v>0</v>
      </c>
      <c r="M51" s="1095">
        <f t="shared" si="8"/>
        <v>0</v>
      </c>
      <c r="N51" s="1091">
        <f>'[8]FY2012-13 Initial'!$K52</f>
        <v>11650</v>
      </c>
      <c r="O51" s="1092">
        <f t="shared" si="9"/>
        <v>0</v>
      </c>
      <c r="P51" s="1156">
        <f t="shared" si="10"/>
        <v>0</v>
      </c>
      <c r="Q51" s="1092">
        <f t="shared" si="11"/>
        <v>0</v>
      </c>
      <c r="R51" s="1092">
        <v>0</v>
      </c>
      <c r="S51" s="1092">
        <f t="shared" si="12"/>
        <v>0</v>
      </c>
      <c r="T51" s="1092">
        <f t="shared" si="13"/>
        <v>0</v>
      </c>
      <c r="U51" s="1093">
        <f t="shared" si="14"/>
        <v>0</v>
      </c>
      <c r="V51" s="1093">
        <f t="shared" si="14"/>
        <v>0</v>
      </c>
    </row>
    <row r="52" spans="1:22">
      <c r="A52" s="1021">
        <v>46</v>
      </c>
      <c r="B52" s="1022" t="s">
        <v>147</v>
      </c>
      <c r="C52" s="1297">
        <v>0</v>
      </c>
      <c r="D52" s="1041">
        <f>'Table 3 Levels 1&amp;2'!AL53</f>
        <v>5765.0314518803261</v>
      </c>
      <c r="E52" s="1141">
        <f t="shared" si="2"/>
        <v>0</v>
      </c>
      <c r="F52" s="1141">
        <f>'Table 4 Level 3'!P51</f>
        <v>728.06</v>
      </c>
      <c r="G52" s="1141">
        <f t="shared" si="3"/>
        <v>0</v>
      </c>
      <c r="H52" s="1096">
        <f t="shared" si="4"/>
        <v>0</v>
      </c>
      <c r="I52" s="1151">
        <f t="shared" si="5"/>
        <v>0</v>
      </c>
      <c r="J52" s="1096">
        <f t="shared" si="6"/>
        <v>0</v>
      </c>
      <c r="K52" s="1096">
        <v>0</v>
      </c>
      <c r="L52" s="1096">
        <f t="shared" si="7"/>
        <v>0</v>
      </c>
      <c r="M52" s="1096">
        <f t="shared" si="8"/>
        <v>0</v>
      </c>
      <c r="N52" s="1086">
        <f>'[8]FY2012-13 Initial'!$K53</f>
        <v>1789</v>
      </c>
      <c r="O52" s="1026">
        <f t="shared" si="9"/>
        <v>0</v>
      </c>
      <c r="P52" s="1154">
        <f t="shared" si="10"/>
        <v>0</v>
      </c>
      <c r="Q52" s="1026">
        <f t="shared" si="11"/>
        <v>0</v>
      </c>
      <c r="R52" s="1026">
        <v>0</v>
      </c>
      <c r="S52" s="1026">
        <f t="shared" si="12"/>
        <v>0</v>
      </c>
      <c r="T52" s="1026">
        <f t="shared" si="13"/>
        <v>0</v>
      </c>
      <c r="U52" s="1027">
        <f t="shared" si="14"/>
        <v>0</v>
      </c>
      <c r="V52" s="1027">
        <f t="shared" si="14"/>
        <v>0</v>
      </c>
    </row>
    <row r="53" spans="1:22">
      <c r="A53" s="1028">
        <v>47</v>
      </c>
      <c r="B53" s="1029" t="s">
        <v>148</v>
      </c>
      <c r="C53" s="1295">
        <v>0</v>
      </c>
      <c r="D53" s="1037">
        <f>'Table 3 Levels 1&amp;2'!AL54</f>
        <v>3186.1712081166847</v>
      </c>
      <c r="E53" s="1139">
        <f t="shared" si="2"/>
        <v>0</v>
      </c>
      <c r="F53" s="1139">
        <f>'Table 4 Level 3'!P52</f>
        <v>910.76</v>
      </c>
      <c r="G53" s="1139">
        <f t="shared" si="3"/>
        <v>0</v>
      </c>
      <c r="H53" s="1094">
        <f t="shared" si="4"/>
        <v>0</v>
      </c>
      <c r="I53" s="1149">
        <f t="shared" si="5"/>
        <v>0</v>
      </c>
      <c r="J53" s="1094">
        <f t="shared" si="6"/>
        <v>0</v>
      </c>
      <c r="K53" s="1094">
        <v>0</v>
      </c>
      <c r="L53" s="1094">
        <f t="shared" si="7"/>
        <v>0</v>
      </c>
      <c r="M53" s="1094">
        <f t="shared" si="8"/>
        <v>0</v>
      </c>
      <c r="N53" s="1086">
        <f>'[8]FY2012-13 Initial'!$K54</f>
        <v>9947</v>
      </c>
      <c r="O53" s="1088">
        <f t="shared" si="9"/>
        <v>0</v>
      </c>
      <c r="P53" s="1155">
        <f t="shared" si="10"/>
        <v>0</v>
      </c>
      <c r="Q53" s="1088">
        <f t="shared" si="11"/>
        <v>0</v>
      </c>
      <c r="R53" s="1088">
        <v>0</v>
      </c>
      <c r="S53" s="1088">
        <f t="shared" si="12"/>
        <v>0</v>
      </c>
      <c r="T53" s="1088">
        <f t="shared" si="13"/>
        <v>0</v>
      </c>
      <c r="U53" s="1089">
        <f t="shared" si="14"/>
        <v>0</v>
      </c>
      <c r="V53" s="1089">
        <f t="shared" si="14"/>
        <v>0</v>
      </c>
    </row>
    <row r="54" spans="1:22">
      <c r="A54" s="1028">
        <v>48</v>
      </c>
      <c r="B54" s="1029" t="s">
        <v>222</v>
      </c>
      <c r="C54" s="1295">
        <v>0</v>
      </c>
      <c r="D54" s="1037">
        <f>'Table 3 Levels 1&amp;2'!AL55</f>
        <v>4260.4872196136057</v>
      </c>
      <c r="E54" s="1139">
        <f t="shared" si="2"/>
        <v>0</v>
      </c>
      <c r="F54" s="1139">
        <f>'Table 4 Level 3'!P53</f>
        <v>871.07</v>
      </c>
      <c r="G54" s="1139">
        <f t="shared" si="3"/>
        <v>0</v>
      </c>
      <c r="H54" s="1094">
        <f t="shared" si="4"/>
        <v>0</v>
      </c>
      <c r="I54" s="1149">
        <f t="shared" si="5"/>
        <v>0</v>
      </c>
      <c r="J54" s="1094">
        <f t="shared" si="6"/>
        <v>0</v>
      </c>
      <c r="K54" s="1094">
        <v>0</v>
      </c>
      <c r="L54" s="1094">
        <f t="shared" si="7"/>
        <v>0</v>
      </c>
      <c r="M54" s="1094">
        <f t="shared" si="8"/>
        <v>0</v>
      </c>
      <c r="N54" s="1086">
        <f>'[8]FY2012-13 Initial'!$K55</f>
        <v>5325</v>
      </c>
      <c r="O54" s="1088">
        <f t="shared" si="9"/>
        <v>0</v>
      </c>
      <c r="P54" s="1155">
        <f t="shared" si="10"/>
        <v>0</v>
      </c>
      <c r="Q54" s="1088">
        <f t="shared" si="11"/>
        <v>0</v>
      </c>
      <c r="R54" s="1088">
        <v>0</v>
      </c>
      <c r="S54" s="1088">
        <f t="shared" si="12"/>
        <v>0</v>
      </c>
      <c r="T54" s="1088">
        <f t="shared" si="13"/>
        <v>0</v>
      </c>
      <c r="U54" s="1089">
        <f t="shared" si="14"/>
        <v>0</v>
      </c>
      <c r="V54" s="1089">
        <f t="shared" si="14"/>
        <v>0</v>
      </c>
    </row>
    <row r="55" spans="1:22">
      <c r="A55" s="1028">
        <v>49</v>
      </c>
      <c r="B55" s="1029" t="s">
        <v>149</v>
      </c>
      <c r="C55" s="1295">
        <v>180</v>
      </c>
      <c r="D55" s="1037">
        <f>'Table 3 Levels 1&amp;2'!AL56</f>
        <v>4800.2172145077111</v>
      </c>
      <c r="E55" s="1139">
        <f t="shared" si="2"/>
        <v>864039.09861138801</v>
      </c>
      <c r="F55" s="1139">
        <f>'Table 4 Level 3'!P54</f>
        <v>574.43999999999994</v>
      </c>
      <c r="G55" s="1139">
        <f t="shared" si="3"/>
        <v>103399.19999999998</v>
      </c>
      <c r="H55" s="1094">
        <f t="shared" si="4"/>
        <v>967438.29861138796</v>
      </c>
      <c r="I55" s="1149">
        <f t="shared" si="5"/>
        <v>-2418.59574652847</v>
      </c>
      <c r="J55" s="1094">
        <f t="shared" si="6"/>
        <v>965019.70286485949</v>
      </c>
      <c r="K55" s="1094">
        <v>0</v>
      </c>
      <c r="L55" s="1094">
        <f t="shared" si="7"/>
        <v>965019.70286485949</v>
      </c>
      <c r="M55" s="1094">
        <f t="shared" si="8"/>
        <v>80418.308572071619</v>
      </c>
      <c r="N55" s="1086">
        <f>'[8]FY2012-13 Initial'!$K56</f>
        <v>2326</v>
      </c>
      <c r="O55" s="1088">
        <f t="shared" si="9"/>
        <v>418680</v>
      </c>
      <c r="P55" s="1155">
        <f t="shared" si="10"/>
        <v>-1046.7</v>
      </c>
      <c r="Q55" s="1088">
        <f t="shared" si="11"/>
        <v>417633.3</v>
      </c>
      <c r="R55" s="1088">
        <v>0</v>
      </c>
      <c r="S55" s="1088">
        <f t="shared" si="12"/>
        <v>417633.3</v>
      </c>
      <c r="T55" s="1088">
        <f t="shared" si="13"/>
        <v>34802.775000000001</v>
      </c>
      <c r="U55" s="1089">
        <f t="shared" si="14"/>
        <v>1382653.0028648595</v>
      </c>
      <c r="V55" s="1089">
        <f t="shared" si="14"/>
        <v>115221.08357207163</v>
      </c>
    </row>
    <row r="56" spans="1:22">
      <c r="A56" s="1032">
        <v>50</v>
      </c>
      <c r="B56" s="1033" t="s">
        <v>150</v>
      </c>
      <c r="C56" s="1296">
        <v>0</v>
      </c>
      <c r="D56" s="1039">
        <f>'Table 3 Levels 1&amp;2'!AL57</f>
        <v>5059.523754419537</v>
      </c>
      <c r="E56" s="1140">
        <f t="shared" si="2"/>
        <v>0</v>
      </c>
      <c r="F56" s="1140">
        <f>'Table 4 Level 3'!P55</f>
        <v>634.46</v>
      </c>
      <c r="G56" s="1140">
        <f t="shared" si="3"/>
        <v>0</v>
      </c>
      <c r="H56" s="1095">
        <f t="shared" si="4"/>
        <v>0</v>
      </c>
      <c r="I56" s="1150">
        <f t="shared" si="5"/>
        <v>0</v>
      </c>
      <c r="J56" s="1095">
        <f t="shared" si="6"/>
        <v>0</v>
      </c>
      <c r="K56" s="1095">
        <v>0</v>
      </c>
      <c r="L56" s="1095">
        <f t="shared" si="7"/>
        <v>0</v>
      </c>
      <c r="M56" s="1095">
        <f t="shared" si="8"/>
        <v>0</v>
      </c>
      <c r="N56" s="1091">
        <f>'[8]FY2012-13 Initial'!$K57</f>
        <v>2574</v>
      </c>
      <c r="O56" s="1092">
        <f t="shared" si="9"/>
        <v>0</v>
      </c>
      <c r="P56" s="1156">
        <f t="shared" si="10"/>
        <v>0</v>
      </c>
      <c r="Q56" s="1092">
        <f t="shared" si="11"/>
        <v>0</v>
      </c>
      <c r="R56" s="1092">
        <v>0</v>
      </c>
      <c r="S56" s="1092">
        <f t="shared" si="12"/>
        <v>0</v>
      </c>
      <c r="T56" s="1092">
        <f t="shared" si="13"/>
        <v>0</v>
      </c>
      <c r="U56" s="1093">
        <f t="shared" si="14"/>
        <v>0</v>
      </c>
      <c r="V56" s="1093">
        <f t="shared" si="14"/>
        <v>0</v>
      </c>
    </row>
    <row r="57" spans="1:22">
      <c r="A57" s="1021">
        <v>51</v>
      </c>
      <c r="B57" s="1022" t="s">
        <v>151</v>
      </c>
      <c r="C57" s="1297">
        <v>0</v>
      </c>
      <c r="D57" s="1041">
        <f>'Table 3 Levels 1&amp;2'!AL58</f>
        <v>4384.0477116019692</v>
      </c>
      <c r="E57" s="1141">
        <f t="shared" si="2"/>
        <v>0</v>
      </c>
      <c r="F57" s="1141">
        <f>'Table 4 Level 3'!P56</f>
        <v>706.66</v>
      </c>
      <c r="G57" s="1141">
        <f t="shared" si="3"/>
        <v>0</v>
      </c>
      <c r="H57" s="1096">
        <f t="shared" si="4"/>
        <v>0</v>
      </c>
      <c r="I57" s="1151">
        <f t="shared" si="5"/>
        <v>0</v>
      </c>
      <c r="J57" s="1096">
        <f t="shared" si="6"/>
        <v>0</v>
      </c>
      <c r="K57" s="1096">
        <v>0</v>
      </c>
      <c r="L57" s="1096">
        <f t="shared" si="7"/>
        <v>0</v>
      </c>
      <c r="M57" s="1096">
        <f t="shared" si="8"/>
        <v>0</v>
      </c>
      <c r="N57" s="1086">
        <f>'[8]FY2012-13 Initial'!$K58</f>
        <v>3943</v>
      </c>
      <c r="O57" s="1026">
        <f t="shared" si="9"/>
        <v>0</v>
      </c>
      <c r="P57" s="1154">
        <f t="shared" si="10"/>
        <v>0</v>
      </c>
      <c r="Q57" s="1026">
        <f t="shared" si="11"/>
        <v>0</v>
      </c>
      <c r="R57" s="1026">
        <v>0</v>
      </c>
      <c r="S57" s="1026">
        <f t="shared" si="12"/>
        <v>0</v>
      </c>
      <c r="T57" s="1026">
        <f t="shared" si="13"/>
        <v>0</v>
      </c>
      <c r="U57" s="1027">
        <f t="shared" si="14"/>
        <v>0</v>
      </c>
      <c r="V57" s="1027">
        <f t="shared" si="14"/>
        <v>0</v>
      </c>
    </row>
    <row r="58" spans="1:22">
      <c r="A58" s="1028">
        <v>52</v>
      </c>
      <c r="B58" s="1029" t="s">
        <v>152</v>
      </c>
      <c r="C58" s="1295">
        <v>0</v>
      </c>
      <c r="D58" s="1037">
        <f>'Table 3 Levels 1&amp;2'!AL59</f>
        <v>4920.0697942988754</v>
      </c>
      <c r="E58" s="1139">
        <f t="shared" si="2"/>
        <v>0</v>
      </c>
      <c r="F58" s="1139">
        <f>'Table 4 Level 3'!P57</f>
        <v>658.37</v>
      </c>
      <c r="G58" s="1139">
        <f t="shared" si="3"/>
        <v>0</v>
      </c>
      <c r="H58" s="1094">
        <f t="shared" si="4"/>
        <v>0</v>
      </c>
      <c r="I58" s="1149">
        <f t="shared" si="5"/>
        <v>0</v>
      </c>
      <c r="J58" s="1094">
        <f t="shared" si="6"/>
        <v>0</v>
      </c>
      <c r="K58" s="1094">
        <v>0</v>
      </c>
      <c r="L58" s="1094">
        <f t="shared" si="7"/>
        <v>0</v>
      </c>
      <c r="M58" s="1094">
        <f t="shared" si="8"/>
        <v>0</v>
      </c>
      <c r="N58" s="1086">
        <f>'[8]FY2012-13 Initial'!$K59</f>
        <v>4750</v>
      </c>
      <c r="O58" s="1088">
        <f t="shared" si="9"/>
        <v>0</v>
      </c>
      <c r="P58" s="1155">
        <f t="shared" si="10"/>
        <v>0</v>
      </c>
      <c r="Q58" s="1088">
        <f t="shared" si="11"/>
        <v>0</v>
      </c>
      <c r="R58" s="1088">
        <v>0</v>
      </c>
      <c r="S58" s="1088">
        <f t="shared" si="12"/>
        <v>0</v>
      </c>
      <c r="T58" s="1088">
        <f t="shared" si="13"/>
        <v>0</v>
      </c>
      <c r="U58" s="1089">
        <f t="shared" si="14"/>
        <v>0</v>
      </c>
      <c r="V58" s="1089">
        <f t="shared" si="14"/>
        <v>0</v>
      </c>
    </row>
    <row r="59" spans="1:22">
      <c r="A59" s="1028">
        <v>53</v>
      </c>
      <c r="B59" s="1029" t="s">
        <v>153</v>
      </c>
      <c r="C59" s="1295">
        <v>0</v>
      </c>
      <c r="D59" s="1037">
        <f>'Table 3 Levels 1&amp;2'!AL60</f>
        <v>4784.2719870767614</v>
      </c>
      <c r="E59" s="1139">
        <f t="shared" si="2"/>
        <v>0</v>
      </c>
      <c r="F59" s="1139">
        <f>'Table 4 Level 3'!P58</f>
        <v>689.74</v>
      </c>
      <c r="G59" s="1139">
        <f t="shared" si="3"/>
        <v>0</v>
      </c>
      <c r="H59" s="1094">
        <f t="shared" si="4"/>
        <v>0</v>
      </c>
      <c r="I59" s="1149">
        <f t="shared" si="5"/>
        <v>0</v>
      </c>
      <c r="J59" s="1094">
        <f t="shared" si="6"/>
        <v>0</v>
      </c>
      <c r="K59" s="1094">
        <v>0</v>
      </c>
      <c r="L59" s="1094">
        <f t="shared" si="7"/>
        <v>0</v>
      </c>
      <c r="M59" s="1094">
        <f t="shared" si="8"/>
        <v>0</v>
      </c>
      <c r="N59" s="1086">
        <f>'[8]FY2012-13 Initial'!$K60</f>
        <v>1913</v>
      </c>
      <c r="O59" s="1088">
        <f t="shared" si="9"/>
        <v>0</v>
      </c>
      <c r="P59" s="1155">
        <f t="shared" si="10"/>
        <v>0</v>
      </c>
      <c r="Q59" s="1088">
        <f t="shared" si="11"/>
        <v>0</v>
      </c>
      <c r="R59" s="1088">
        <v>0</v>
      </c>
      <c r="S59" s="1088">
        <f t="shared" si="12"/>
        <v>0</v>
      </c>
      <c r="T59" s="1088">
        <f t="shared" si="13"/>
        <v>0</v>
      </c>
      <c r="U59" s="1089">
        <f t="shared" si="14"/>
        <v>0</v>
      </c>
      <c r="V59" s="1089">
        <f t="shared" si="14"/>
        <v>0</v>
      </c>
    </row>
    <row r="60" spans="1:22">
      <c r="A60" s="1028">
        <v>54</v>
      </c>
      <c r="B60" s="1029" t="s">
        <v>154</v>
      </c>
      <c r="C60" s="1295">
        <v>0</v>
      </c>
      <c r="D60" s="1037">
        <f>'Table 3 Levels 1&amp;2'!AL61</f>
        <v>5982.5555386476462</v>
      </c>
      <c r="E60" s="1139">
        <f t="shared" si="2"/>
        <v>0</v>
      </c>
      <c r="F60" s="1139">
        <f>'Table 4 Level 3'!P59</f>
        <v>951.45</v>
      </c>
      <c r="G60" s="1139">
        <f t="shared" si="3"/>
        <v>0</v>
      </c>
      <c r="H60" s="1094">
        <f t="shared" si="4"/>
        <v>0</v>
      </c>
      <c r="I60" s="1149">
        <f t="shared" si="5"/>
        <v>0</v>
      </c>
      <c r="J60" s="1094">
        <f t="shared" si="6"/>
        <v>0</v>
      </c>
      <c r="K60" s="1094">
        <v>0</v>
      </c>
      <c r="L60" s="1094">
        <f t="shared" si="7"/>
        <v>0</v>
      </c>
      <c r="M60" s="1094">
        <f t="shared" si="8"/>
        <v>0</v>
      </c>
      <c r="N60" s="1086">
        <f>'[8]FY2012-13 Initial'!$K61</f>
        <v>3264</v>
      </c>
      <c r="O60" s="1088">
        <f t="shared" si="9"/>
        <v>0</v>
      </c>
      <c r="P60" s="1155">
        <f t="shared" si="10"/>
        <v>0</v>
      </c>
      <c r="Q60" s="1088">
        <f t="shared" si="11"/>
        <v>0</v>
      </c>
      <c r="R60" s="1088">
        <v>0</v>
      </c>
      <c r="S60" s="1088">
        <f t="shared" si="12"/>
        <v>0</v>
      </c>
      <c r="T60" s="1088">
        <f t="shared" si="13"/>
        <v>0</v>
      </c>
      <c r="U60" s="1089">
        <f t="shared" si="14"/>
        <v>0</v>
      </c>
      <c r="V60" s="1089">
        <f t="shared" si="14"/>
        <v>0</v>
      </c>
    </row>
    <row r="61" spans="1:22">
      <c r="A61" s="1032">
        <v>55</v>
      </c>
      <c r="B61" s="1033" t="s">
        <v>155</v>
      </c>
      <c r="C61" s="1296">
        <v>0</v>
      </c>
      <c r="D61" s="1039">
        <f>'Table 3 Levels 1&amp;2'!AL62</f>
        <v>4087.4017448818722</v>
      </c>
      <c r="E61" s="1140">
        <f t="shared" si="2"/>
        <v>0</v>
      </c>
      <c r="F61" s="1140">
        <f>'Table 4 Level 3'!P60</f>
        <v>795.14</v>
      </c>
      <c r="G61" s="1140">
        <f t="shared" si="3"/>
        <v>0</v>
      </c>
      <c r="H61" s="1095">
        <f t="shared" si="4"/>
        <v>0</v>
      </c>
      <c r="I61" s="1150">
        <f t="shared" si="5"/>
        <v>0</v>
      </c>
      <c r="J61" s="1095">
        <f t="shared" si="6"/>
        <v>0</v>
      </c>
      <c r="K61" s="1095">
        <v>0</v>
      </c>
      <c r="L61" s="1095">
        <f t="shared" si="7"/>
        <v>0</v>
      </c>
      <c r="M61" s="1095">
        <f t="shared" si="8"/>
        <v>0</v>
      </c>
      <c r="N61" s="1091">
        <f>'[8]FY2012-13 Initial'!$K62</f>
        <v>3071</v>
      </c>
      <c r="O61" s="1092">
        <f t="shared" si="9"/>
        <v>0</v>
      </c>
      <c r="P61" s="1156">
        <f t="shared" si="10"/>
        <v>0</v>
      </c>
      <c r="Q61" s="1092">
        <f t="shared" si="11"/>
        <v>0</v>
      </c>
      <c r="R61" s="1092">
        <v>0</v>
      </c>
      <c r="S61" s="1092">
        <f t="shared" si="12"/>
        <v>0</v>
      </c>
      <c r="T61" s="1092">
        <f t="shared" si="13"/>
        <v>0</v>
      </c>
      <c r="U61" s="1093">
        <f t="shared" si="14"/>
        <v>0</v>
      </c>
      <c r="V61" s="1093">
        <f t="shared" si="14"/>
        <v>0</v>
      </c>
    </row>
    <row r="62" spans="1:22">
      <c r="A62" s="1021">
        <v>56</v>
      </c>
      <c r="B62" s="1022" t="s">
        <v>156</v>
      </c>
      <c r="C62" s="1297">
        <v>0</v>
      </c>
      <c r="D62" s="1041">
        <f>'Table 3 Levels 1&amp;2'!AL63</f>
        <v>5052.2250942802684</v>
      </c>
      <c r="E62" s="1141">
        <f t="shared" si="2"/>
        <v>0</v>
      </c>
      <c r="F62" s="1141">
        <f>'Table 4 Level 3'!P61</f>
        <v>614.66000000000008</v>
      </c>
      <c r="G62" s="1141">
        <f t="shared" si="3"/>
        <v>0</v>
      </c>
      <c r="H62" s="1096">
        <f t="shared" si="4"/>
        <v>0</v>
      </c>
      <c r="I62" s="1151">
        <f t="shared" si="5"/>
        <v>0</v>
      </c>
      <c r="J62" s="1096">
        <f t="shared" si="6"/>
        <v>0</v>
      </c>
      <c r="K62" s="1096">
        <v>0</v>
      </c>
      <c r="L62" s="1096">
        <f t="shared" si="7"/>
        <v>0</v>
      </c>
      <c r="M62" s="1096">
        <f t="shared" si="8"/>
        <v>0</v>
      </c>
      <c r="N62" s="1086">
        <f>'[8]FY2012-13 Initial'!$K63</f>
        <v>2630</v>
      </c>
      <c r="O62" s="1026">
        <f t="shared" si="9"/>
        <v>0</v>
      </c>
      <c r="P62" s="1154">
        <f t="shared" si="10"/>
        <v>0</v>
      </c>
      <c r="Q62" s="1026">
        <f t="shared" si="11"/>
        <v>0</v>
      </c>
      <c r="R62" s="1026">
        <v>0</v>
      </c>
      <c r="S62" s="1026">
        <f t="shared" si="12"/>
        <v>0</v>
      </c>
      <c r="T62" s="1026">
        <f t="shared" si="13"/>
        <v>0</v>
      </c>
      <c r="U62" s="1027">
        <f t="shared" si="14"/>
        <v>0</v>
      </c>
      <c r="V62" s="1027">
        <f t="shared" si="14"/>
        <v>0</v>
      </c>
    </row>
    <row r="63" spans="1:22">
      <c r="A63" s="1028">
        <v>57</v>
      </c>
      <c r="B63" s="1029" t="s">
        <v>157</v>
      </c>
      <c r="C63" s="1295">
        <v>0</v>
      </c>
      <c r="D63" s="1037">
        <f>'Table 3 Levels 1&amp;2'!AL64</f>
        <v>4389.3863180380931</v>
      </c>
      <c r="E63" s="1139">
        <f t="shared" si="2"/>
        <v>0</v>
      </c>
      <c r="F63" s="1139">
        <f>'Table 4 Level 3'!P62</f>
        <v>764.51</v>
      </c>
      <c r="G63" s="1139">
        <f t="shared" si="3"/>
        <v>0</v>
      </c>
      <c r="H63" s="1094">
        <f t="shared" si="4"/>
        <v>0</v>
      </c>
      <c r="I63" s="1149">
        <f t="shared" si="5"/>
        <v>0</v>
      </c>
      <c r="J63" s="1094">
        <f t="shared" si="6"/>
        <v>0</v>
      </c>
      <c r="K63" s="1094">
        <v>0</v>
      </c>
      <c r="L63" s="1094">
        <f t="shared" si="7"/>
        <v>0</v>
      </c>
      <c r="M63" s="1094">
        <f t="shared" si="8"/>
        <v>0</v>
      </c>
      <c r="N63" s="1086">
        <f>'[8]FY2012-13 Initial'!$K64</f>
        <v>3053</v>
      </c>
      <c r="O63" s="1088">
        <f t="shared" si="9"/>
        <v>0</v>
      </c>
      <c r="P63" s="1155">
        <f t="shared" si="10"/>
        <v>0</v>
      </c>
      <c r="Q63" s="1088">
        <f t="shared" si="11"/>
        <v>0</v>
      </c>
      <c r="R63" s="1088">
        <v>0</v>
      </c>
      <c r="S63" s="1088">
        <f t="shared" si="12"/>
        <v>0</v>
      </c>
      <c r="T63" s="1088">
        <f t="shared" si="13"/>
        <v>0</v>
      </c>
      <c r="U63" s="1089">
        <f t="shared" si="14"/>
        <v>0</v>
      </c>
      <c r="V63" s="1089">
        <f t="shared" si="14"/>
        <v>0</v>
      </c>
    </row>
    <row r="64" spans="1:22">
      <c r="A64" s="1028">
        <v>58</v>
      </c>
      <c r="B64" s="1029" t="s">
        <v>158</v>
      </c>
      <c r="C64" s="1295">
        <v>0</v>
      </c>
      <c r="D64" s="1037">
        <f>'Table 3 Levels 1&amp;2'!AL65</f>
        <v>5325.8881107130073</v>
      </c>
      <c r="E64" s="1139">
        <f t="shared" si="2"/>
        <v>0</v>
      </c>
      <c r="F64" s="1139">
        <f>'Table 4 Level 3'!P63</f>
        <v>697.04</v>
      </c>
      <c r="G64" s="1139">
        <f t="shared" si="3"/>
        <v>0</v>
      </c>
      <c r="H64" s="1094">
        <f t="shared" si="4"/>
        <v>0</v>
      </c>
      <c r="I64" s="1149">
        <f t="shared" si="5"/>
        <v>0</v>
      </c>
      <c r="J64" s="1094">
        <f t="shared" si="6"/>
        <v>0</v>
      </c>
      <c r="K64" s="1094">
        <v>0</v>
      </c>
      <c r="L64" s="1094">
        <f t="shared" si="7"/>
        <v>0</v>
      </c>
      <c r="M64" s="1094">
        <f t="shared" si="8"/>
        <v>0</v>
      </c>
      <c r="N64" s="1086">
        <f>'[8]FY2012-13 Initial'!$K65</f>
        <v>1917</v>
      </c>
      <c r="O64" s="1088">
        <f t="shared" si="9"/>
        <v>0</v>
      </c>
      <c r="P64" s="1155">
        <f t="shared" si="10"/>
        <v>0</v>
      </c>
      <c r="Q64" s="1088">
        <f t="shared" si="11"/>
        <v>0</v>
      </c>
      <c r="R64" s="1088">
        <v>0</v>
      </c>
      <c r="S64" s="1088">
        <f t="shared" si="12"/>
        <v>0</v>
      </c>
      <c r="T64" s="1088">
        <f t="shared" si="13"/>
        <v>0</v>
      </c>
      <c r="U64" s="1089">
        <f t="shared" si="14"/>
        <v>0</v>
      </c>
      <c r="V64" s="1089">
        <f t="shared" si="14"/>
        <v>0</v>
      </c>
    </row>
    <row r="65" spans="1:22">
      <c r="A65" s="1028">
        <v>59</v>
      </c>
      <c r="B65" s="1029" t="s">
        <v>159</v>
      </c>
      <c r="C65" s="1295">
        <v>0</v>
      </c>
      <c r="D65" s="1037">
        <f>'Table 3 Levels 1&amp;2'!AL66</f>
        <v>6328.4963620482158</v>
      </c>
      <c r="E65" s="1139">
        <f t="shared" si="2"/>
        <v>0</v>
      </c>
      <c r="F65" s="1139">
        <f>'Table 4 Level 3'!P64</f>
        <v>689.52</v>
      </c>
      <c r="G65" s="1139">
        <f t="shared" si="3"/>
        <v>0</v>
      </c>
      <c r="H65" s="1094">
        <f t="shared" si="4"/>
        <v>0</v>
      </c>
      <c r="I65" s="1149">
        <f t="shared" si="5"/>
        <v>0</v>
      </c>
      <c r="J65" s="1094">
        <f t="shared" si="6"/>
        <v>0</v>
      </c>
      <c r="K65" s="1094">
        <v>0</v>
      </c>
      <c r="L65" s="1094">
        <f t="shared" si="7"/>
        <v>0</v>
      </c>
      <c r="M65" s="1094">
        <f t="shared" si="8"/>
        <v>0</v>
      </c>
      <c r="N65" s="1086">
        <f>'[8]FY2012-13 Initial'!$K66</f>
        <v>1553</v>
      </c>
      <c r="O65" s="1088">
        <f t="shared" si="9"/>
        <v>0</v>
      </c>
      <c r="P65" s="1155">
        <f t="shared" si="10"/>
        <v>0</v>
      </c>
      <c r="Q65" s="1088">
        <f t="shared" si="11"/>
        <v>0</v>
      </c>
      <c r="R65" s="1088">
        <v>0</v>
      </c>
      <c r="S65" s="1088">
        <f t="shared" si="12"/>
        <v>0</v>
      </c>
      <c r="T65" s="1088">
        <f t="shared" si="13"/>
        <v>0</v>
      </c>
      <c r="U65" s="1089">
        <f t="shared" si="14"/>
        <v>0</v>
      </c>
      <c r="V65" s="1089">
        <f t="shared" si="14"/>
        <v>0</v>
      </c>
    </row>
    <row r="66" spans="1:22">
      <c r="A66" s="1032">
        <v>60</v>
      </c>
      <c r="B66" s="1033" t="s">
        <v>160</v>
      </c>
      <c r="C66" s="1296">
        <v>0</v>
      </c>
      <c r="D66" s="1039">
        <f>'Table 3 Levels 1&amp;2'!AL67</f>
        <v>4825.1723230627122</v>
      </c>
      <c r="E66" s="1140">
        <f t="shared" si="2"/>
        <v>0</v>
      </c>
      <c r="F66" s="1140">
        <f>'Table 4 Level 3'!P65</f>
        <v>594.04</v>
      </c>
      <c r="G66" s="1140">
        <f t="shared" si="3"/>
        <v>0</v>
      </c>
      <c r="H66" s="1095">
        <f t="shared" si="4"/>
        <v>0</v>
      </c>
      <c r="I66" s="1150">
        <f t="shared" si="5"/>
        <v>0</v>
      </c>
      <c r="J66" s="1095">
        <f t="shared" si="6"/>
        <v>0</v>
      </c>
      <c r="K66" s="1095">
        <v>0</v>
      </c>
      <c r="L66" s="1095">
        <f t="shared" si="7"/>
        <v>0</v>
      </c>
      <c r="M66" s="1095">
        <f t="shared" si="8"/>
        <v>0</v>
      </c>
      <c r="N66" s="1091">
        <f>'[8]FY2012-13 Initial'!$K67</f>
        <v>3798</v>
      </c>
      <c r="O66" s="1092">
        <f t="shared" si="9"/>
        <v>0</v>
      </c>
      <c r="P66" s="1156">
        <f t="shared" si="10"/>
        <v>0</v>
      </c>
      <c r="Q66" s="1092">
        <f t="shared" si="11"/>
        <v>0</v>
      </c>
      <c r="R66" s="1092">
        <v>0</v>
      </c>
      <c r="S66" s="1092">
        <f t="shared" si="12"/>
        <v>0</v>
      </c>
      <c r="T66" s="1092">
        <f t="shared" si="13"/>
        <v>0</v>
      </c>
      <c r="U66" s="1093">
        <f t="shared" si="14"/>
        <v>0</v>
      </c>
      <c r="V66" s="1093">
        <f t="shared" si="14"/>
        <v>0</v>
      </c>
    </row>
    <row r="67" spans="1:22">
      <c r="A67" s="1021">
        <v>61</v>
      </c>
      <c r="B67" s="1022" t="s">
        <v>161</v>
      </c>
      <c r="C67" s="1297">
        <v>0</v>
      </c>
      <c r="D67" s="1041">
        <f>'Table 3 Levels 1&amp;2'!AL68</f>
        <v>3063.3110364585282</v>
      </c>
      <c r="E67" s="1141">
        <f t="shared" si="2"/>
        <v>0</v>
      </c>
      <c r="F67" s="1141">
        <f>'Table 4 Level 3'!P66</f>
        <v>833.70999999999992</v>
      </c>
      <c r="G67" s="1141">
        <f t="shared" si="3"/>
        <v>0</v>
      </c>
      <c r="H67" s="1096">
        <f t="shared" si="4"/>
        <v>0</v>
      </c>
      <c r="I67" s="1151">
        <f t="shared" si="5"/>
        <v>0</v>
      </c>
      <c r="J67" s="1096">
        <f t="shared" si="6"/>
        <v>0</v>
      </c>
      <c r="K67" s="1096">
        <v>0</v>
      </c>
      <c r="L67" s="1096">
        <f t="shared" si="7"/>
        <v>0</v>
      </c>
      <c r="M67" s="1096">
        <f t="shared" si="8"/>
        <v>0</v>
      </c>
      <c r="N67" s="1086">
        <f>'[8]FY2012-13 Initial'!$K68</f>
        <v>6727</v>
      </c>
      <c r="O67" s="1026">
        <f t="shared" si="9"/>
        <v>0</v>
      </c>
      <c r="P67" s="1154">
        <f t="shared" si="10"/>
        <v>0</v>
      </c>
      <c r="Q67" s="1026">
        <f t="shared" si="11"/>
        <v>0</v>
      </c>
      <c r="R67" s="1026">
        <v>0</v>
      </c>
      <c r="S67" s="1026">
        <f t="shared" si="12"/>
        <v>0</v>
      </c>
      <c r="T67" s="1026">
        <f t="shared" si="13"/>
        <v>0</v>
      </c>
      <c r="U67" s="1027">
        <f t="shared" si="14"/>
        <v>0</v>
      </c>
      <c r="V67" s="1027">
        <f t="shared" si="14"/>
        <v>0</v>
      </c>
    </row>
    <row r="68" spans="1:22">
      <c r="A68" s="1028">
        <v>62</v>
      </c>
      <c r="B68" s="1029" t="s">
        <v>162</v>
      </c>
      <c r="C68" s="1295">
        <v>0</v>
      </c>
      <c r="D68" s="1037">
        <f>'Table 3 Levels 1&amp;2'!AL69</f>
        <v>5564.645485869667</v>
      </c>
      <c r="E68" s="1139">
        <f t="shared" si="2"/>
        <v>0</v>
      </c>
      <c r="F68" s="1139">
        <f>'Table 4 Level 3'!P67</f>
        <v>516.08000000000004</v>
      </c>
      <c r="G68" s="1139">
        <f t="shared" si="3"/>
        <v>0</v>
      </c>
      <c r="H68" s="1094">
        <f t="shared" si="4"/>
        <v>0</v>
      </c>
      <c r="I68" s="1149">
        <f t="shared" si="5"/>
        <v>0</v>
      </c>
      <c r="J68" s="1094">
        <f t="shared" si="6"/>
        <v>0</v>
      </c>
      <c r="K68" s="1094">
        <v>0</v>
      </c>
      <c r="L68" s="1094">
        <f t="shared" si="7"/>
        <v>0</v>
      </c>
      <c r="M68" s="1094">
        <f t="shared" si="8"/>
        <v>0</v>
      </c>
      <c r="N68" s="1086">
        <f>'[8]FY2012-13 Initial'!$K69</f>
        <v>1678</v>
      </c>
      <c r="O68" s="1088">
        <f t="shared" si="9"/>
        <v>0</v>
      </c>
      <c r="P68" s="1155">
        <f t="shared" si="10"/>
        <v>0</v>
      </c>
      <c r="Q68" s="1088">
        <f t="shared" si="11"/>
        <v>0</v>
      </c>
      <c r="R68" s="1088">
        <v>0</v>
      </c>
      <c r="S68" s="1088">
        <f t="shared" si="12"/>
        <v>0</v>
      </c>
      <c r="T68" s="1088">
        <f t="shared" si="13"/>
        <v>0</v>
      </c>
      <c r="U68" s="1089">
        <f t="shared" si="14"/>
        <v>0</v>
      </c>
      <c r="V68" s="1089">
        <f t="shared" si="14"/>
        <v>0</v>
      </c>
    </row>
    <row r="69" spans="1:22">
      <c r="A69" s="1028">
        <v>63</v>
      </c>
      <c r="B69" s="1029" t="s">
        <v>163</v>
      </c>
      <c r="C69" s="1295">
        <v>0</v>
      </c>
      <c r="D69" s="1037">
        <f>'Table 3 Levels 1&amp;2'!AL70</f>
        <v>4414.1775336636538</v>
      </c>
      <c r="E69" s="1139">
        <f t="shared" si="2"/>
        <v>0</v>
      </c>
      <c r="F69" s="1139">
        <f>'Table 4 Level 3'!P68</f>
        <v>756.79</v>
      </c>
      <c r="G69" s="1139">
        <f t="shared" si="3"/>
        <v>0</v>
      </c>
      <c r="H69" s="1094">
        <f t="shared" si="4"/>
        <v>0</v>
      </c>
      <c r="I69" s="1149">
        <f t="shared" si="5"/>
        <v>0</v>
      </c>
      <c r="J69" s="1094">
        <f t="shared" si="6"/>
        <v>0</v>
      </c>
      <c r="K69" s="1094">
        <v>0</v>
      </c>
      <c r="L69" s="1094">
        <f t="shared" si="7"/>
        <v>0</v>
      </c>
      <c r="M69" s="1094">
        <f t="shared" si="8"/>
        <v>0</v>
      </c>
      <c r="N69" s="1086">
        <f>'[8]FY2012-13 Initial'!$K70</f>
        <v>6524</v>
      </c>
      <c r="O69" s="1088">
        <f t="shared" si="9"/>
        <v>0</v>
      </c>
      <c r="P69" s="1155">
        <f t="shared" si="10"/>
        <v>0</v>
      </c>
      <c r="Q69" s="1088">
        <f t="shared" si="11"/>
        <v>0</v>
      </c>
      <c r="R69" s="1088">
        <v>0</v>
      </c>
      <c r="S69" s="1088">
        <f t="shared" si="12"/>
        <v>0</v>
      </c>
      <c r="T69" s="1088">
        <f t="shared" si="13"/>
        <v>0</v>
      </c>
      <c r="U69" s="1089">
        <f t="shared" si="14"/>
        <v>0</v>
      </c>
      <c r="V69" s="1089">
        <f t="shared" si="14"/>
        <v>0</v>
      </c>
    </row>
    <row r="70" spans="1:22">
      <c r="A70" s="1028">
        <v>64</v>
      </c>
      <c r="B70" s="1029" t="s">
        <v>164</v>
      </c>
      <c r="C70" s="1295">
        <v>0</v>
      </c>
      <c r="D70" s="1037">
        <f>'Table 3 Levels 1&amp;2'!AL71</f>
        <v>5871.0485811924027</v>
      </c>
      <c r="E70" s="1139">
        <f t="shared" si="2"/>
        <v>0</v>
      </c>
      <c r="F70" s="1139">
        <f>'Table 4 Level 3'!P69</f>
        <v>592.66</v>
      </c>
      <c r="G70" s="1139">
        <f t="shared" si="3"/>
        <v>0</v>
      </c>
      <c r="H70" s="1094">
        <f t="shared" si="4"/>
        <v>0</v>
      </c>
      <c r="I70" s="1149">
        <f t="shared" si="5"/>
        <v>0</v>
      </c>
      <c r="J70" s="1094">
        <f t="shared" si="6"/>
        <v>0</v>
      </c>
      <c r="K70" s="1094">
        <v>0</v>
      </c>
      <c r="L70" s="1094">
        <f t="shared" si="7"/>
        <v>0</v>
      </c>
      <c r="M70" s="1094">
        <f t="shared" si="8"/>
        <v>0</v>
      </c>
      <c r="N70" s="1086">
        <f>'[8]FY2012-13 Initial'!$K71</f>
        <v>2658</v>
      </c>
      <c r="O70" s="1088">
        <f t="shared" si="9"/>
        <v>0</v>
      </c>
      <c r="P70" s="1155">
        <f t="shared" si="10"/>
        <v>0</v>
      </c>
      <c r="Q70" s="1088">
        <f t="shared" si="11"/>
        <v>0</v>
      </c>
      <c r="R70" s="1088">
        <v>0</v>
      </c>
      <c r="S70" s="1088">
        <f t="shared" si="12"/>
        <v>0</v>
      </c>
      <c r="T70" s="1088">
        <f t="shared" si="13"/>
        <v>0</v>
      </c>
      <c r="U70" s="1089">
        <f t="shared" si="14"/>
        <v>0</v>
      </c>
      <c r="V70" s="1089">
        <f t="shared" si="14"/>
        <v>0</v>
      </c>
    </row>
    <row r="71" spans="1:22">
      <c r="A71" s="1032">
        <v>65</v>
      </c>
      <c r="B71" s="1033" t="s">
        <v>165</v>
      </c>
      <c r="C71" s="1296">
        <v>0</v>
      </c>
      <c r="D71" s="1039">
        <f>'Table 3 Levels 1&amp;2'!AL72</f>
        <v>4602.2046951319899</v>
      </c>
      <c r="E71" s="1140">
        <f t="shared" si="2"/>
        <v>0</v>
      </c>
      <c r="F71" s="1140">
        <f>'Table 4 Level 3'!P70</f>
        <v>829.12</v>
      </c>
      <c r="G71" s="1140">
        <f t="shared" si="3"/>
        <v>0</v>
      </c>
      <c r="H71" s="1095">
        <f t="shared" si="4"/>
        <v>0</v>
      </c>
      <c r="I71" s="1150">
        <f t="shared" si="5"/>
        <v>0</v>
      </c>
      <c r="J71" s="1095">
        <f t="shared" si="6"/>
        <v>0</v>
      </c>
      <c r="K71" s="1095">
        <v>0</v>
      </c>
      <c r="L71" s="1095">
        <f t="shared" si="7"/>
        <v>0</v>
      </c>
      <c r="M71" s="1095">
        <f t="shared" si="8"/>
        <v>0</v>
      </c>
      <c r="N71" s="1091">
        <f>'[8]FY2012-13 Initial'!$K72</f>
        <v>4631</v>
      </c>
      <c r="O71" s="1092">
        <f t="shared" si="9"/>
        <v>0</v>
      </c>
      <c r="P71" s="1156">
        <f t="shared" si="10"/>
        <v>0</v>
      </c>
      <c r="Q71" s="1092">
        <f t="shared" si="11"/>
        <v>0</v>
      </c>
      <c r="R71" s="1092">
        <v>0</v>
      </c>
      <c r="S71" s="1092">
        <f t="shared" si="12"/>
        <v>0</v>
      </c>
      <c r="T71" s="1092">
        <f t="shared" si="13"/>
        <v>0</v>
      </c>
      <c r="U71" s="1093">
        <f t="shared" si="14"/>
        <v>0</v>
      </c>
      <c r="V71" s="1093">
        <f t="shared" si="14"/>
        <v>0</v>
      </c>
    </row>
    <row r="72" spans="1:22">
      <c r="A72" s="1021">
        <v>66</v>
      </c>
      <c r="B72" s="1022" t="s">
        <v>166</v>
      </c>
      <c r="C72" s="1297">
        <v>0</v>
      </c>
      <c r="D72" s="1041">
        <f>'Table 3 Levels 1&amp;2'!AL73</f>
        <v>6243.8912249150071</v>
      </c>
      <c r="E72" s="1141">
        <f t="shared" ref="E72:E75" si="15">C72*D72</f>
        <v>0</v>
      </c>
      <c r="F72" s="1141">
        <f>'Table 4 Level 3'!P71</f>
        <v>730.06</v>
      </c>
      <c r="G72" s="1141">
        <f t="shared" ref="G72:G75" si="16">C72*F72</f>
        <v>0</v>
      </c>
      <c r="H72" s="1096">
        <f t="shared" ref="H72:H75" si="17">E72+G72</f>
        <v>0</v>
      </c>
      <c r="I72" s="1151">
        <f t="shared" ref="I72:I75" si="18">-(0.25%*H72)</f>
        <v>0</v>
      </c>
      <c r="J72" s="1096">
        <f t="shared" ref="J72:J75" si="19">SUM(H72:I72)</f>
        <v>0</v>
      </c>
      <c r="K72" s="1096">
        <v>0</v>
      </c>
      <c r="L72" s="1096">
        <f t="shared" ref="L72:L75" si="20">SUM(J72:K72)</f>
        <v>0</v>
      </c>
      <c r="M72" s="1096">
        <f t="shared" ref="M72:M75" si="21">L72/12</f>
        <v>0</v>
      </c>
      <c r="N72" s="1086">
        <f>'[8]FY2012-13 Initial'!$K73</f>
        <v>3443</v>
      </c>
      <c r="O72" s="1026">
        <f t="shared" ref="O72:O75" si="22">C72*N72</f>
        <v>0</v>
      </c>
      <c r="P72" s="1154">
        <f t="shared" ref="P72:P75" si="23">-(0.25%*O72)</f>
        <v>0</v>
      </c>
      <c r="Q72" s="1026">
        <f t="shared" ref="Q72:Q75" si="24">SUM(O72:P72)</f>
        <v>0</v>
      </c>
      <c r="R72" s="1026">
        <v>0</v>
      </c>
      <c r="S72" s="1026">
        <f t="shared" ref="S72:S75" si="25">SUM(Q72:R72)</f>
        <v>0</v>
      </c>
      <c r="T72" s="1026">
        <f t="shared" ref="T72:T75" si="26">S72/12</f>
        <v>0</v>
      </c>
      <c r="U72" s="1027">
        <f t="shared" ref="U72:V75" si="27">L72+S72</f>
        <v>0</v>
      </c>
      <c r="V72" s="1027">
        <f t="shared" si="27"/>
        <v>0</v>
      </c>
    </row>
    <row r="73" spans="1:22">
      <c r="A73" s="1028">
        <v>67</v>
      </c>
      <c r="B73" s="1029" t="s">
        <v>33</v>
      </c>
      <c r="C73" s="1295">
        <v>0</v>
      </c>
      <c r="D73" s="1037">
        <f>'Table 3 Levels 1&amp;2'!AL74</f>
        <v>5049.6489898847567</v>
      </c>
      <c r="E73" s="1139">
        <f t="shared" si="15"/>
        <v>0</v>
      </c>
      <c r="F73" s="1139">
        <f>'Table 4 Level 3'!P72</f>
        <v>715.61</v>
      </c>
      <c r="G73" s="1139">
        <f t="shared" si="16"/>
        <v>0</v>
      </c>
      <c r="H73" s="1094">
        <f t="shared" si="17"/>
        <v>0</v>
      </c>
      <c r="I73" s="1149">
        <f t="shared" si="18"/>
        <v>0</v>
      </c>
      <c r="J73" s="1094">
        <f t="shared" si="19"/>
        <v>0</v>
      </c>
      <c r="K73" s="1094">
        <v>0</v>
      </c>
      <c r="L73" s="1094">
        <f t="shared" si="20"/>
        <v>0</v>
      </c>
      <c r="M73" s="1094">
        <f t="shared" si="21"/>
        <v>0</v>
      </c>
      <c r="N73" s="1086">
        <f>'[8]FY2012-13 Initial'!$K74</f>
        <v>4502</v>
      </c>
      <c r="O73" s="1088">
        <f t="shared" si="22"/>
        <v>0</v>
      </c>
      <c r="P73" s="1155">
        <f t="shared" si="23"/>
        <v>0</v>
      </c>
      <c r="Q73" s="1088">
        <f t="shared" si="24"/>
        <v>0</v>
      </c>
      <c r="R73" s="1088">
        <v>0</v>
      </c>
      <c r="S73" s="1088">
        <f t="shared" si="25"/>
        <v>0</v>
      </c>
      <c r="T73" s="1088">
        <f t="shared" si="26"/>
        <v>0</v>
      </c>
      <c r="U73" s="1089">
        <f t="shared" si="27"/>
        <v>0</v>
      </c>
      <c r="V73" s="1089">
        <f t="shared" si="27"/>
        <v>0</v>
      </c>
    </row>
    <row r="74" spans="1:22">
      <c r="A74" s="1028">
        <v>68</v>
      </c>
      <c r="B74" s="1029" t="s">
        <v>31</v>
      </c>
      <c r="C74" s="1295">
        <v>0</v>
      </c>
      <c r="D74" s="1037">
        <f>'Table 3 Levels 1&amp;2'!AL75</f>
        <v>5861.7500805575619</v>
      </c>
      <c r="E74" s="1139">
        <f t="shared" si="15"/>
        <v>0</v>
      </c>
      <c r="F74" s="1139">
        <f>'Table 4 Level 3'!P73</f>
        <v>798.7</v>
      </c>
      <c r="G74" s="1139">
        <f t="shared" si="16"/>
        <v>0</v>
      </c>
      <c r="H74" s="1094">
        <f t="shared" si="17"/>
        <v>0</v>
      </c>
      <c r="I74" s="1149">
        <f t="shared" si="18"/>
        <v>0</v>
      </c>
      <c r="J74" s="1094">
        <f t="shared" si="19"/>
        <v>0</v>
      </c>
      <c r="K74" s="1094">
        <v>0</v>
      </c>
      <c r="L74" s="1094">
        <f t="shared" si="20"/>
        <v>0</v>
      </c>
      <c r="M74" s="1094">
        <f t="shared" si="21"/>
        <v>0</v>
      </c>
      <c r="N74" s="1086">
        <f>'[8]FY2012-13 Initial'!$K75</f>
        <v>2587</v>
      </c>
      <c r="O74" s="1088">
        <f t="shared" si="22"/>
        <v>0</v>
      </c>
      <c r="P74" s="1155">
        <f t="shared" si="23"/>
        <v>0</v>
      </c>
      <c r="Q74" s="1088">
        <f t="shared" si="24"/>
        <v>0</v>
      </c>
      <c r="R74" s="1088">
        <v>0</v>
      </c>
      <c r="S74" s="1088">
        <f t="shared" si="25"/>
        <v>0</v>
      </c>
      <c r="T74" s="1088">
        <f t="shared" si="26"/>
        <v>0</v>
      </c>
      <c r="U74" s="1089">
        <f t="shared" si="27"/>
        <v>0</v>
      </c>
      <c r="V74" s="1089">
        <f t="shared" si="27"/>
        <v>0</v>
      </c>
    </row>
    <row r="75" spans="1:22">
      <c r="A75" s="1042">
        <v>69</v>
      </c>
      <c r="B75" s="1043" t="s">
        <v>235</v>
      </c>
      <c r="C75" s="1298">
        <v>0</v>
      </c>
      <c r="D75" s="1045">
        <f>'Table 3 Levels 1&amp;2'!AL76</f>
        <v>5508.3397285189958</v>
      </c>
      <c r="E75" s="1142">
        <f t="shared" si="15"/>
        <v>0</v>
      </c>
      <c r="F75" s="1142">
        <f>'Table 4 Level 3'!P74</f>
        <v>705.67</v>
      </c>
      <c r="G75" s="1142">
        <f t="shared" si="16"/>
        <v>0</v>
      </c>
      <c r="H75" s="1097">
        <f t="shared" si="17"/>
        <v>0</v>
      </c>
      <c r="I75" s="1152">
        <f t="shared" si="18"/>
        <v>0</v>
      </c>
      <c r="J75" s="1097">
        <f t="shared" si="19"/>
        <v>0</v>
      </c>
      <c r="K75" s="1097">
        <v>0</v>
      </c>
      <c r="L75" s="1097">
        <f t="shared" si="20"/>
        <v>0</v>
      </c>
      <c r="M75" s="1097">
        <f t="shared" si="21"/>
        <v>0</v>
      </c>
      <c r="N75" s="1086">
        <f>'[8]FY2012-13 Initial'!$K76</f>
        <v>3233</v>
      </c>
      <c r="O75" s="1098">
        <f t="shared" si="22"/>
        <v>0</v>
      </c>
      <c r="P75" s="1157">
        <f t="shared" si="23"/>
        <v>0</v>
      </c>
      <c r="Q75" s="1098">
        <f t="shared" si="24"/>
        <v>0</v>
      </c>
      <c r="R75" s="1098">
        <v>0</v>
      </c>
      <c r="S75" s="1098">
        <f t="shared" si="25"/>
        <v>0</v>
      </c>
      <c r="T75" s="1098">
        <f t="shared" si="26"/>
        <v>0</v>
      </c>
      <c r="U75" s="1099">
        <f t="shared" si="27"/>
        <v>0</v>
      </c>
      <c r="V75" s="1099">
        <f t="shared" si="27"/>
        <v>0</v>
      </c>
    </row>
    <row r="76" spans="1:22" ht="13.5" thickBot="1">
      <c r="A76" s="1046"/>
      <c r="B76" s="1047" t="s">
        <v>167</v>
      </c>
      <c r="C76" s="1048">
        <f>SUM(C7:C75)</f>
        <v>180</v>
      </c>
      <c r="D76" s="1049">
        <f>'Table 3 Levels 1&amp;2'!AL77</f>
        <v>4325.8670725247357</v>
      </c>
      <c r="E76" s="1143">
        <f>SUM(E7:E75)</f>
        <v>864039.09861138801</v>
      </c>
      <c r="F76" s="1143">
        <f>'Table 4 Level 3'!P75</f>
        <v>703.90028204588873</v>
      </c>
      <c r="G76" s="1143">
        <f t="shared" ref="G76:L76" si="28">SUM(G7:G75)</f>
        <v>103399.19999999998</v>
      </c>
      <c r="H76" s="1050">
        <f t="shared" si="28"/>
        <v>967438.29861138796</v>
      </c>
      <c r="I76" s="1153">
        <f t="shared" si="28"/>
        <v>-2418.59574652847</v>
      </c>
      <c r="J76" s="1050">
        <f t="shared" si="28"/>
        <v>965019.70286485949</v>
      </c>
      <c r="K76" s="1050">
        <f t="shared" si="28"/>
        <v>0</v>
      </c>
      <c r="L76" s="1050">
        <f t="shared" si="28"/>
        <v>965019.70286485949</v>
      </c>
      <c r="M76" s="1050">
        <f>SUM(M7:M75)</f>
        <v>80418.308572071619</v>
      </c>
      <c r="N76" s="1100"/>
      <c r="O76" s="1051">
        <f t="shared" ref="O76:V76" si="29">SUM(O7:O75)</f>
        <v>418680</v>
      </c>
      <c r="P76" s="1158">
        <f t="shared" si="29"/>
        <v>-1046.7</v>
      </c>
      <c r="Q76" s="1051">
        <f t="shared" si="29"/>
        <v>417633.3</v>
      </c>
      <c r="R76" s="1051">
        <f t="shared" si="29"/>
        <v>0</v>
      </c>
      <c r="S76" s="1051">
        <f t="shared" si="29"/>
        <v>417633.3</v>
      </c>
      <c r="T76" s="1051">
        <f t="shared" si="29"/>
        <v>34802.775000000001</v>
      </c>
      <c r="U76" s="1052">
        <f t="shared" si="29"/>
        <v>1382653.0028648595</v>
      </c>
      <c r="V76" s="1052">
        <f t="shared" si="29"/>
        <v>115221.08357207163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6" right="0.42" top="0.75" bottom="0.75" header="0.3" footer="0.3"/>
  <pageSetup paperSize="5" scale="60" firstPageNumber="62" orientation="portrait" useFirstPageNumber="1" r:id="rId1"/>
  <headerFooter>
    <oddHeader>&amp;L&amp;"Arial,Bold"&amp;20Table 5C1-G: FY2012-13 MFP Budget Letter
J.S. Clark Leadership  Academy</oddHeader>
    <oddFooter>&amp;R&amp;P</oddFooter>
  </headerFooter>
  <colBreaks count="1" manualBreakCount="1">
    <brk id="13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7109375" customWidth="1"/>
    <col min="4" max="4" width="17" customWidth="1"/>
    <col min="5" max="5" width="11.140625" customWidth="1"/>
    <col min="6" max="6" width="12" customWidth="1"/>
    <col min="7" max="7" width="13.28515625" customWidth="1"/>
    <col min="8" max="8" width="14.5703125" customWidth="1"/>
    <col min="9" max="9" width="12.28515625" customWidth="1"/>
    <col min="10" max="10" width="12" bestFit="1" customWidth="1"/>
    <col min="11" max="11" width="13.42578125" bestFit="1" customWidth="1"/>
    <col min="12" max="12" width="14" customWidth="1"/>
    <col min="13" max="13" width="9.28515625" bestFit="1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</row>
    <row r="2" spans="1:22" ht="45" customHeight="1">
      <c r="A2" s="1837" t="s">
        <v>1272</v>
      </c>
      <c r="B2" s="1838"/>
      <c r="C2" s="1843" t="s">
        <v>1250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2"/>
      <c r="N2" s="1770" t="s">
        <v>772</v>
      </c>
      <c r="O2" s="1771"/>
      <c r="P2" s="1771"/>
      <c r="Q2" s="1771"/>
      <c r="R2" s="1771"/>
      <c r="S2" s="1771"/>
      <c r="T2" s="1772"/>
      <c r="U2" s="1764" t="s">
        <v>1414</v>
      </c>
      <c r="V2" s="1764" t="s">
        <v>1389</v>
      </c>
    </row>
    <row r="3" spans="1:22" ht="81" customHeight="1">
      <c r="A3" s="1839"/>
      <c r="B3" s="1840"/>
      <c r="C3" s="1779" t="s">
        <v>1192</v>
      </c>
      <c r="D3" s="1781" t="s">
        <v>819</v>
      </c>
      <c r="E3" s="1781" t="s">
        <v>1406</v>
      </c>
      <c r="F3" s="1779" t="s">
        <v>1251</v>
      </c>
      <c r="G3" s="1779" t="s">
        <v>779</v>
      </c>
      <c r="H3" s="1779" t="s">
        <v>1407</v>
      </c>
      <c r="I3" s="1370" t="s">
        <v>813</v>
      </c>
      <c r="J3" s="1779" t="s">
        <v>1408</v>
      </c>
      <c r="K3" s="1779" t="s">
        <v>1197</v>
      </c>
      <c r="L3" s="1779" t="s">
        <v>1409</v>
      </c>
      <c r="M3" s="1781" t="s">
        <v>1410</v>
      </c>
      <c r="N3" s="1795" t="s">
        <v>1307</v>
      </c>
      <c r="O3" s="1598" t="s">
        <v>1411</v>
      </c>
      <c r="P3" s="1372" t="s">
        <v>815</v>
      </c>
      <c r="Q3" s="1795" t="s">
        <v>818</v>
      </c>
      <c r="R3" s="1795" t="s">
        <v>1197</v>
      </c>
      <c r="S3" s="1795" t="s">
        <v>1412</v>
      </c>
      <c r="T3" s="1598" t="s">
        <v>1413</v>
      </c>
      <c r="U3" s="1765"/>
      <c r="V3" s="1765"/>
    </row>
    <row r="4" spans="1:22" ht="26.25" customHeight="1">
      <c r="A4" s="1841"/>
      <c r="B4" s="1842"/>
      <c r="C4" s="1780"/>
      <c r="D4" s="1781"/>
      <c r="E4" s="1781"/>
      <c r="F4" s="1780"/>
      <c r="G4" s="1780"/>
      <c r="H4" s="1780"/>
      <c r="I4" s="1144">
        <v>2.5000000000000001E-3</v>
      </c>
      <c r="J4" s="1780"/>
      <c r="K4" s="1780"/>
      <c r="L4" s="1780"/>
      <c r="M4" s="1781"/>
      <c r="N4" s="1787"/>
      <c r="O4" s="1371"/>
      <c r="P4" s="1145">
        <v>2.5000000000000001E-3</v>
      </c>
      <c r="Q4" s="1787"/>
      <c r="R4" s="1787"/>
      <c r="S4" s="1787"/>
      <c r="T4" s="1371"/>
      <c r="U4" s="1766"/>
      <c r="V4" s="1766"/>
    </row>
    <row r="5" spans="1:22" ht="14.25" customHeight="1">
      <c r="A5" s="1012"/>
      <c r="B5" s="1013"/>
      <c r="C5" s="1014">
        <v>1</v>
      </c>
      <c r="D5" s="1014">
        <f t="shared" ref="D5" si="0">C5+1</f>
        <v>2</v>
      </c>
      <c r="E5" s="1014">
        <f>D5+1</f>
        <v>3</v>
      </c>
      <c r="F5" s="1014">
        <f t="shared" ref="F5:V5" si="1">E5+1</f>
        <v>4</v>
      </c>
      <c r="G5" s="1014">
        <f t="shared" si="1"/>
        <v>5</v>
      </c>
      <c r="H5" s="1014">
        <f t="shared" si="1"/>
        <v>6</v>
      </c>
      <c r="I5" s="1014">
        <f t="shared" si="1"/>
        <v>7</v>
      </c>
      <c r="J5" s="1014">
        <f t="shared" si="1"/>
        <v>8</v>
      </c>
      <c r="K5" s="1014">
        <f t="shared" si="1"/>
        <v>9</v>
      </c>
      <c r="L5" s="1014">
        <f t="shared" si="1"/>
        <v>10</v>
      </c>
      <c r="M5" s="1014">
        <f t="shared" si="1"/>
        <v>11</v>
      </c>
      <c r="N5" s="1014">
        <f t="shared" si="1"/>
        <v>12</v>
      </c>
      <c r="O5" s="1014">
        <f t="shared" si="1"/>
        <v>13</v>
      </c>
      <c r="P5" s="1014">
        <f t="shared" si="1"/>
        <v>14</v>
      </c>
      <c r="Q5" s="1014">
        <f t="shared" si="1"/>
        <v>15</v>
      </c>
      <c r="R5" s="1014">
        <f t="shared" si="1"/>
        <v>16</v>
      </c>
      <c r="S5" s="1014">
        <f t="shared" si="1"/>
        <v>17</v>
      </c>
      <c r="T5" s="1014">
        <f t="shared" si="1"/>
        <v>18</v>
      </c>
      <c r="U5" s="1014">
        <f t="shared" si="1"/>
        <v>19</v>
      </c>
      <c r="V5" s="1014">
        <f t="shared" si="1"/>
        <v>20</v>
      </c>
    </row>
    <row r="6" spans="1:22" ht="27" customHeight="1">
      <c r="A6" s="1076"/>
      <c r="B6" s="1077"/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  <c r="Q6" s="1077"/>
      <c r="R6" s="1077"/>
      <c r="S6" s="1077"/>
      <c r="T6" s="1077"/>
      <c r="U6" s="1077"/>
      <c r="V6" s="1077"/>
    </row>
    <row r="7" spans="1:22">
      <c r="A7" s="1021">
        <v>1</v>
      </c>
      <c r="B7" s="1022" t="s">
        <v>102</v>
      </c>
      <c r="C7" s="1023">
        <v>0</v>
      </c>
      <c r="D7" s="1024">
        <f>'Table 3 Levels 1&amp;2'!AL8</f>
        <v>4621.8175818834352</v>
      </c>
      <c r="E7" s="1136">
        <f>C7*D7</f>
        <v>0</v>
      </c>
      <c r="F7" s="1136">
        <f>'Table 4 Level 3'!P6</f>
        <v>777.48</v>
      </c>
      <c r="G7" s="1136">
        <f>C7*F7</f>
        <v>0</v>
      </c>
      <c r="H7" s="1025">
        <f>E7+G7</f>
        <v>0</v>
      </c>
      <c r="I7" s="1146">
        <f>-(0.25%*H7)</f>
        <v>0</v>
      </c>
      <c r="J7" s="1025">
        <f>SUM(H7:I7)</f>
        <v>0</v>
      </c>
      <c r="K7" s="1025">
        <v>0</v>
      </c>
      <c r="L7" s="1025">
        <f>SUM(J7:K7)</f>
        <v>0</v>
      </c>
      <c r="M7" s="1025">
        <f>L7/12</f>
        <v>0</v>
      </c>
      <c r="N7" s="1086">
        <f>'[8]FY2012-13 Initial'!$K8</f>
        <v>2094</v>
      </c>
      <c r="O7" s="1026">
        <f>C7*N7</f>
        <v>0</v>
      </c>
      <c r="P7" s="1154">
        <f>-(0.25%*O7)</f>
        <v>0</v>
      </c>
      <c r="Q7" s="1026">
        <f>SUM(O7:P7)</f>
        <v>0</v>
      </c>
      <c r="R7" s="1026">
        <v>0</v>
      </c>
      <c r="S7" s="1026">
        <f>SUM(Q7:R7)</f>
        <v>0</v>
      </c>
      <c r="T7" s="1026">
        <f>S7/12</f>
        <v>0</v>
      </c>
      <c r="U7" s="1027">
        <f>L7+S7</f>
        <v>0</v>
      </c>
      <c r="V7" s="1027">
        <f>M7+T7</f>
        <v>0</v>
      </c>
    </row>
    <row r="8" spans="1:22">
      <c r="A8" s="1028">
        <v>2</v>
      </c>
      <c r="B8" s="1029" t="s">
        <v>103</v>
      </c>
      <c r="C8" s="1292">
        <v>0</v>
      </c>
      <c r="D8" s="1031">
        <f>'Table 3 Levels 1&amp;2'!AL9</f>
        <v>6131.8351665660375</v>
      </c>
      <c r="E8" s="1137">
        <f t="shared" ref="E8:E71" si="2">C8*D8</f>
        <v>0</v>
      </c>
      <c r="F8" s="1137">
        <f>'Table 4 Level 3'!P7</f>
        <v>842.32</v>
      </c>
      <c r="G8" s="1137">
        <f t="shared" ref="G8:G71" si="3">C8*F8</f>
        <v>0</v>
      </c>
      <c r="H8" s="1087">
        <f t="shared" ref="H8:H71" si="4">E8+G8</f>
        <v>0</v>
      </c>
      <c r="I8" s="1147">
        <f t="shared" ref="I8:I71" si="5">-(0.25%*H8)</f>
        <v>0</v>
      </c>
      <c r="J8" s="1087">
        <f t="shared" ref="J8:J71" si="6">SUM(H8:I8)</f>
        <v>0</v>
      </c>
      <c r="K8" s="1087">
        <v>0</v>
      </c>
      <c r="L8" s="1087">
        <f t="shared" ref="L8:L71" si="7">SUM(J8:K8)</f>
        <v>0</v>
      </c>
      <c r="M8" s="1087">
        <f t="shared" ref="M8:M71" si="8">L8/12</f>
        <v>0</v>
      </c>
      <c r="N8" s="1086">
        <f>'[8]FY2012-13 Initial'!$K9</f>
        <v>2554</v>
      </c>
      <c r="O8" s="1088">
        <f t="shared" ref="O8:O71" si="9">C8*N8</f>
        <v>0</v>
      </c>
      <c r="P8" s="1155">
        <f t="shared" ref="P8:P71" si="10">-(0.25%*O8)</f>
        <v>0</v>
      </c>
      <c r="Q8" s="1088">
        <f t="shared" ref="Q8:Q71" si="11">SUM(O8:P8)</f>
        <v>0</v>
      </c>
      <c r="R8" s="1088">
        <v>0</v>
      </c>
      <c r="S8" s="1088">
        <f t="shared" ref="S8:S71" si="12">SUM(Q8:R8)</f>
        <v>0</v>
      </c>
      <c r="T8" s="1088">
        <f t="shared" ref="T8:T71" si="13">S8/12</f>
        <v>0</v>
      </c>
      <c r="U8" s="1089">
        <f t="shared" ref="U8:V71" si="14">L8+S8</f>
        <v>0</v>
      </c>
      <c r="V8" s="1089">
        <f t="shared" si="14"/>
        <v>0</v>
      </c>
    </row>
    <row r="9" spans="1:22">
      <c r="A9" s="1028">
        <v>3</v>
      </c>
      <c r="B9" s="1029" t="s">
        <v>104</v>
      </c>
      <c r="C9" s="1292">
        <v>0</v>
      </c>
      <c r="D9" s="1031">
        <f>'Table 3 Levels 1&amp;2'!AL10</f>
        <v>4326.5384352059973</v>
      </c>
      <c r="E9" s="1137">
        <f t="shared" si="2"/>
        <v>0</v>
      </c>
      <c r="F9" s="1137">
        <f>'Table 4 Level 3'!P8</f>
        <v>596.84</v>
      </c>
      <c r="G9" s="1137">
        <f t="shared" si="3"/>
        <v>0</v>
      </c>
      <c r="H9" s="1087">
        <f t="shared" si="4"/>
        <v>0</v>
      </c>
      <c r="I9" s="1147">
        <f t="shared" si="5"/>
        <v>0</v>
      </c>
      <c r="J9" s="1087">
        <f t="shared" si="6"/>
        <v>0</v>
      </c>
      <c r="K9" s="1087">
        <v>0</v>
      </c>
      <c r="L9" s="1087">
        <f t="shared" si="7"/>
        <v>0</v>
      </c>
      <c r="M9" s="1087">
        <f t="shared" si="8"/>
        <v>0</v>
      </c>
      <c r="N9" s="1086">
        <f>'[8]FY2012-13 Initial'!$K10</f>
        <v>4995</v>
      </c>
      <c r="O9" s="1088">
        <f t="shared" si="9"/>
        <v>0</v>
      </c>
      <c r="P9" s="1155">
        <f t="shared" si="10"/>
        <v>0</v>
      </c>
      <c r="Q9" s="1088">
        <f t="shared" si="11"/>
        <v>0</v>
      </c>
      <c r="R9" s="1088">
        <v>0</v>
      </c>
      <c r="S9" s="1088">
        <f t="shared" si="12"/>
        <v>0</v>
      </c>
      <c r="T9" s="1088">
        <f t="shared" si="13"/>
        <v>0</v>
      </c>
      <c r="U9" s="1089">
        <f t="shared" si="14"/>
        <v>0</v>
      </c>
      <c r="V9" s="1089">
        <f t="shared" si="14"/>
        <v>0</v>
      </c>
    </row>
    <row r="10" spans="1:22">
      <c r="A10" s="1028">
        <v>4</v>
      </c>
      <c r="B10" s="1029" t="s">
        <v>105</v>
      </c>
      <c r="C10" s="1292">
        <v>0</v>
      </c>
      <c r="D10" s="1031">
        <f>'Table 3 Levels 1&amp;2'!AL11</f>
        <v>6066.2659652331004</v>
      </c>
      <c r="E10" s="1137">
        <f t="shared" si="2"/>
        <v>0</v>
      </c>
      <c r="F10" s="1137">
        <f>'Table 4 Level 3'!P9</f>
        <v>585.76</v>
      </c>
      <c r="G10" s="1137">
        <f t="shared" si="3"/>
        <v>0</v>
      </c>
      <c r="H10" s="1087">
        <f t="shared" si="4"/>
        <v>0</v>
      </c>
      <c r="I10" s="1147">
        <f t="shared" si="5"/>
        <v>0</v>
      </c>
      <c r="J10" s="1087">
        <f t="shared" si="6"/>
        <v>0</v>
      </c>
      <c r="K10" s="1087">
        <v>0</v>
      </c>
      <c r="L10" s="1087">
        <f t="shared" si="7"/>
        <v>0</v>
      </c>
      <c r="M10" s="1087">
        <f t="shared" si="8"/>
        <v>0</v>
      </c>
      <c r="N10" s="1086">
        <f>'[8]FY2012-13 Initial'!$K11</f>
        <v>3361</v>
      </c>
      <c r="O10" s="1088">
        <f t="shared" si="9"/>
        <v>0</v>
      </c>
      <c r="P10" s="1155">
        <f t="shared" si="10"/>
        <v>0</v>
      </c>
      <c r="Q10" s="1088">
        <f t="shared" si="11"/>
        <v>0</v>
      </c>
      <c r="R10" s="1088">
        <v>0</v>
      </c>
      <c r="S10" s="1088">
        <f t="shared" si="12"/>
        <v>0</v>
      </c>
      <c r="T10" s="1088">
        <f t="shared" si="13"/>
        <v>0</v>
      </c>
      <c r="U10" s="1089">
        <f t="shared" si="14"/>
        <v>0</v>
      </c>
      <c r="V10" s="1089">
        <f t="shared" si="14"/>
        <v>0</v>
      </c>
    </row>
    <row r="11" spans="1:22">
      <c r="A11" s="1032">
        <v>5</v>
      </c>
      <c r="B11" s="1033" t="s">
        <v>106</v>
      </c>
      <c r="C11" s="1293">
        <v>0</v>
      </c>
      <c r="D11" s="1035">
        <f>'Table 3 Levels 1&amp;2'!AL12</f>
        <v>4806.2126132223084</v>
      </c>
      <c r="E11" s="1138">
        <f t="shared" si="2"/>
        <v>0</v>
      </c>
      <c r="F11" s="1138">
        <f>'Table 4 Level 3'!P10</f>
        <v>555.91</v>
      </c>
      <c r="G11" s="1138">
        <f t="shared" si="3"/>
        <v>0</v>
      </c>
      <c r="H11" s="1090">
        <f t="shared" si="4"/>
        <v>0</v>
      </c>
      <c r="I11" s="1148">
        <f t="shared" si="5"/>
        <v>0</v>
      </c>
      <c r="J11" s="1090">
        <f t="shared" si="6"/>
        <v>0</v>
      </c>
      <c r="K11" s="1090">
        <v>0</v>
      </c>
      <c r="L11" s="1090">
        <f t="shared" si="7"/>
        <v>0</v>
      </c>
      <c r="M11" s="1090">
        <f t="shared" si="8"/>
        <v>0</v>
      </c>
      <c r="N11" s="1091">
        <f>'[8]FY2012-13 Initial'!$K12</f>
        <v>1146</v>
      </c>
      <c r="O11" s="1092">
        <f t="shared" si="9"/>
        <v>0</v>
      </c>
      <c r="P11" s="1156">
        <f t="shared" si="10"/>
        <v>0</v>
      </c>
      <c r="Q11" s="1092">
        <f t="shared" si="11"/>
        <v>0</v>
      </c>
      <c r="R11" s="1092">
        <v>0</v>
      </c>
      <c r="S11" s="1092">
        <f t="shared" si="12"/>
        <v>0</v>
      </c>
      <c r="T11" s="1092">
        <f t="shared" si="13"/>
        <v>0</v>
      </c>
      <c r="U11" s="1093">
        <f t="shared" si="14"/>
        <v>0</v>
      </c>
      <c r="V11" s="1093">
        <f t="shared" si="14"/>
        <v>0</v>
      </c>
    </row>
    <row r="12" spans="1:22">
      <c r="A12" s="1021">
        <v>6</v>
      </c>
      <c r="B12" s="1022" t="s">
        <v>107</v>
      </c>
      <c r="C12" s="1294">
        <v>0</v>
      </c>
      <c r="D12" s="1024">
        <f>'Table 3 Levels 1&amp;2'!AL13</f>
        <v>5538.0879878550813</v>
      </c>
      <c r="E12" s="1136">
        <f t="shared" si="2"/>
        <v>0</v>
      </c>
      <c r="F12" s="1136">
        <f>'Table 4 Level 3'!P11</f>
        <v>545.4799999999999</v>
      </c>
      <c r="G12" s="1136">
        <f t="shared" si="3"/>
        <v>0</v>
      </c>
      <c r="H12" s="1025">
        <f t="shared" si="4"/>
        <v>0</v>
      </c>
      <c r="I12" s="1146">
        <f t="shared" si="5"/>
        <v>0</v>
      </c>
      <c r="J12" s="1025">
        <f t="shared" si="6"/>
        <v>0</v>
      </c>
      <c r="K12" s="1025">
        <v>0</v>
      </c>
      <c r="L12" s="1025">
        <f t="shared" si="7"/>
        <v>0</v>
      </c>
      <c r="M12" s="1025">
        <f t="shared" si="8"/>
        <v>0</v>
      </c>
      <c r="N12" s="1086">
        <f>'[8]FY2012-13 Initial'!$K13</f>
        <v>3431</v>
      </c>
      <c r="O12" s="1026">
        <f t="shared" si="9"/>
        <v>0</v>
      </c>
      <c r="P12" s="1154">
        <f t="shared" si="10"/>
        <v>0</v>
      </c>
      <c r="Q12" s="1026">
        <f t="shared" si="11"/>
        <v>0</v>
      </c>
      <c r="R12" s="1026">
        <v>0</v>
      </c>
      <c r="S12" s="1026">
        <f t="shared" si="12"/>
        <v>0</v>
      </c>
      <c r="T12" s="1026">
        <f t="shared" si="13"/>
        <v>0</v>
      </c>
      <c r="U12" s="1027">
        <f t="shared" si="14"/>
        <v>0</v>
      </c>
      <c r="V12" s="1027">
        <f t="shared" si="14"/>
        <v>0</v>
      </c>
    </row>
    <row r="13" spans="1:22">
      <c r="A13" s="1028">
        <v>7</v>
      </c>
      <c r="B13" s="1029" t="s">
        <v>108</v>
      </c>
      <c r="C13" s="1292">
        <v>0</v>
      </c>
      <c r="D13" s="1031">
        <f>'Table 3 Levels 1&amp;2'!AL14</f>
        <v>1543.5712353471597</v>
      </c>
      <c r="E13" s="1137">
        <f t="shared" si="2"/>
        <v>0</v>
      </c>
      <c r="F13" s="1137">
        <f>'Table 4 Level 3'!P12</f>
        <v>756.91999999999985</v>
      </c>
      <c r="G13" s="1137">
        <f t="shared" si="3"/>
        <v>0</v>
      </c>
      <c r="H13" s="1087">
        <f t="shared" si="4"/>
        <v>0</v>
      </c>
      <c r="I13" s="1147">
        <f t="shared" si="5"/>
        <v>0</v>
      </c>
      <c r="J13" s="1087">
        <f t="shared" si="6"/>
        <v>0</v>
      </c>
      <c r="K13" s="1087">
        <v>0</v>
      </c>
      <c r="L13" s="1087">
        <f t="shared" si="7"/>
        <v>0</v>
      </c>
      <c r="M13" s="1087">
        <f t="shared" si="8"/>
        <v>0</v>
      </c>
      <c r="N13" s="1086">
        <f>'[8]FY2012-13 Initial'!$K14</f>
        <v>12974</v>
      </c>
      <c r="O13" s="1088">
        <f t="shared" si="9"/>
        <v>0</v>
      </c>
      <c r="P13" s="1155">
        <f t="shared" si="10"/>
        <v>0</v>
      </c>
      <c r="Q13" s="1088">
        <f t="shared" si="11"/>
        <v>0</v>
      </c>
      <c r="R13" s="1088">
        <v>0</v>
      </c>
      <c r="S13" s="1088">
        <f t="shared" si="12"/>
        <v>0</v>
      </c>
      <c r="T13" s="1088">
        <f t="shared" si="13"/>
        <v>0</v>
      </c>
      <c r="U13" s="1089">
        <f t="shared" si="14"/>
        <v>0</v>
      </c>
      <c r="V13" s="1089">
        <f t="shared" si="14"/>
        <v>0</v>
      </c>
    </row>
    <row r="14" spans="1:22">
      <c r="A14" s="1028">
        <v>8</v>
      </c>
      <c r="B14" s="1029" t="s">
        <v>109</v>
      </c>
      <c r="C14" s="1292">
        <v>0</v>
      </c>
      <c r="D14" s="1031">
        <f>'Table 3 Levels 1&amp;2'!AL15</f>
        <v>4033.4866571910334</v>
      </c>
      <c r="E14" s="1137">
        <f t="shared" si="2"/>
        <v>0</v>
      </c>
      <c r="F14" s="1137">
        <f>'Table 4 Level 3'!P13</f>
        <v>725.76</v>
      </c>
      <c r="G14" s="1137">
        <f t="shared" si="3"/>
        <v>0</v>
      </c>
      <c r="H14" s="1087">
        <f t="shared" si="4"/>
        <v>0</v>
      </c>
      <c r="I14" s="1147">
        <f t="shared" si="5"/>
        <v>0</v>
      </c>
      <c r="J14" s="1087">
        <f t="shared" si="6"/>
        <v>0</v>
      </c>
      <c r="K14" s="1087">
        <v>0</v>
      </c>
      <c r="L14" s="1087">
        <f t="shared" si="7"/>
        <v>0</v>
      </c>
      <c r="M14" s="1087">
        <f t="shared" si="8"/>
        <v>0</v>
      </c>
      <c r="N14" s="1086">
        <f>'[8]FY2012-13 Initial'!$K15</f>
        <v>4234</v>
      </c>
      <c r="O14" s="1088">
        <f t="shared" si="9"/>
        <v>0</v>
      </c>
      <c r="P14" s="1155">
        <f t="shared" si="10"/>
        <v>0</v>
      </c>
      <c r="Q14" s="1088">
        <f t="shared" si="11"/>
        <v>0</v>
      </c>
      <c r="R14" s="1088">
        <v>0</v>
      </c>
      <c r="S14" s="1088">
        <f t="shared" si="12"/>
        <v>0</v>
      </c>
      <c r="T14" s="1088">
        <f t="shared" si="13"/>
        <v>0</v>
      </c>
      <c r="U14" s="1089">
        <f t="shared" si="14"/>
        <v>0</v>
      </c>
      <c r="V14" s="1089">
        <f t="shared" si="14"/>
        <v>0</v>
      </c>
    </row>
    <row r="15" spans="1:22">
      <c r="A15" s="1028">
        <v>9</v>
      </c>
      <c r="B15" s="1029" t="s">
        <v>110</v>
      </c>
      <c r="C15" s="1292">
        <v>0</v>
      </c>
      <c r="D15" s="1031">
        <f>'Table 3 Levels 1&amp;2'!AL16</f>
        <v>4268.3217271902904</v>
      </c>
      <c r="E15" s="1137">
        <f t="shared" si="2"/>
        <v>0</v>
      </c>
      <c r="F15" s="1137">
        <f>'Table 4 Level 3'!P14</f>
        <v>744.76</v>
      </c>
      <c r="G15" s="1137">
        <f t="shared" si="3"/>
        <v>0</v>
      </c>
      <c r="H15" s="1087">
        <f t="shared" si="4"/>
        <v>0</v>
      </c>
      <c r="I15" s="1147">
        <f t="shared" si="5"/>
        <v>0</v>
      </c>
      <c r="J15" s="1087">
        <f t="shared" si="6"/>
        <v>0</v>
      </c>
      <c r="K15" s="1087">
        <v>0</v>
      </c>
      <c r="L15" s="1087">
        <f t="shared" si="7"/>
        <v>0</v>
      </c>
      <c r="M15" s="1087">
        <f t="shared" si="8"/>
        <v>0</v>
      </c>
      <c r="N15" s="1086">
        <f>'[8]FY2012-13 Initial'!$K16</f>
        <v>4539</v>
      </c>
      <c r="O15" s="1088">
        <f t="shared" si="9"/>
        <v>0</v>
      </c>
      <c r="P15" s="1155">
        <f t="shared" si="10"/>
        <v>0</v>
      </c>
      <c r="Q15" s="1088">
        <f t="shared" si="11"/>
        <v>0</v>
      </c>
      <c r="R15" s="1088">
        <v>0</v>
      </c>
      <c r="S15" s="1088">
        <f t="shared" si="12"/>
        <v>0</v>
      </c>
      <c r="T15" s="1088">
        <f t="shared" si="13"/>
        <v>0</v>
      </c>
      <c r="U15" s="1089">
        <f t="shared" si="14"/>
        <v>0</v>
      </c>
      <c r="V15" s="1089">
        <f t="shared" si="14"/>
        <v>0</v>
      </c>
    </row>
    <row r="16" spans="1:22">
      <c r="A16" s="1032">
        <v>10</v>
      </c>
      <c r="B16" s="1033" t="s">
        <v>111</v>
      </c>
      <c r="C16" s="1293">
        <v>450</v>
      </c>
      <c r="D16" s="1035">
        <f>'Table 3 Levels 1&amp;2'!AL17</f>
        <v>4300.0681374076885</v>
      </c>
      <c r="E16" s="1138">
        <f t="shared" si="2"/>
        <v>1935030.6618334597</v>
      </c>
      <c r="F16" s="1138">
        <f>'Table 4 Level 3'!P15</f>
        <v>608.04000000000008</v>
      </c>
      <c r="G16" s="1138">
        <f t="shared" si="3"/>
        <v>273618.00000000006</v>
      </c>
      <c r="H16" s="1090">
        <f t="shared" si="4"/>
        <v>2208648.66183346</v>
      </c>
      <c r="I16" s="1148">
        <f t="shared" si="5"/>
        <v>-5521.6216545836496</v>
      </c>
      <c r="J16" s="1090">
        <f t="shared" si="6"/>
        <v>2203127.0401788764</v>
      </c>
      <c r="K16" s="1090">
        <v>0</v>
      </c>
      <c r="L16" s="1090">
        <f t="shared" si="7"/>
        <v>2203127.0401788764</v>
      </c>
      <c r="M16" s="1090">
        <f t="shared" si="8"/>
        <v>183593.92001490635</v>
      </c>
      <c r="N16" s="1091">
        <f>'[8]FY2012-13 Initial'!$K17</f>
        <v>4312</v>
      </c>
      <c r="O16" s="1092">
        <f t="shared" si="9"/>
        <v>1940400</v>
      </c>
      <c r="P16" s="1156">
        <f t="shared" si="10"/>
        <v>-4851</v>
      </c>
      <c r="Q16" s="1092">
        <f t="shared" si="11"/>
        <v>1935549</v>
      </c>
      <c r="R16" s="1092">
        <v>0</v>
      </c>
      <c r="S16" s="1092">
        <f t="shared" si="12"/>
        <v>1935549</v>
      </c>
      <c r="T16" s="1092">
        <f t="shared" si="13"/>
        <v>161295.75</v>
      </c>
      <c r="U16" s="1093">
        <f t="shared" si="14"/>
        <v>4138676.0401788764</v>
      </c>
      <c r="V16" s="1093">
        <f t="shared" si="14"/>
        <v>344889.67001490633</v>
      </c>
    </row>
    <row r="17" spans="1:22">
      <c r="A17" s="1021">
        <v>11</v>
      </c>
      <c r="B17" s="1022" t="s">
        <v>112</v>
      </c>
      <c r="C17" s="1294">
        <v>0</v>
      </c>
      <c r="D17" s="1024">
        <f>'Table 3 Levels 1&amp;2'!AL18</f>
        <v>6740.2393955908683</v>
      </c>
      <c r="E17" s="1136">
        <f t="shared" si="2"/>
        <v>0</v>
      </c>
      <c r="F17" s="1136">
        <f>'Table 4 Level 3'!P16</f>
        <v>706.55</v>
      </c>
      <c r="G17" s="1136">
        <f t="shared" si="3"/>
        <v>0</v>
      </c>
      <c r="H17" s="1025">
        <f t="shared" si="4"/>
        <v>0</v>
      </c>
      <c r="I17" s="1146">
        <f t="shared" si="5"/>
        <v>0</v>
      </c>
      <c r="J17" s="1025">
        <f t="shared" si="6"/>
        <v>0</v>
      </c>
      <c r="K17" s="1025">
        <v>0</v>
      </c>
      <c r="L17" s="1025">
        <f t="shared" si="7"/>
        <v>0</v>
      </c>
      <c r="M17" s="1025">
        <f t="shared" si="8"/>
        <v>0</v>
      </c>
      <c r="N17" s="1086">
        <f>'[8]FY2012-13 Initial'!$K18</f>
        <v>3004</v>
      </c>
      <c r="O17" s="1026">
        <f t="shared" si="9"/>
        <v>0</v>
      </c>
      <c r="P17" s="1154">
        <f t="shared" si="10"/>
        <v>0</v>
      </c>
      <c r="Q17" s="1026">
        <f t="shared" si="11"/>
        <v>0</v>
      </c>
      <c r="R17" s="1026">
        <v>0</v>
      </c>
      <c r="S17" s="1026">
        <f t="shared" si="12"/>
        <v>0</v>
      </c>
      <c r="T17" s="1026">
        <f t="shared" si="13"/>
        <v>0</v>
      </c>
      <c r="U17" s="1027">
        <f t="shared" si="14"/>
        <v>0</v>
      </c>
      <c r="V17" s="1027">
        <f t="shared" si="14"/>
        <v>0</v>
      </c>
    </row>
    <row r="18" spans="1:22">
      <c r="A18" s="1028">
        <v>12</v>
      </c>
      <c r="B18" s="1029" t="s">
        <v>113</v>
      </c>
      <c r="C18" s="1292">
        <v>0</v>
      </c>
      <c r="D18" s="1031">
        <f>'Table 3 Levels 1&amp;2'!AL19</f>
        <v>1781.2877551020408</v>
      </c>
      <c r="E18" s="1137">
        <f t="shared" si="2"/>
        <v>0</v>
      </c>
      <c r="F18" s="1137">
        <f>'Table 4 Level 3'!P17</f>
        <v>1063.31</v>
      </c>
      <c r="G18" s="1137">
        <f t="shared" si="3"/>
        <v>0</v>
      </c>
      <c r="H18" s="1087">
        <f t="shared" si="4"/>
        <v>0</v>
      </c>
      <c r="I18" s="1147">
        <f t="shared" si="5"/>
        <v>0</v>
      </c>
      <c r="J18" s="1087">
        <f t="shared" si="6"/>
        <v>0</v>
      </c>
      <c r="K18" s="1087">
        <v>0</v>
      </c>
      <c r="L18" s="1087">
        <f t="shared" si="7"/>
        <v>0</v>
      </c>
      <c r="M18" s="1087">
        <f t="shared" si="8"/>
        <v>0</v>
      </c>
      <c r="N18" s="1086">
        <f>'[8]FY2012-13 Initial'!$K19</f>
        <v>12439</v>
      </c>
      <c r="O18" s="1088">
        <f t="shared" si="9"/>
        <v>0</v>
      </c>
      <c r="P18" s="1155">
        <f t="shared" si="10"/>
        <v>0</v>
      </c>
      <c r="Q18" s="1088">
        <f t="shared" si="11"/>
        <v>0</v>
      </c>
      <c r="R18" s="1088">
        <v>0</v>
      </c>
      <c r="S18" s="1088">
        <f t="shared" si="12"/>
        <v>0</v>
      </c>
      <c r="T18" s="1088">
        <f t="shared" si="13"/>
        <v>0</v>
      </c>
      <c r="U18" s="1089">
        <f t="shared" si="14"/>
        <v>0</v>
      </c>
      <c r="V18" s="1089">
        <f t="shared" si="14"/>
        <v>0</v>
      </c>
    </row>
    <row r="19" spans="1:22">
      <c r="A19" s="1028">
        <v>13</v>
      </c>
      <c r="B19" s="1029" t="s">
        <v>114</v>
      </c>
      <c r="C19" s="1292">
        <v>0</v>
      </c>
      <c r="D19" s="1031">
        <f>'Table 3 Levels 1&amp;2'!AL20</f>
        <v>6125.5331903699798</v>
      </c>
      <c r="E19" s="1137">
        <f t="shared" si="2"/>
        <v>0</v>
      </c>
      <c r="F19" s="1137">
        <f>'Table 4 Level 3'!P18</f>
        <v>749.43000000000006</v>
      </c>
      <c r="G19" s="1137">
        <f t="shared" si="3"/>
        <v>0</v>
      </c>
      <c r="H19" s="1087">
        <f t="shared" si="4"/>
        <v>0</v>
      </c>
      <c r="I19" s="1147">
        <f t="shared" si="5"/>
        <v>0</v>
      </c>
      <c r="J19" s="1087">
        <f t="shared" si="6"/>
        <v>0</v>
      </c>
      <c r="K19" s="1087">
        <v>0</v>
      </c>
      <c r="L19" s="1087">
        <f t="shared" si="7"/>
        <v>0</v>
      </c>
      <c r="M19" s="1087">
        <f t="shared" si="8"/>
        <v>0</v>
      </c>
      <c r="N19" s="1086">
        <f>'[8]FY2012-13 Initial'!$K20</f>
        <v>2518</v>
      </c>
      <c r="O19" s="1088">
        <f t="shared" si="9"/>
        <v>0</v>
      </c>
      <c r="P19" s="1155">
        <f t="shared" si="10"/>
        <v>0</v>
      </c>
      <c r="Q19" s="1088">
        <f t="shared" si="11"/>
        <v>0</v>
      </c>
      <c r="R19" s="1088">
        <v>0</v>
      </c>
      <c r="S19" s="1088">
        <f t="shared" si="12"/>
        <v>0</v>
      </c>
      <c r="T19" s="1088">
        <f t="shared" si="13"/>
        <v>0</v>
      </c>
      <c r="U19" s="1089">
        <f t="shared" si="14"/>
        <v>0</v>
      </c>
      <c r="V19" s="1089">
        <f t="shared" si="14"/>
        <v>0</v>
      </c>
    </row>
    <row r="20" spans="1:22">
      <c r="A20" s="1028">
        <v>14</v>
      </c>
      <c r="B20" s="1029" t="s">
        <v>115</v>
      </c>
      <c r="C20" s="1292">
        <v>0</v>
      </c>
      <c r="D20" s="1031">
        <f>'Table 3 Levels 1&amp;2'!AL21</f>
        <v>5278.0936993421856</v>
      </c>
      <c r="E20" s="1137">
        <f t="shared" si="2"/>
        <v>0</v>
      </c>
      <c r="F20" s="1137">
        <f>'Table 4 Level 3'!P19</f>
        <v>809.9799999999999</v>
      </c>
      <c r="G20" s="1137">
        <f t="shared" si="3"/>
        <v>0</v>
      </c>
      <c r="H20" s="1087">
        <f t="shared" si="4"/>
        <v>0</v>
      </c>
      <c r="I20" s="1147">
        <f t="shared" si="5"/>
        <v>0</v>
      </c>
      <c r="J20" s="1087">
        <f t="shared" si="6"/>
        <v>0</v>
      </c>
      <c r="K20" s="1087">
        <v>0</v>
      </c>
      <c r="L20" s="1087">
        <f t="shared" si="7"/>
        <v>0</v>
      </c>
      <c r="M20" s="1087">
        <f t="shared" si="8"/>
        <v>0</v>
      </c>
      <c r="N20" s="1086">
        <f>'[8]FY2012-13 Initial'!$K21</f>
        <v>3605</v>
      </c>
      <c r="O20" s="1088">
        <f t="shared" si="9"/>
        <v>0</v>
      </c>
      <c r="P20" s="1155">
        <f t="shared" si="10"/>
        <v>0</v>
      </c>
      <c r="Q20" s="1088">
        <f t="shared" si="11"/>
        <v>0</v>
      </c>
      <c r="R20" s="1088">
        <v>0</v>
      </c>
      <c r="S20" s="1088">
        <f t="shared" si="12"/>
        <v>0</v>
      </c>
      <c r="T20" s="1088">
        <f t="shared" si="13"/>
        <v>0</v>
      </c>
      <c r="U20" s="1089">
        <f t="shared" si="14"/>
        <v>0</v>
      </c>
      <c r="V20" s="1089">
        <f t="shared" si="14"/>
        <v>0</v>
      </c>
    </row>
    <row r="21" spans="1:22">
      <c r="A21" s="1032">
        <v>15</v>
      </c>
      <c r="B21" s="1033" t="s">
        <v>116</v>
      </c>
      <c r="C21" s="1293">
        <v>0</v>
      </c>
      <c r="D21" s="1035">
        <f>'Table 3 Levels 1&amp;2'!AL22</f>
        <v>5428.9842692179664</v>
      </c>
      <c r="E21" s="1138">
        <f t="shared" si="2"/>
        <v>0</v>
      </c>
      <c r="F21" s="1138">
        <f>'Table 4 Level 3'!P20</f>
        <v>553.79999999999995</v>
      </c>
      <c r="G21" s="1138">
        <f t="shared" si="3"/>
        <v>0</v>
      </c>
      <c r="H21" s="1090">
        <f t="shared" si="4"/>
        <v>0</v>
      </c>
      <c r="I21" s="1148">
        <f t="shared" si="5"/>
        <v>0</v>
      </c>
      <c r="J21" s="1090">
        <f t="shared" si="6"/>
        <v>0</v>
      </c>
      <c r="K21" s="1090">
        <v>0</v>
      </c>
      <c r="L21" s="1090">
        <f t="shared" si="7"/>
        <v>0</v>
      </c>
      <c r="M21" s="1090">
        <f t="shared" si="8"/>
        <v>0</v>
      </c>
      <c r="N21" s="1091">
        <f>'[8]FY2012-13 Initial'!$K22</f>
        <v>2614</v>
      </c>
      <c r="O21" s="1092">
        <f t="shared" si="9"/>
        <v>0</v>
      </c>
      <c r="P21" s="1156">
        <f t="shared" si="10"/>
        <v>0</v>
      </c>
      <c r="Q21" s="1092">
        <f t="shared" si="11"/>
        <v>0</v>
      </c>
      <c r="R21" s="1092">
        <v>0</v>
      </c>
      <c r="S21" s="1092">
        <f t="shared" si="12"/>
        <v>0</v>
      </c>
      <c r="T21" s="1092">
        <f t="shared" si="13"/>
        <v>0</v>
      </c>
      <c r="U21" s="1093">
        <f t="shared" si="14"/>
        <v>0</v>
      </c>
      <c r="V21" s="1093">
        <f t="shared" si="14"/>
        <v>0</v>
      </c>
    </row>
    <row r="22" spans="1:22">
      <c r="A22" s="1021">
        <v>16</v>
      </c>
      <c r="B22" s="1022" t="s">
        <v>117</v>
      </c>
      <c r="C22" s="1294">
        <v>0</v>
      </c>
      <c r="D22" s="1024">
        <f>'Table 3 Levels 1&amp;2'!AL23</f>
        <v>1501.2470754125757</v>
      </c>
      <c r="E22" s="1136">
        <f t="shared" si="2"/>
        <v>0</v>
      </c>
      <c r="F22" s="1136">
        <f>'Table 4 Level 3'!P21</f>
        <v>686.73</v>
      </c>
      <c r="G22" s="1136">
        <f t="shared" si="3"/>
        <v>0</v>
      </c>
      <c r="H22" s="1025">
        <f t="shared" si="4"/>
        <v>0</v>
      </c>
      <c r="I22" s="1146">
        <f t="shared" si="5"/>
        <v>0</v>
      </c>
      <c r="J22" s="1025">
        <f t="shared" si="6"/>
        <v>0</v>
      </c>
      <c r="K22" s="1025">
        <v>0</v>
      </c>
      <c r="L22" s="1025">
        <f t="shared" si="7"/>
        <v>0</v>
      </c>
      <c r="M22" s="1025">
        <f t="shared" si="8"/>
        <v>0</v>
      </c>
      <c r="N22" s="1086">
        <f>'[8]FY2012-13 Initial'!$K23</f>
        <v>16006</v>
      </c>
      <c r="O22" s="1026">
        <f t="shared" si="9"/>
        <v>0</v>
      </c>
      <c r="P22" s="1154">
        <f t="shared" si="10"/>
        <v>0</v>
      </c>
      <c r="Q22" s="1026">
        <f t="shared" si="11"/>
        <v>0</v>
      </c>
      <c r="R22" s="1026">
        <v>0</v>
      </c>
      <c r="S22" s="1026">
        <f t="shared" si="12"/>
        <v>0</v>
      </c>
      <c r="T22" s="1026">
        <f t="shared" si="13"/>
        <v>0</v>
      </c>
      <c r="U22" s="1027">
        <f t="shared" si="14"/>
        <v>0</v>
      </c>
      <c r="V22" s="1027">
        <f t="shared" si="14"/>
        <v>0</v>
      </c>
    </row>
    <row r="23" spans="1:22">
      <c r="A23" s="1028">
        <v>17</v>
      </c>
      <c r="B23" s="1029" t="s">
        <v>118</v>
      </c>
      <c r="C23" s="1292">
        <v>0</v>
      </c>
      <c r="D23" s="1031">
        <f>'Table 3 Levels 1&amp;2'!AL24</f>
        <v>3386.5716964570697</v>
      </c>
      <c r="E23" s="1137">
        <f t="shared" si="2"/>
        <v>0</v>
      </c>
      <c r="F23" s="1137">
        <f>'Table 5B2_RSD_LA'!F7</f>
        <v>801.47762416806802</v>
      </c>
      <c r="G23" s="1137">
        <f t="shared" si="3"/>
        <v>0</v>
      </c>
      <c r="H23" s="1087">
        <f t="shared" si="4"/>
        <v>0</v>
      </c>
      <c r="I23" s="1147">
        <f t="shared" si="5"/>
        <v>0</v>
      </c>
      <c r="J23" s="1087">
        <f t="shared" si="6"/>
        <v>0</v>
      </c>
      <c r="K23" s="1087">
        <v>0</v>
      </c>
      <c r="L23" s="1087">
        <f t="shared" si="7"/>
        <v>0</v>
      </c>
      <c r="M23" s="1087">
        <f t="shared" si="8"/>
        <v>0</v>
      </c>
      <c r="N23" s="1086">
        <f>'[8]FY2012-13 Initial'!$K24</f>
        <v>6493</v>
      </c>
      <c r="O23" s="1088">
        <f t="shared" si="9"/>
        <v>0</v>
      </c>
      <c r="P23" s="1155">
        <f t="shared" si="10"/>
        <v>0</v>
      </c>
      <c r="Q23" s="1088">
        <f t="shared" si="11"/>
        <v>0</v>
      </c>
      <c r="R23" s="1088">
        <v>0</v>
      </c>
      <c r="S23" s="1088">
        <f t="shared" si="12"/>
        <v>0</v>
      </c>
      <c r="T23" s="1088">
        <f t="shared" si="13"/>
        <v>0</v>
      </c>
      <c r="U23" s="1089">
        <f t="shared" si="14"/>
        <v>0</v>
      </c>
      <c r="V23" s="1089">
        <f t="shared" si="14"/>
        <v>0</v>
      </c>
    </row>
    <row r="24" spans="1:22">
      <c r="A24" s="1028">
        <v>18</v>
      </c>
      <c r="B24" s="1029" t="s">
        <v>119</v>
      </c>
      <c r="C24" s="1292">
        <v>0</v>
      </c>
      <c r="D24" s="1031">
        <f>'Table 3 Levels 1&amp;2'!AL25</f>
        <v>5798.0598063231446</v>
      </c>
      <c r="E24" s="1137">
        <f t="shared" si="2"/>
        <v>0</v>
      </c>
      <c r="F24" s="1137">
        <f>'Table 4 Level 3'!P23</f>
        <v>845.94999999999993</v>
      </c>
      <c r="G24" s="1137">
        <f t="shared" si="3"/>
        <v>0</v>
      </c>
      <c r="H24" s="1087">
        <f t="shared" si="4"/>
        <v>0</v>
      </c>
      <c r="I24" s="1147">
        <f t="shared" si="5"/>
        <v>0</v>
      </c>
      <c r="J24" s="1087">
        <f t="shared" si="6"/>
        <v>0</v>
      </c>
      <c r="K24" s="1087">
        <v>0</v>
      </c>
      <c r="L24" s="1087">
        <f t="shared" si="7"/>
        <v>0</v>
      </c>
      <c r="M24" s="1087">
        <f t="shared" si="8"/>
        <v>0</v>
      </c>
      <c r="N24" s="1086">
        <f>'[8]FY2012-13 Initial'!$K25</f>
        <v>2088</v>
      </c>
      <c r="O24" s="1088">
        <f t="shared" si="9"/>
        <v>0</v>
      </c>
      <c r="P24" s="1155">
        <f t="shared" si="10"/>
        <v>0</v>
      </c>
      <c r="Q24" s="1088">
        <f t="shared" si="11"/>
        <v>0</v>
      </c>
      <c r="R24" s="1088">
        <v>0</v>
      </c>
      <c r="S24" s="1088">
        <f t="shared" si="12"/>
        <v>0</v>
      </c>
      <c r="T24" s="1088">
        <f t="shared" si="13"/>
        <v>0</v>
      </c>
      <c r="U24" s="1089">
        <f t="shared" si="14"/>
        <v>0</v>
      </c>
      <c r="V24" s="1089">
        <f t="shared" si="14"/>
        <v>0</v>
      </c>
    </row>
    <row r="25" spans="1:22">
      <c r="A25" s="1028">
        <v>19</v>
      </c>
      <c r="B25" s="1029" t="s">
        <v>120</v>
      </c>
      <c r="C25" s="1292">
        <v>0</v>
      </c>
      <c r="D25" s="1031">
        <f>'Table 3 Levels 1&amp;2'!AL26</f>
        <v>5219.1012787873206</v>
      </c>
      <c r="E25" s="1137">
        <f t="shared" si="2"/>
        <v>0</v>
      </c>
      <c r="F25" s="1137">
        <f>'Table 4 Level 3'!P24</f>
        <v>905.43</v>
      </c>
      <c r="G25" s="1137">
        <f t="shared" si="3"/>
        <v>0</v>
      </c>
      <c r="H25" s="1087">
        <f t="shared" si="4"/>
        <v>0</v>
      </c>
      <c r="I25" s="1147">
        <f t="shared" si="5"/>
        <v>0</v>
      </c>
      <c r="J25" s="1087">
        <f t="shared" si="6"/>
        <v>0</v>
      </c>
      <c r="K25" s="1087">
        <v>0</v>
      </c>
      <c r="L25" s="1087">
        <f t="shared" si="7"/>
        <v>0</v>
      </c>
      <c r="M25" s="1087">
        <f t="shared" si="8"/>
        <v>0</v>
      </c>
      <c r="N25" s="1086">
        <f>'[8]FY2012-13 Initial'!$K26</f>
        <v>2275</v>
      </c>
      <c r="O25" s="1088">
        <f t="shared" si="9"/>
        <v>0</v>
      </c>
      <c r="P25" s="1155">
        <f t="shared" si="10"/>
        <v>0</v>
      </c>
      <c r="Q25" s="1088">
        <f t="shared" si="11"/>
        <v>0</v>
      </c>
      <c r="R25" s="1088">
        <v>0</v>
      </c>
      <c r="S25" s="1088">
        <f t="shared" si="12"/>
        <v>0</v>
      </c>
      <c r="T25" s="1088">
        <f t="shared" si="13"/>
        <v>0</v>
      </c>
      <c r="U25" s="1089">
        <f t="shared" si="14"/>
        <v>0</v>
      </c>
      <c r="V25" s="1089">
        <f t="shared" si="14"/>
        <v>0</v>
      </c>
    </row>
    <row r="26" spans="1:22">
      <c r="A26" s="1032">
        <v>20</v>
      </c>
      <c r="B26" s="1033" t="s">
        <v>121</v>
      </c>
      <c r="C26" s="1293">
        <v>0</v>
      </c>
      <c r="D26" s="1035">
        <f>'Table 3 Levels 1&amp;2'!AL27</f>
        <v>5441.7799844976798</v>
      </c>
      <c r="E26" s="1138">
        <f t="shared" si="2"/>
        <v>0</v>
      </c>
      <c r="F26" s="1138">
        <f>'Table 4 Level 3'!P25</f>
        <v>586.16999999999996</v>
      </c>
      <c r="G26" s="1138">
        <f t="shared" si="3"/>
        <v>0</v>
      </c>
      <c r="H26" s="1090">
        <f t="shared" si="4"/>
        <v>0</v>
      </c>
      <c r="I26" s="1148">
        <f t="shared" si="5"/>
        <v>0</v>
      </c>
      <c r="J26" s="1090">
        <f t="shared" si="6"/>
        <v>0</v>
      </c>
      <c r="K26" s="1090">
        <v>0</v>
      </c>
      <c r="L26" s="1090">
        <f t="shared" si="7"/>
        <v>0</v>
      </c>
      <c r="M26" s="1090">
        <f t="shared" si="8"/>
        <v>0</v>
      </c>
      <c r="N26" s="1091">
        <f>'[8]FY2012-13 Initial'!$K27</f>
        <v>2308</v>
      </c>
      <c r="O26" s="1092">
        <f t="shared" si="9"/>
        <v>0</v>
      </c>
      <c r="P26" s="1156">
        <f t="shared" si="10"/>
        <v>0</v>
      </c>
      <c r="Q26" s="1092">
        <f t="shared" si="11"/>
        <v>0</v>
      </c>
      <c r="R26" s="1092">
        <v>0</v>
      </c>
      <c r="S26" s="1092">
        <f t="shared" si="12"/>
        <v>0</v>
      </c>
      <c r="T26" s="1092">
        <f t="shared" si="13"/>
        <v>0</v>
      </c>
      <c r="U26" s="1093">
        <f t="shared" si="14"/>
        <v>0</v>
      </c>
      <c r="V26" s="1093">
        <f t="shared" si="14"/>
        <v>0</v>
      </c>
    </row>
    <row r="27" spans="1:22">
      <c r="A27" s="1021">
        <v>21</v>
      </c>
      <c r="B27" s="1022" t="s">
        <v>122</v>
      </c>
      <c r="C27" s="1294">
        <v>0</v>
      </c>
      <c r="D27" s="1024">
        <f>'Table 3 Levels 1&amp;2'!AL28</f>
        <v>5718.7800910915075</v>
      </c>
      <c r="E27" s="1136">
        <f t="shared" si="2"/>
        <v>0</v>
      </c>
      <c r="F27" s="1136">
        <f>'Table 4 Level 3'!P26</f>
        <v>610.35</v>
      </c>
      <c r="G27" s="1136">
        <f t="shared" si="3"/>
        <v>0</v>
      </c>
      <c r="H27" s="1025">
        <f t="shared" si="4"/>
        <v>0</v>
      </c>
      <c r="I27" s="1146">
        <f t="shared" si="5"/>
        <v>0</v>
      </c>
      <c r="J27" s="1025">
        <f t="shared" si="6"/>
        <v>0</v>
      </c>
      <c r="K27" s="1025">
        <v>0</v>
      </c>
      <c r="L27" s="1025">
        <f t="shared" si="7"/>
        <v>0</v>
      </c>
      <c r="M27" s="1025">
        <f t="shared" si="8"/>
        <v>0</v>
      </c>
      <c r="N27" s="1086">
        <f>'[8]FY2012-13 Initial'!$K28</f>
        <v>2245</v>
      </c>
      <c r="O27" s="1026">
        <f t="shared" si="9"/>
        <v>0</v>
      </c>
      <c r="P27" s="1154">
        <f t="shared" si="10"/>
        <v>0</v>
      </c>
      <c r="Q27" s="1026">
        <f t="shared" si="11"/>
        <v>0</v>
      </c>
      <c r="R27" s="1026">
        <v>0</v>
      </c>
      <c r="S27" s="1026">
        <f t="shared" si="12"/>
        <v>0</v>
      </c>
      <c r="T27" s="1026">
        <f t="shared" si="13"/>
        <v>0</v>
      </c>
      <c r="U27" s="1027">
        <f t="shared" si="14"/>
        <v>0</v>
      </c>
      <c r="V27" s="1027">
        <f t="shared" si="14"/>
        <v>0</v>
      </c>
    </row>
    <row r="28" spans="1:22">
      <c r="A28" s="1028">
        <v>22</v>
      </c>
      <c r="B28" s="1029" t="s">
        <v>123</v>
      </c>
      <c r="C28" s="1292">
        <v>0</v>
      </c>
      <c r="D28" s="1031">
        <f>'Table 3 Levels 1&amp;2'!AL29</f>
        <v>6198.830003500153</v>
      </c>
      <c r="E28" s="1137">
        <f t="shared" si="2"/>
        <v>0</v>
      </c>
      <c r="F28" s="1137">
        <f>'Table 4 Level 3'!P27</f>
        <v>496.36</v>
      </c>
      <c r="G28" s="1137">
        <f t="shared" si="3"/>
        <v>0</v>
      </c>
      <c r="H28" s="1087">
        <f t="shared" si="4"/>
        <v>0</v>
      </c>
      <c r="I28" s="1147">
        <f t="shared" si="5"/>
        <v>0</v>
      </c>
      <c r="J28" s="1087">
        <f t="shared" si="6"/>
        <v>0</v>
      </c>
      <c r="K28" s="1087">
        <v>0</v>
      </c>
      <c r="L28" s="1087">
        <f t="shared" si="7"/>
        <v>0</v>
      </c>
      <c r="M28" s="1087">
        <f t="shared" si="8"/>
        <v>0</v>
      </c>
      <c r="N28" s="1086">
        <f>'[8]FY2012-13 Initial'!$K29</f>
        <v>1445</v>
      </c>
      <c r="O28" s="1088">
        <f t="shared" si="9"/>
        <v>0</v>
      </c>
      <c r="P28" s="1155">
        <f t="shared" si="10"/>
        <v>0</v>
      </c>
      <c r="Q28" s="1088">
        <f t="shared" si="11"/>
        <v>0</v>
      </c>
      <c r="R28" s="1088">
        <v>0</v>
      </c>
      <c r="S28" s="1088">
        <f t="shared" si="12"/>
        <v>0</v>
      </c>
      <c r="T28" s="1088">
        <f t="shared" si="13"/>
        <v>0</v>
      </c>
      <c r="U28" s="1089">
        <f t="shared" si="14"/>
        <v>0</v>
      </c>
      <c r="V28" s="1089">
        <f t="shared" si="14"/>
        <v>0</v>
      </c>
    </row>
    <row r="29" spans="1:22">
      <c r="A29" s="1028">
        <v>23</v>
      </c>
      <c r="B29" s="1029" t="s">
        <v>124</v>
      </c>
      <c r="C29" s="1292">
        <v>0</v>
      </c>
      <c r="D29" s="1031">
        <f>'Table 3 Levels 1&amp;2'!AL30</f>
        <v>4809.0299298140199</v>
      </c>
      <c r="E29" s="1137">
        <f t="shared" si="2"/>
        <v>0</v>
      </c>
      <c r="F29" s="1137">
        <f>'Table 4 Level 3'!P28</f>
        <v>688.58</v>
      </c>
      <c r="G29" s="1137">
        <f t="shared" si="3"/>
        <v>0</v>
      </c>
      <c r="H29" s="1087">
        <f t="shared" si="4"/>
        <v>0</v>
      </c>
      <c r="I29" s="1147">
        <f t="shared" si="5"/>
        <v>0</v>
      </c>
      <c r="J29" s="1087">
        <f t="shared" si="6"/>
        <v>0</v>
      </c>
      <c r="K29" s="1087">
        <v>0</v>
      </c>
      <c r="L29" s="1087">
        <f t="shared" si="7"/>
        <v>0</v>
      </c>
      <c r="M29" s="1087">
        <f t="shared" si="8"/>
        <v>0</v>
      </c>
      <c r="N29" s="1086">
        <f>'[8]FY2012-13 Initial'!$K30</f>
        <v>3295</v>
      </c>
      <c r="O29" s="1088">
        <f t="shared" si="9"/>
        <v>0</v>
      </c>
      <c r="P29" s="1155">
        <f t="shared" si="10"/>
        <v>0</v>
      </c>
      <c r="Q29" s="1088">
        <f t="shared" si="11"/>
        <v>0</v>
      </c>
      <c r="R29" s="1088">
        <v>0</v>
      </c>
      <c r="S29" s="1088">
        <f t="shared" si="12"/>
        <v>0</v>
      </c>
      <c r="T29" s="1088">
        <f t="shared" si="13"/>
        <v>0</v>
      </c>
      <c r="U29" s="1089">
        <f t="shared" si="14"/>
        <v>0</v>
      </c>
      <c r="V29" s="1089">
        <f t="shared" si="14"/>
        <v>0</v>
      </c>
    </row>
    <row r="30" spans="1:22">
      <c r="A30" s="1028">
        <v>24</v>
      </c>
      <c r="B30" s="1029" t="s">
        <v>125</v>
      </c>
      <c r="C30" s="1292">
        <v>0</v>
      </c>
      <c r="D30" s="1031">
        <f>'Table 3 Levels 1&amp;2'!AL31</f>
        <v>2649.7787452556372</v>
      </c>
      <c r="E30" s="1137">
        <f t="shared" si="2"/>
        <v>0</v>
      </c>
      <c r="F30" s="1137">
        <f>'Table 4 Level 3'!P29</f>
        <v>854.24999999999989</v>
      </c>
      <c r="G30" s="1137">
        <f t="shared" si="3"/>
        <v>0</v>
      </c>
      <c r="H30" s="1087">
        <f t="shared" si="4"/>
        <v>0</v>
      </c>
      <c r="I30" s="1147">
        <f t="shared" si="5"/>
        <v>0</v>
      </c>
      <c r="J30" s="1087">
        <f t="shared" si="6"/>
        <v>0</v>
      </c>
      <c r="K30" s="1087">
        <v>0</v>
      </c>
      <c r="L30" s="1087">
        <f t="shared" si="7"/>
        <v>0</v>
      </c>
      <c r="M30" s="1087">
        <f t="shared" si="8"/>
        <v>0</v>
      </c>
      <c r="N30" s="1086">
        <f>'[8]FY2012-13 Initial'!$K31</f>
        <v>8769</v>
      </c>
      <c r="O30" s="1088">
        <f t="shared" si="9"/>
        <v>0</v>
      </c>
      <c r="P30" s="1155">
        <f t="shared" si="10"/>
        <v>0</v>
      </c>
      <c r="Q30" s="1088">
        <f t="shared" si="11"/>
        <v>0</v>
      </c>
      <c r="R30" s="1088">
        <v>0</v>
      </c>
      <c r="S30" s="1088">
        <f t="shared" si="12"/>
        <v>0</v>
      </c>
      <c r="T30" s="1088">
        <f t="shared" si="13"/>
        <v>0</v>
      </c>
      <c r="U30" s="1089">
        <f t="shared" si="14"/>
        <v>0</v>
      </c>
      <c r="V30" s="1089">
        <f t="shared" si="14"/>
        <v>0</v>
      </c>
    </row>
    <row r="31" spans="1:22">
      <c r="A31" s="1032">
        <v>25</v>
      </c>
      <c r="B31" s="1033" t="s">
        <v>126</v>
      </c>
      <c r="C31" s="1293">
        <v>0</v>
      </c>
      <c r="D31" s="1035">
        <f>'Table 3 Levels 1&amp;2'!AL32</f>
        <v>3848.3923674564248</v>
      </c>
      <c r="E31" s="1138">
        <f t="shared" si="2"/>
        <v>0</v>
      </c>
      <c r="F31" s="1138">
        <f>'Table 4 Level 3'!P30</f>
        <v>653.73</v>
      </c>
      <c r="G31" s="1138">
        <f t="shared" si="3"/>
        <v>0</v>
      </c>
      <c r="H31" s="1090">
        <f t="shared" si="4"/>
        <v>0</v>
      </c>
      <c r="I31" s="1148">
        <f t="shared" si="5"/>
        <v>0</v>
      </c>
      <c r="J31" s="1090">
        <f t="shared" si="6"/>
        <v>0</v>
      </c>
      <c r="K31" s="1090">
        <v>0</v>
      </c>
      <c r="L31" s="1090">
        <f t="shared" si="7"/>
        <v>0</v>
      </c>
      <c r="M31" s="1090">
        <f t="shared" si="8"/>
        <v>0</v>
      </c>
      <c r="N31" s="1091">
        <f>'[8]FY2012-13 Initial'!$K32</f>
        <v>5187</v>
      </c>
      <c r="O31" s="1092">
        <f t="shared" si="9"/>
        <v>0</v>
      </c>
      <c r="P31" s="1156">
        <f t="shared" si="10"/>
        <v>0</v>
      </c>
      <c r="Q31" s="1092">
        <f t="shared" si="11"/>
        <v>0</v>
      </c>
      <c r="R31" s="1092">
        <v>0</v>
      </c>
      <c r="S31" s="1092">
        <f t="shared" si="12"/>
        <v>0</v>
      </c>
      <c r="T31" s="1092">
        <f t="shared" si="13"/>
        <v>0</v>
      </c>
      <c r="U31" s="1093">
        <f t="shared" si="14"/>
        <v>0</v>
      </c>
      <c r="V31" s="1093">
        <f t="shared" si="14"/>
        <v>0</v>
      </c>
    </row>
    <row r="32" spans="1:22">
      <c r="A32" s="1021">
        <v>26</v>
      </c>
      <c r="B32" s="1022" t="s">
        <v>127</v>
      </c>
      <c r="C32" s="1294">
        <v>0</v>
      </c>
      <c r="D32" s="1024">
        <f>'Table 3 Levels 1&amp;2'!AL33</f>
        <v>3145.9192082835102</v>
      </c>
      <c r="E32" s="1136">
        <f t="shared" si="2"/>
        <v>0</v>
      </c>
      <c r="F32" s="1136">
        <f>'Table 4 Level 3'!P31</f>
        <v>836.83</v>
      </c>
      <c r="G32" s="1136">
        <f t="shared" si="3"/>
        <v>0</v>
      </c>
      <c r="H32" s="1025">
        <f t="shared" si="4"/>
        <v>0</v>
      </c>
      <c r="I32" s="1146">
        <f t="shared" si="5"/>
        <v>0</v>
      </c>
      <c r="J32" s="1025">
        <f t="shared" si="6"/>
        <v>0</v>
      </c>
      <c r="K32" s="1025">
        <v>0</v>
      </c>
      <c r="L32" s="1025">
        <f t="shared" si="7"/>
        <v>0</v>
      </c>
      <c r="M32" s="1025">
        <f t="shared" si="8"/>
        <v>0</v>
      </c>
      <c r="N32" s="1086">
        <f>'[8]FY2012-13 Initial'!$K33</f>
        <v>5197</v>
      </c>
      <c r="O32" s="1026">
        <f t="shared" si="9"/>
        <v>0</v>
      </c>
      <c r="P32" s="1154">
        <f t="shared" si="10"/>
        <v>0</v>
      </c>
      <c r="Q32" s="1026">
        <f t="shared" si="11"/>
        <v>0</v>
      </c>
      <c r="R32" s="1026">
        <v>0</v>
      </c>
      <c r="S32" s="1026">
        <f t="shared" si="12"/>
        <v>0</v>
      </c>
      <c r="T32" s="1026">
        <f t="shared" si="13"/>
        <v>0</v>
      </c>
      <c r="U32" s="1027">
        <f t="shared" si="14"/>
        <v>0</v>
      </c>
      <c r="V32" s="1027">
        <f t="shared" si="14"/>
        <v>0</v>
      </c>
    </row>
    <row r="33" spans="1:22">
      <c r="A33" s="1028">
        <v>27</v>
      </c>
      <c r="B33" s="1029" t="s">
        <v>128</v>
      </c>
      <c r="C33" s="1295">
        <v>0</v>
      </c>
      <c r="D33" s="1037">
        <f>'Table 3 Levels 1&amp;2'!AL34</f>
        <v>5653.5502977926608</v>
      </c>
      <c r="E33" s="1139">
        <f t="shared" si="2"/>
        <v>0</v>
      </c>
      <c r="F33" s="1139">
        <f>'Table 4 Level 3'!P32</f>
        <v>693.06</v>
      </c>
      <c r="G33" s="1139">
        <f t="shared" si="3"/>
        <v>0</v>
      </c>
      <c r="H33" s="1094">
        <f t="shared" si="4"/>
        <v>0</v>
      </c>
      <c r="I33" s="1149">
        <f t="shared" si="5"/>
        <v>0</v>
      </c>
      <c r="J33" s="1094">
        <f t="shared" si="6"/>
        <v>0</v>
      </c>
      <c r="K33" s="1094">
        <v>0</v>
      </c>
      <c r="L33" s="1094">
        <f t="shared" si="7"/>
        <v>0</v>
      </c>
      <c r="M33" s="1094">
        <f t="shared" si="8"/>
        <v>0</v>
      </c>
      <c r="N33" s="1086">
        <f>'[8]FY2012-13 Initial'!$K34</f>
        <v>3073</v>
      </c>
      <c r="O33" s="1088">
        <f t="shared" si="9"/>
        <v>0</v>
      </c>
      <c r="P33" s="1155">
        <f t="shared" si="10"/>
        <v>0</v>
      </c>
      <c r="Q33" s="1088">
        <f t="shared" si="11"/>
        <v>0</v>
      </c>
      <c r="R33" s="1088">
        <v>0</v>
      </c>
      <c r="S33" s="1088">
        <f t="shared" si="12"/>
        <v>0</v>
      </c>
      <c r="T33" s="1088">
        <f t="shared" si="13"/>
        <v>0</v>
      </c>
      <c r="U33" s="1089">
        <f t="shared" si="14"/>
        <v>0</v>
      </c>
      <c r="V33" s="1089">
        <f t="shared" si="14"/>
        <v>0</v>
      </c>
    </row>
    <row r="34" spans="1:22">
      <c r="A34" s="1028">
        <v>28</v>
      </c>
      <c r="B34" s="1029" t="s">
        <v>129</v>
      </c>
      <c r="C34" s="1295">
        <v>0</v>
      </c>
      <c r="D34" s="1037">
        <f>'Table 3 Levels 1&amp;2'!AL35</f>
        <v>3200.5356505169011</v>
      </c>
      <c r="E34" s="1139">
        <f t="shared" si="2"/>
        <v>0</v>
      </c>
      <c r="F34" s="1139">
        <f>'Table 4 Level 3'!P33</f>
        <v>694.4</v>
      </c>
      <c r="G34" s="1139">
        <f t="shared" si="3"/>
        <v>0</v>
      </c>
      <c r="H34" s="1094">
        <f t="shared" si="4"/>
        <v>0</v>
      </c>
      <c r="I34" s="1149">
        <f t="shared" si="5"/>
        <v>0</v>
      </c>
      <c r="J34" s="1094">
        <f t="shared" si="6"/>
        <v>0</v>
      </c>
      <c r="K34" s="1094">
        <v>0</v>
      </c>
      <c r="L34" s="1094">
        <f t="shared" si="7"/>
        <v>0</v>
      </c>
      <c r="M34" s="1094">
        <f t="shared" si="8"/>
        <v>0</v>
      </c>
      <c r="N34" s="1086">
        <f>'[8]FY2012-13 Initial'!$K35</f>
        <v>5082</v>
      </c>
      <c r="O34" s="1088">
        <f t="shared" si="9"/>
        <v>0</v>
      </c>
      <c r="P34" s="1155">
        <f t="shared" si="10"/>
        <v>0</v>
      </c>
      <c r="Q34" s="1088">
        <f t="shared" si="11"/>
        <v>0</v>
      </c>
      <c r="R34" s="1088">
        <v>0</v>
      </c>
      <c r="S34" s="1088">
        <f t="shared" si="12"/>
        <v>0</v>
      </c>
      <c r="T34" s="1088">
        <f t="shared" si="13"/>
        <v>0</v>
      </c>
      <c r="U34" s="1089">
        <f t="shared" si="14"/>
        <v>0</v>
      </c>
      <c r="V34" s="1089">
        <f t="shared" si="14"/>
        <v>0</v>
      </c>
    </row>
    <row r="35" spans="1:22">
      <c r="A35" s="1028">
        <v>29</v>
      </c>
      <c r="B35" s="1029" t="s">
        <v>130</v>
      </c>
      <c r="C35" s="1295">
        <v>0</v>
      </c>
      <c r="D35" s="1037">
        <f>'Table 3 Levels 1&amp;2'!AL36</f>
        <v>3945.0399545376122</v>
      </c>
      <c r="E35" s="1139">
        <f t="shared" si="2"/>
        <v>0</v>
      </c>
      <c r="F35" s="1139">
        <f>'Table 4 Level 3'!P34</f>
        <v>754.94999999999993</v>
      </c>
      <c r="G35" s="1139">
        <f t="shared" si="3"/>
        <v>0</v>
      </c>
      <c r="H35" s="1094">
        <f t="shared" si="4"/>
        <v>0</v>
      </c>
      <c r="I35" s="1149">
        <f t="shared" si="5"/>
        <v>0</v>
      </c>
      <c r="J35" s="1094">
        <f t="shared" si="6"/>
        <v>0</v>
      </c>
      <c r="K35" s="1094">
        <v>0</v>
      </c>
      <c r="L35" s="1094">
        <f t="shared" si="7"/>
        <v>0</v>
      </c>
      <c r="M35" s="1094">
        <f t="shared" si="8"/>
        <v>0</v>
      </c>
      <c r="N35" s="1086">
        <f>'[8]FY2012-13 Initial'!$K36</f>
        <v>4295</v>
      </c>
      <c r="O35" s="1088">
        <f t="shared" si="9"/>
        <v>0</v>
      </c>
      <c r="P35" s="1155">
        <f t="shared" si="10"/>
        <v>0</v>
      </c>
      <c r="Q35" s="1088">
        <f t="shared" si="11"/>
        <v>0</v>
      </c>
      <c r="R35" s="1088">
        <v>0</v>
      </c>
      <c r="S35" s="1088">
        <f t="shared" si="12"/>
        <v>0</v>
      </c>
      <c r="T35" s="1088">
        <f t="shared" si="13"/>
        <v>0</v>
      </c>
      <c r="U35" s="1089">
        <f t="shared" si="14"/>
        <v>0</v>
      </c>
      <c r="V35" s="1089">
        <f t="shared" si="14"/>
        <v>0</v>
      </c>
    </row>
    <row r="36" spans="1:22">
      <c r="A36" s="1032">
        <v>30</v>
      </c>
      <c r="B36" s="1033" t="s">
        <v>131</v>
      </c>
      <c r="C36" s="1296">
        <v>0</v>
      </c>
      <c r="D36" s="1039">
        <f>'Table 3 Levels 1&amp;2'!AL37</f>
        <v>5594.8916667625617</v>
      </c>
      <c r="E36" s="1140">
        <f t="shared" si="2"/>
        <v>0</v>
      </c>
      <c r="F36" s="1140">
        <f>'Table 4 Level 3'!P35</f>
        <v>727.17</v>
      </c>
      <c r="G36" s="1140">
        <f t="shared" si="3"/>
        <v>0</v>
      </c>
      <c r="H36" s="1095">
        <f t="shared" si="4"/>
        <v>0</v>
      </c>
      <c r="I36" s="1150">
        <f t="shared" si="5"/>
        <v>0</v>
      </c>
      <c r="J36" s="1095">
        <f t="shared" si="6"/>
        <v>0</v>
      </c>
      <c r="K36" s="1095">
        <v>0</v>
      </c>
      <c r="L36" s="1095">
        <f t="shared" si="7"/>
        <v>0</v>
      </c>
      <c r="M36" s="1095">
        <f t="shared" si="8"/>
        <v>0</v>
      </c>
      <c r="N36" s="1091">
        <f>'[8]FY2012-13 Initial'!$K37</f>
        <v>3553</v>
      </c>
      <c r="O36" s="1092">
        <f t="shared" si="9"/>
        <v>0</v>
      </c>
      <c r="P36" s="1156">
        <f t="shared" si="10"/>
        <v>0</v>
      </c>
      <c r="Q36" s="1092">
        <f t="shared" si="11"/>
        <v>0</v>
      </c>
      <c r="R36" s="1092">
        <v>0</v>
      </c>
      <c r="S36" s="1092">
        <f t="shared" si="12"/>
        <v>0</v>
      </c>
      <c r="T36" s="1092">
        <f t="shared" si="13"/>
        <v>0</v>
      </c>
      <c r="U36" s="1093">
        <f t="shared" si="14"/>
        <v>0</v>
      </c>
      <c r="V36" s="1093">
        <f t="shared" si="14"/>
        <v>0</v>
      </c>
    </row>
    <row r="37" spans="1:22">
      <c r="A37" s="1021">
        <v>31</v>
      </c>
      <c r="B37" s="1022" t="s">
        <v>132</v>
      </c>
      <c r="C37" s="1297">
        <v>0</v>
      </c>
      <c r="D37" s="1041">
        <f>'Table 3 Levels 1&amp;2'!AL38</f>
        <v>4159.5846806435638</v>
      </c>
      <c r="E37" s="1141">
        <f t="shared" si="2"/>
        <v>0</v>
      </c>
      <c r="F37" s="1141">
        <f>'Table 4 Level 3'!P36</f>
        <v>620.83000000000004</v>
      </c>
      <c r="G37" s="1141">
        <f t="shared" si="3"/>
        <v>0</v>
      </c>
      <c r="H37" s="1096">
        <f t="shared" si="4"/>
        <v>0</v>
      </c>
      <c r="I37" s="1151">
        <f t="shared" si="5"/>
        <v>0</v>
      </c>
      <c r="J37" s="1096">
        <f t="shared" si="6"/>
        <v>0</v>
      </c>
      <c r="K37" s="1096">
        <v>0</v>
      </c>
      <c r="L37" s="1096">
        <f t="shared" si="7"/>
        <v>0</v>
      </c>
      <c r="M37" s="1096">
        <f t="shared" si="8"/>
        <v>0</v>
      </c>
      <c r="N37" s="1086">
        <f>'[8]FY2012-13 Initial'!$K38</f>
        <v>4719</v>
      </c>
      <c r="O37" s="1026">
        <f t="shared" si="9"/>
        <v>0</v>
      </c>
      <c r="P37" s="1154">
        <f t="shared" si="10"/>
        <v>0</v>
      </c>
      <c r="Q37" s="1026">
        <f t="shared" si="11"/>
        <v>0</v>
      </c>
      <c r="R37" s="1026">
        <v>0</v>
      </c>
      <c r="S37" s="1026">
        <f t="shared" si="12"/>
        <v>0</v>
      </c>
      <c r="T37" s="1026">
        <f t="shared" si="13"/>
        <v>0</v>
      </c>
      <c r="U37" s="1027">
        <f t="shared" si="14"/>
        <v>0</v>
      </c>
      <c r="V37" s="1027">
        <f t="shared" si="14"/>
        <v>0</v>
      </c>
    </row>
    <row r="38" spans="1:22">
      <c r="A38" s="1028">
        <v>32</v>
      </c>
      <c r="B38" s="1029" t="s">
        <v>133</v>
      </c>
      <c r="C38" s="1295">
        <v>0</v>
      </c>
      <c r="D38" s="1037">
        <f>'Table 3 Levels 1&amp;2'!AL39</f>
        <v>5475.1436637248598</v>
      </c>
      <c r="E38" s="1139">
        <f t="shared" si="2"/>
        <v>0</v>
      </c>
      <c r="F38" s="1139">
        <f>'Table 4 Level 3'!P37</f>
        <v>559.77</v>
      </c>
      <c r="G38" s="1139">
        <f t="shared" si="3"/>
        <v>0</v>
      </c>
      <c r="H38" s="1094">
        <f t="shared" si="4"/>
        <v>0</v>
      </c>
      <c r="I38" s="1149">
        <f t="shared" si="5"/>
        <v>0</v>
      </c>
      <c r="J38" s="1094">
        <f t="shared" si="6"/>
        <v>0</v>
      </c>
      <c r="K38" s="1094">
        <v>0</v>
      </c>
      <c r="L38" s="1094">
        <f t="shared" si="7"/>
        <v>0</v>
      </c>
      <c r="M38" s="1094">
        <f t="shared" si="8"/>
        <v>0</v>
      </c>
      <c r="N38" s="1086">
        <f>'[8]FY2012-13 Initial'!$K39</f>
        <v>1979</v>
      </c>
      <c r="O38" s="1088">
        <f t="shared" si="9"/>
        <v>0</v>
      </c>
      <c r="P38" s="1155">
        <f t="shared" si="10"/>
        <v>0</v>
      </c>
      <c r="Q38" s="1088">
        <f t="shared" si="11"/>
        <v>0</v>
      </c>
      <c r="R38" s="1088">
        <v>0</v>
      </c>
      <c r="S38" s="1088">
        <f t="shared" si="12"/>
        <v>0</v>
      </c>
      <c r="T38" s="1088">
        <f t="shared" si="13"/>
        <v>0</v>
      </c>
      <c r="U38" s="1089">
        <f t="shared" si="14"/>
        <v>0</v>
      </c>
      <c r="V38" s="1089">
        <f t="shared" si="14"/>
        <v>0</v>
      </c>
    </row>
    <row r="39" spans="1:22">
      <c r="A39" s="1028">
        <v>33</v>
      </c>
      <c r="B39" s="1029" t="s">
        <v>134</v>
      </c>
      <c r="C39" s="1295">
        <v>0</v>
      </c>
      <c r="D39" s="1037">
        <f>'Table 3 Levels 1&amp;2'!AL40</f>
        <v>5397.5678422891451</v>
      </c>
      <c r="E39" s="1139">
        <f t="shared" si="2"/>
        <v>0</v>
      </c>
      <c r="F39" s="1139">
        <f>'Table 4 Level 3'!P38</f>
        <v>655.31000000000006</v>
      </c>
      <c r="G39" s="1139">
        <f t="shared" si="3"/>
        <v>0</v>
      </c>
      <c r="H39" s="1094">
        <f t="shared" si="4"/>
        <v>0</v>
      </c>
      <c r="I39" s="1149">
        <f t="shared" si="5"/>
        <v>0</v>
      </c>
      <c r="J39" s="1094">
        <f t="shared" si="6"/>
        <v>0</v>
      </c>
      <c r="K39" s="1094">
        <v>0</v>
      </c>
      <c r="L39" s="1094">
        <f t="shared" si="7"/>
        <v>0</v>
      </c>
      <c r="M39" s="1094">
        <f t="shared" si="8"/>
        <v>0</v>
      </c>
      <c r="N39" s="1086">
        <f>'[8]FY2012-13 Initial'!$K40</f>
        <v>3055</v>
      </c>
      <c r="O39" s="1088">
        <f t="shared" si="9"/>
        <v>0</v>
      </c>
      <c r="P39" s="1155">
        <f t="shared" si="10"/>
        <v>0</v>
      </c>
      <c r="Q39" s="1088">
        <f t="shared" si="11"/>
        <v>0</v>
      </c>
      <c r="R39" s="1088">
        <v>0</v>
      </c>
      <c r="S39" s="1088">
        <f t="shared" si="12"/>
        <v>0</v>
      </c>
      <c r="T39" s="1088">
        <f t="shared" si="13"/>
        <v>0</v>
      </c>
      <c r="U39" s="1089">
        <f t="shared" si="14"/>
        <v>0</v>
      </c>
      <c r="V39" s="1089">
        <f t="shared" si="14"/>
        <v>0</v>
      </c>
    </row>
    <row r="40" spans="1:22">
      <c r="A40" s="1028">
        <v>34</v>
      </c>
      <c r="B40" s="1029" t="s">
        <v>135</v>
      </c>
      <c r="C40" s="1295">
        <v>0</v>
      </c>
      <c r="D40" s="1037">
        <f>'Table 3 Levels 1&amp;2'!AL41</f>
        <v>5843.9642210290731</v>
      </c>
      <c r="E40" s="1139">
        <f t="shared" si="2"/>
        <v>0</v>
      </c>
      <c r="F40" s="1139">
        <f>'Table 4 Level 3'!P39</f>
        <v>644.11000000000013</v>
      </c>
      <c r="G40" s="1139">
        <f t="shared" si="3"/>
        <v>0</v>
      </c>
      <c r="H40" s="1094">
        <f t="shared" si="4"/>
        <v>0</v>
      </c>
      <c r="I40" s="1149">
        <f t="shared" si="5"/>
        <v>0</v>
      </c>
      <c r="J40" s="1094">
        <f t="shared" si="6"/>
        <v>0</v>
      </c>
      <c r="K40" s="1094">
        <v>0</v>
      </c>
      <c r="L40" s="1094">
        <f t="shared" si="7"/>
        <v>0</v>
      </c>
      <c r="M40" s="1094">
        <f t="shared" si="8"/>
        <v>0</v>
      </c>
      <c r="N40" s="1086">
        <f>'[8]FY2012-13 Initial'!$K41</f>
        <v>2782</v>
      </c>
      <c r="O40" s="1088">
        <f t="shared" si="9"/>
        <v>0</v>
      </c>
      <c r="P40" s="1155">
        <f t="shared" si="10"/>
        <v>0</v>
      </c>
      <c r="Q40" s="1088">
        <f t="shared" si="11"/>
        <v>0</v>
      </c>
      <c r="R40" s="1088">
        <v>0</v>
      </c>
      <c r="S40" s="1088">
        <f t="shared" si="12"/>
        <v>0</v>
      </c>
      <c r="T40" s="1088">
        <f t="shared" si="13"/>
        <v>0</v>
      </c>
      <c r="U40" s="1089">
        <f t="shared" si="14"/>
        <v>0</v>
      </c>
      <c r="V40" s="1089">
        <f t="shared" si="14"/>
        <v>0</v>
      </c>
    </row>
    <row r="41" spans="1:22">
      <c r="A41" s="1032">
        <v>35</v>
      </c>
      <c r="B41" s="1033" t="s">
        <v>136</v>
      </c>
      <c r="C41" s="1296">
        <v>0</v>
      </c>
      <c r="D41" s="1039">
        <f>'Table 3 Levels 1&amp;2'!AL42</f>
        <v>4830.9633412658623</v>
      </c>
      <c r="E41" s="1140">
        <f t="shared" si="2"/>
        <v>0</v>
      </c>
      <c r="F41" s="1140">
        <f>'Table 4 Level 3'!P40</f>
        <v>537.96</v>
      </c>
      <c r="G41" s="1140">
        <f t="shared" si="3"/>
        <v>0</v>
      </c>
      <c r="H41" s="1095">
        <f t="shared" si="4"/>
        <v>0</v>
      </c>
      <c r="I41" s="1150">
        <f t="shared" si="5"/>
        <v>0</v>
      </c>
      <c r="J41" s="1095">
        <f t="shared" si="6"/>
        <v>0</v>
      </c>
      <c r="K41" s="1095">
        <v>0</v>
      </c>
      <c r="L41" s="1095">
        <f t="shared" si="7"/>
        <v>0</v>
      </c>
      <c r="M41" s="1095">
        <f t="shared" si="8"/>
        <v>0</v>
      </c>
      <c r="N41" s="1091">
        <f>'[8]FY2012-13 Initial'!$K42</f>
        <v>3175</v>
      </c>
      <c r="O41" s="1092">
        <f t="shared" si="9"/>
        <v>0</v>
      </c>
      <c r="P41" s="1156">
        <f t="shared" si="10"/>
        <v>0</v>
      </c>
      <c r="Q41" s="1092">
        <f t="shared" si="11"/>
        <v>0</v>
      </c>
      <c r="R41" s="1092">
        <v>0</v>
      </c>
      <c r="S41" s="1092">
        <f t="shared" si="12"/>
        <v>0</v>
      </c>
      <c r="T41" s="1092">
        <f t="shared" si="13"/>
        <v>0</v>
      </c>
      <c r="U41" s="1093">
        <f t="shared" si="14"/>
        <v>0</v>
      </c>
      <c r="V41" s="1093">
        <f t="shared" si="14"/>
        <v>0</v>
      </c>
    </row>
    <row r="42" spans="1:22">
      <c r="A42" s="1021">
        <v>36</v>
      </c>
      <c r="B42" s="1022" t="s">
        <v>137</v>
      </c>
      <c r="C42" s="1297">
        <v>0</v>
      </c>
      <c r="D42" s="1041">
        <f>'Table 3 Levels 1&amp;2'!AL43</f>
        <v>3493.4615493208294</v>
      </c>
      <c r="E42" s="1141">
        <f t="shared" si="2"/>
        <v>0</v>
      </c>
      <c r="F42" s="1141">
        <f>'Table 5B1_RSD_Orleans'!F78</f>
        <v>746.0335616438357</v>
      </c>
      <c r="G42" s="1141">
        <f t="shared" si="3"/>
        <v>0</v>
      </c>
      <c r="H42" s="1096">
        <f t="shared" si="4"/>
        <v>0</v>
      </c>
      <c r="I42" s="1151">
        <f t="shared" si="5"/>
        <v>0</v>
      </c>
      <c r="J42" s="1096">
        <f t="shared" si="6"/>
        <v>0</v>
      </c>
      <c r="K42" s="1096">
        <v>0</v>
      </c>
      <c r="L42" s="1096">
        <f t="shared" si="7"/>
        <v>0</v>
      </c>
      <c r="M42" s="1096">
        <f t="shared" si="8"/>
        <v>0</v>
      </c>
      <c r="N42" s="1086">
        <f>'[8]FY2012-13 Initial'!$K43</f>
        <v>4785</v>
      </c>
      <c r="O42" s="1026">
        <f t="shared" si="9"/>
        <v>0</v>
      </c>
      <c r="P42" s="1154">
        <f t="shared" si="10"/>
        <v>0</v>
      </c>
      <c r="Q42" s="1026">
        <f t="shared" si="11"/>
        <v>0</v>
      </c>
      <c r="R42" s="1026">
        <v>0</v>
      </c>
      <c r="S42" s="1026">
        <f t="shared" si="12"/>
        <v>0</v>
      </c>
      <c r="T42" s="1026">
        <f t="shared" si="13"/>
        <v>0</v>
      </c>
      <c r="U42" s="1027">
        <f t="shared" si="14"/>
        <v>0</v>
      </c>
      <c r="V42" s="1027">
        <f t="shared" si="14"/>
        <v>0</v>
      </c>
    </row>
    <row r="43" spans="1:22">
      <c r="A43" s="1028">
        <v>37</v>
      </c>
      <c r="B43" s="1029" t="s">
        <v>138</v>
      </c>
      <c r="C43" s="1295">
        <v>0</v>
      </c>
      <c r="D43" s="1037">
        <f>'Table 3 Levels 1&amp;2'!AL44</f>
        <v>5484.3026094077886</v>
      </c>
      <c r="E43" s="1139">
        <f t="shared" si="2"/>
        <v>0</v>
      </c>
      <c r="F43" s="1139">
        <f>'Table 4 Level 3'!P42</f>
        <v>653.61</v>
      </c>
      <c r="G43" s="1139">
        <f t="shared" si="3"/>
        <v>0</v>
      </c>
      <c r="H43" s="1094">
        <f t="shared" si="4"/>
        <v>0</v>
      </c>
      <c r="I43" s="1149">
        <f t="shared" si="5"/>
        <v>0</v>
      </c>
      <c r="J43" s="1094">
        <f t="shared" si="6"/>
        <v>0</v>
      </c>
      <c r="K43" s="1094">
        <v>0</v>
      </c>
      <c r="L43" s="1094">
        <f t="shared" si="7"/>
        <v>0</v>
      </c>
      <c r="M43" s="1094">
        <f t="shared" si="8"/>
        <v>0</v>
      </c>
      <c r="N43" s="1086">
        <f>'[8]FY2012-13 Initial'!$K44</f>
        <v>3112</v>
      </c>
      <c r="O43" s="1088">
        <f t="shared" si="9"/>
        <v>0</v>
      </c>
      <c r="P43" s="1155">
        <f t="shared" si="10"/>
        <v>0</v>
      </c>
      <c r="Q43" s="1088">
        <f t="shared" si="11"/>
        <v>0</v>
      </c>
      <c r="R43" s="1088">
        <v>0</v>
      </c>
      <c r="S43" s="1088">
        <f t="shared" si="12"/>
        <v>0</v>
      </c>
      <c r="T43" s="1088">
        <f t="shared" si="13"/>
        <v>0</v>
      </c>
      <c r="U43" s="1089">
        <f t="shared" si="14"/>
        <v>0</v>
      </c>
      <c r="V43" s="1089">
        <f t="shared" si="14"/>
        <v>0</v>
      </c>
    </row>
    <row r="44" spans="1:22">
      <c r="A44" s="1028">
        <v>38</v>
      </c>
      <c r="B44" s="1029" t="s">
        <v>139</v>
      </c>
      <c r="C44" s="1295">
        <v>0</v>
      </c>
      <c r="D44" s="1037">
        <f>'Table 3 Levels 1&amp;2'!AL45</f>
        <v>2191.7415364583335</v>
      </c>
      <c r="E44" s="1139">
        <f t="shared" si="2"/>
        <v>0</v>
      </c>
      <c r="F44" s="1139">
        <f>'Table 4 Level 3'!P43</f>
        <v>829.92000000000007</v>
      </c>
      <c r="G44" s="1139">
        <f t="shared" si="3"/>
        <v>0</v>
      </c>
      <c r="H44" s="1094">
        <f t="shared" si="4"/>
        <v>0</v>
      </c>
      <c r="I44" s="1149">
        <f t="shared" si="5"/>
        <v>0</v>
      </c>
      <c r="J44" s="1094">
        <f t="shared" si="6"/>
        <v>0</v>
      </c>
      <c r="K44" s="1094">
        <v>0</v>
      </c>
      <c r="L44" s="1094">
        <f t="shared" si="7"/>
        <v>0</v>
      </c>
      <c r="M44" s="1094">
        <f t="shared" si="8"/>
        <v>0</v>
      </c>
      <c r="N44" s="1086">
        <f>'[8]FY2012-13 Initial'!$K45</f>
        <v>9771</v>
      </c>
      <c r="O44" s="1088">
        <f t="shared" si="9"/>
        <v>0</v>
      </c>
      <c r="P44" s="1155">
        <f t="shared" si="10"/>
        <v>0</v>
      </c>
      <c r="Q44" s="1088">
        <f t="shared" si="11"/>
        <v>0</v>
      </c>
      <c r="R44" s="1088">
        <v>0</v>
      </c>
      <c r="S44" s="1088">
        <f t="shared" si="12"/>
        <v>0</v>
      </c>
      <c r="T44" s="1088">
        <f t="shared" si="13"/>
        <v>0</v>
      </c>
      <c r="U44" s="1089">
        <f t="shared" si="14"/>
        <v>0</v>
      </c>
      <c r="V44" s="1089">
        <f t="shared" si="14"/>
        <v>0</v>
      </c>
    </row>
    <row r="45" spans="1:22">
      <c r="A45" s="1028">
        <v>39</v>
      </c>
      <c r="B45" s="1029" t="s">
        <v>140</v>
      </c>
      <c r="C45" s="1295">
        <v>0</v>
      </c>
      <c r="D45" s="1037">
        <f>'Table 3 Levels 1&amp;2'!AL46</f>
        <v>3686.1886996918806</v>
      </c>
      <c r="E45" s="1139">
        <f t="shared" si="2"/>
        <v>0</v>
      </c>
      <c r="F45" s="1139">
        <f>'Table 5B2_RSD_LA'!F21</f>
        <v>779.65573042776441</v>
      </c>
      <c r="G45" s="1139">
        <f t="shared" si="3"/>
        <v>0</v>
      </c>
      <c r="H45" s="1094">
        <f t="shared" si="4"/>
        <v>0</v>
      </c>
      <c r="I45" s="1149">
        <f t="shared" si="5"/>
        <v>0</v>
      </c>
      <c r="J45" s="1094">
        <f t="shared" si="6"/>
        <v>0</v>
      </c>
      <c r="K45" s="1094">
        <v>0</v>
      </c>
      <c r="L45" s="1094">
        <f t="shared" si="7"/>
        <v>0</v>
      </c>
      <c r="M45" s="1094">
        <f t="shared" si="8"/>
        <v>0</v>
      </c>
      <c r="N45" s="1086">
        <f>'[8]FY2012-13 Initial'!$K46</f>
        <v>4190</v>
      </c>
      <c r="O45" s="1088">
        <f t="shared" si="9"/>
        <v>0</v>
      </c>
      <c r="P45" s="1155">
        <f t="shared" si="10"/>
        <v>0</v>
      </c>
      <c r="Q45" s="1088">
        <f t="shared" si="11"/>
        <v>0</v>
      </c>
      <c r="R45" s="1088">
        <v>0</v>
      </c>
      <c r="S45" s="1088">
        <f t="shared" si="12"/>
        <v>0</v>
      </c>
      <c r="T45" s="1088">
        <f t="shared" si="13"/>
        <v>0</v>
      </c>
      <c r="U45" s="1089">
        <f t="shared" si="14"/>
        <v>0</v>
      </c>
      <c r="V45" s="1089">
        <f t="shared" si="14"/>
        <v>0</v>
      </c>
    </row>
    <row r="46" spans="1:22">
      <c r="A46" s="1032">
        <v>40</v>
      </c>
      <c r="B46" s="1033" t="s">
        <v>141</v>
      </c>
      <c r="C46" s="1296">
        <v>0</v>
      </c>
      <c r="D46" s="1039">
        <f>'Table 3 Levels 1&amp;2'!AL47</f>
        <v>4879.0185326187402</v>
      </c>
      <c r="E46" s="1140">
        <f t="shared" si="2"/>
        <v>0</v>
      </c>
      <c r="F46" s="1140">
        <f>'Table 4 Level 3'!P45</f>
        <v>700.2700000000001</v>
      </c>
      <c r="G46" s="1140">
        <f t="shared" si="3"/>
        <v>0</v>
      </c>
      <c r="H46" s="1095">
        <f t="shared" si="4"/>
        <v>0</v>
      </c>
      <c r="I46" s="1150">
        <f t="shared" si="5"/>
        <v>0</v>
      </c>
      <c r="J46" s="1095">
        <f t="shared" si="6"/>
        <v>0</v>
      </c>
      <c r="K46" s="1095">
        <v>0</v>
      </c>
      <c r="L46" s="1095">
        <f t="shared" si="7"/>
        <v>0</v>
      </c>
      <c r="M46" s="1095">
        <f t="shared" si="8"/>
        <v>0</v>
      </c>
      <c r="N46" s="1091">
        <f>'[8]FY2012-13 Initial'!$K47</f>
        <v>2887</v>
      </c>
      <c r="O46" s="1092">
        <f t="shared" si="9"/>
        <v>0</v>
      </c>
      <c r="P46" s="1156">
        <f t="shared" si="10"/>
        <v>0</v>
      </c>
      <c r="Q46" s="1092">
        <f t="shared" si="11"/>
        <v>0</v>
      </c>
      <c r="R46" s="1092">
        <v>0</v>
      </c>
      <c r="S46" s="1092">
        <f t="shared" si="12"/>
        <v>0</v>
      </c>
      <c r="T46" s="1092">
        <f t="shared" si="13"/>
        <v>0</v>
      </c>
      <c r="U46" s="1093">
        <f t="shared" si="14"/>
        <v>0</v>
      </c>
      <c r="V46" s="1093">
        <f t="shared" si="14"/>
        <v>0</v>
      </c>
    </row>
    <row r="47" spans="1:22">
      <c r="A47" s="1021">
        <v>41</v>
      </c>
      <c r="B47" s="1022" t="s">
        <v>142</v>
      </c>
      <c r="C47" s="1297">
        <v>0</v>
      </c>
      <c r="D47" s="1041">
        <f>'Table 3 Levels 1&amp;2'!AL48</f>
        <v>1608.4303482587065</v>
      </c>
      <c r="E47" s="1141">
        <f t="shared" si="2"/>
        <v>0</v>
      </c>
      <c r="F47" s="1141">
        <f>'Table 4 Level 3'!P46</f>
        <v>886.22</v>
      </c>
      <c r="G47" s="1141">
        <f t="shared" si="3"/>
        <v>0</v>
      </c>
      <c r="H47" s="1096">
        <f t="shared" si="4"/>
        <v>0</v>
      </c>
      <c r="I47" s="1151">
        <f t="shared" si="5"/>
        <v>0</v>
      </c>
      <c r="J47" s="1096">
        <f t="shared" si="6"/>
        <v>0</v>
      </c>
      <c r="K47" s="1096">
        <v>0</v>
      </c>
      <c r="L47" s="1096">
        <f t="shared" si="7"/>
        <v>0</v>
      </c>
      <c r="M47" s="1096">
        <f t="shared" si="8"/>
        <v>0</v>
      </c>
      <c r="N47" s="1086">
        <f>'[8]FY2012-13 Initial'!$K48</f>
        <v>12470</v>
      </c>
      <c r="O47" s="1026">
        <f t="shared" si="9"/>
        <v>0</v>
      </c>
      <c r="P47" s="1154">
        <f t="shared" si="10"/>
        <v>0</v>
      </c>
      <c r="Q47" s="1026">
        <f t="shared" si="11"/>
        <v>0</v>
      </c>
      <c r="R47" s="1026">
        <v>0</v>
      </c>
      <c r="S47" s="1026">
        <f t="shared" si="12"/>
        <v>0</v>
      </c>
      <c r="T47" s="1026">
        <f t="shared" si="13"/>
        <v>0</v>
      </c>
      <c r="U47" s="1027">
        <f t="shared" si="14"/>
        <v>0</v>
      </c>
      <c r="V47" s="1027">
        <f t="shared" si="14"/>
        <v>0</v>
      </c>
    </row>
    <row r="48" spans="1:22">
      <c r="A48" s="1028">
        <v>42</v>
      </c>
      <c r="B48" s="1029" t="s">
        <v>143</v>
      </c>
      <c r="C48" s="1295">
        <v>0</v>
      </c>
      <c r="D48" s="1037">
        <f>'Table 3 Levels 1&amp;2'!AL49</f>
        <v>5260.3047779801664</v>
      </c>
      <c r="E48" s="1139">
        <f t="shared" si="2"/>
        <v>0</v>
      </c>
      <c r="F48" s="1139">
        <f>'Table 4 Level 3'!P47</f>
        <v>534.28</v>
      </c>
      <c r="G48" s="1139">
        <f t="shared" si="3"/>
        <v>0</v>
      </c>
      <c r="H48" s="1094">
        <f t="shared" si="4"/>
        <v>0</v>
      </c>
      <c r="I48" s="1149">
        <f t="shared" si="5"/>
        <v>0</v>
      </c>
      <c r="J48" s="1094">
        <f t="shared" si="6"/>
        <v>0</v>
      </c>
      <c r="K48" s="1094">
        <v>0</v>
      </c>
      <c r="L48" s="1094">
        <f t="shared" si="7"/>
        <v>0</v>
      </c>
      <c r="M48" s="1094">
        <f t="shared" si="8"/>
        <v>0</v>
      </c>
      <c r="N48" s="1086">
        <f>'[8]FY2012-13 Initial'!$K49</f>
        <v>2353</v>
      </c>
      <c r="O48" s="1088">
        <f t="shared" si="9"/>
        <v>0</v>
      </c>
      <c r="P48" s="1155">
        <f t="shared" si="10"/>
        <v>0</v>
      </c>
      <c r="Q48" s="1088">
        <f t="shared" si="11"/>
        <v>0</v>
      </c>
      <c r="R48" s="1088">
        <v>0</v>
      </c>
      <c r="S48" s="1088">
        <f t="shared" si="12"/>
        <v>0</v>
      </c>
      <c r="T48" s="1088">
        <f t="shared" si="13"/>
        <v>0</v>
      </c>
      <c r="U48" s="1089">
        <f t="shared" si="14"/>
        <v>0</v>
      </c>
      <c r="V48" s="1089">
        <f t="shared" si="14"/>
        <v>0</v>
      </c>
    </row>
    <row r="49" spans="1:22">
      <c r="A49" s="1028">
        <v>43</v>
      </c>
      <c r="B49" s="1029" t="s">
        <v>144</v>
      </c>
      <c r="C49" s="1295">
        <v>0</v>
      </c>
      <c r="D49" s="1037">
        <f>'Table 3 Levels 1&amp;2'!AL50</f>
        <v>5587.3492327608728</v>
      </c>
      <c r="E49" s="1139">
        <f t="shared" si="2"/>
        <v>0</v>
      </c>
      <c r="F49" s="1139">
        <f>'Table 4 Level 3'!P48</f>
        <v>574.6099999999999</v>
      </c>
      <c r="G49" s="1139">
        <f t="shared" si="3"/>
        <v>0</v>
      </c>
      <c r="H49" s="1094">
        <f t="shared" si="4"/>
        <v>0</v>
      </c>
      <c r="I49" s="1149">
        <f t="shared" si="5"/>
        <v>0</v>
      </c>
      <c r="J49" s="1094">
        <f t="shared" si="6"/>
        <v>0</v>
      </c>
      <c r="K49" s="1094">
        <v>0</v>
      </c>
      <c r="L49" s="1094">
        <f t="shared" si="7"/>
        <v>0</v>
      </c>
      <c r="M49" s="1094">
        <f t="shared" si="8"/>
        <v>0</v>
      </c>
      <c r="N49" s="1086">
        <f>'[8]FY2012-13 Initial'!$K50</f>
        <v>5599</v>
      </c>
      <c r="O49" s="1088">
        <f t="shared" si="9"/>
        <v>0</v>
      </c>
      <c r="P49" s="1155">
        <f t="shared" si="10"/>
        <v>0</v>
      </c>
      <c r="Q49" s="1088">
        <f t="shared" si="11"/>
        <v>0</v>
      </c>
      <c r="R49" s="1088">
        <v>0</v>
      </c>
      <c r="S49" s="1088">
        <f t="shared" si="12"/>
        <v>0</v>
      </c>
      <c r="T49" s="1088">
        <f t="shared" si="13"/>
        <v>0</v>
      </c>
      <c r="U49" s="1089">
        <f t="shared" si="14"/>
        <v>0</v>
      </c>
      <c r="V49" s="1089">
        <f t="shared" si="14"/>
        <v>0</v>
      </c>
    </row>
    <row r="50" spans="1:22">
      <c r="A50" s="1028">
        <v>44</v>
      </c>
      <c r="B50" s="1029" t="s">
        <v>145</v>
      </c>
      <c r="C50" s="1295">
        <v>0</v>
      </c>
      <c r="D50" s="1037">
        <f>'Table 3 Levels 1&amp;2'!AL51</f>
        <v>4113.1787591918992</v>
      </c>
      <c r="E50" s="1139">
        <f t="shared" si="2"/>
        <v>0</v>
      </c>
      <c r="F50" s="1139">
        <f>'Table 4 Level 3'!P49</f>
        <v>663.16000000000008</v>
      </c>
      <c r="G50" s="1139">
        <f t="shared" si="3"/>
        <v>0</v>
      </c>
      <c r="H50" s="1094">
        <f t="shared" si="4"/>
        <v>0</v>
      </c>
      <c r="I50" s="1149">
        <f t="shared" si="5"/>
        <v>0</v>
      </c>
      <c r="J50" s="1094">
        <f t="shared" si="6"/>
        <v>0</v>
      </c>
      <c r="K50" s="1094">
        <v>0</v>
      </c>
      <c r="L50" s="1094">
        <f t="shared" si="7"/>
        <v>0</v>
      </c>
      <c r="M50" s="1094">
        <f t="shared" si="8"/>
        <v>0</v>
      </c>
      <c r="N50" s="1086">
        <f>'[8]FY2012-13 Initial'!$K51</f>
        <v>4661</v>
      </c>
      <c r="O50" s="1088">
        <f t="shared" si="9"/>
        <v>0</v>
      </c>
      <c r="P50" s="1155">
        <f t="shared" si="10"/>
        <v>0</v>
      </c>
      <c r="Q50" s="1088">
        <f t="shared" si="11"/>
        <v>0</v>
      </c>
      <c r="R50" s="1088">
        <v>0</v>
      </c>
      <c r="S50" s="1088">
        <f t="shared" si="12"/>
        <v>0</v>
      </c>
      <c r="T50" s="1088">
        <f t="shared" si="13"/>
        <v>0</v>
      </c>
      <c r="U50" s="1089">
        <f t="shared" si="14"/>
        <v>0</v>
      </c>
      <c r="V50" s="1089">
        <f t="shared" si="14"/>
        <v>0</v>
      </c>
    </row>
    <row r="51" spans="1:22">
      <c r="A51" s="1032">
        <v>45</v>
      </c>
      <c r="B51" s="1033" t="s">
        <v>146</v>
      </c>
      <c r="C51" s="1296">
        <v>0</v>
      </c>
      <c r="D51" s="1039">
        <f>'Table 3 Levels 1&amp;2'!AL52</f>
        <v>2414.8479898164846</v>
      </c>
      <c r="E51" s="1140">
        <f t="shared" si="2"/>
        <v>0</v>
      </c>
      <c r="F51" s="1140">
        <f>'Table 4 Level 3'!P50</f>
        <v>753.96000000000015</v>
      </c>
      <c r="G51" s="1140">
        <f t="shared" si="3"/>
        <v>0</v>
      </c>
      <c r="H51" s="1095">
        <f t="shared" si="4"/>
        <v>0</v>
      </c>
      <c r="I51" s="1150">
        <f t="shared" si="5"/>
        <v>0</v>
      </c>
      <c r="J51" s="1095">
        <f t="shared" si="6"/>
        <v>0</v>
      </c>
      <c r="K51" s="1095">
        <v>0</v>
      </c>
      <c r="L51" s="1095">
        <f t="shared" si="7"/>
        <v>0</v>
      </c>
      <c r="M51" s="1095">
        <f t="shared" si="8"/>
        <v>0</v>
      </c>
      <c r="N51" s="1091">
        <f>'[8]FY2012-13 Initial'!$K52</f>
        <v>11650</v>
      </c>
      <c r="O51" s="1092">
        <f t="shared" si="9"/>
        <v>0</v>
      </c>
      <c r="P51" s="1156">
        <f t="shared" si="10"/>
        <v>0</v>
      </c>
      <c r="Q51" s="1092">
        <f t="shared" si="11"/>
        <v>0</v>
      </c>
      <c r="R51" s="1092">
        <v>0</v>
      </c>
      <c r="S51" s="1092">
        <f t="shared" si="12"/>
        <v>0</v>
      </c>
      <c r="T51" s="1092">
        <f t="shared" si="13"/>
        <v>0</v>
      </c>
      <c r="U51" s="1093">
        <f t="shared" si="14"/>
        <v>0</v>
      </c>
      <c r="V51" s="1093">
        <f t="shared" si="14"/>
        <v>0</v>
      </c>
    </row>
    <row r="52" spans="1:22">
      <c r="A52" s="1021">
        <v>46</v>
      </c>
      <c r="B52" s="1022" t="s">
        <v>147</v>
      </c>
      <c r="C52" s="1297">
        <v>0</v>
      </c>
      <c r="D52" s="1041">
        <f>'Table 3 Levels 1&amp;2'!AL53</f>
        <v>5765.0314518803261</v>
      </c>
      <c r="E52" s="1141">
        <f t="shared" si="2"/>
        <v>0</v>
      </c>
      <c r="F52" s="1141">
        <f>'Table 4 Level 3'!P51</f>
        <v>728.06</v>
      </c>
      <c r="G52" s="1141">
        <f t="shared" si="3"/>
        <v>0</v>
      </c>
      <c r="H52" s="1096">
        <f t="shared" si="4"/>
        <v>0</v>
      </c>
      <c r="I52" s="1151">
        <f t="shared" si="5"/>
        <v>0</v>
      </c>
      <c r="J52" s="1096">
        <f t="shared" si="6"/>
        <v>0</v>
      </c>
      <c r="K52" s="1096">
        <v>0</v>
      </c>
      <c r="L52" s="1096">
        <f t="shared" si="7"/>
        <v>0</v>
      </c>
      <c r="M52" s="1096">
        <f t="shared" si="8"/>
        <v>0</v>
      </c>
      <c r="N52" s="1086">
        <f>'[8]FY2012-13 Initial'!$K53</f>
        <v>1789</v>
      </c>
      <c r="O52" s="1026">
        <f t="shared" si="9"/>
        <v>0</v>
      </c>
      <c r="P52" s="1154">
        <f t="shared" si="10"/>
        <v>0</v>
      </c>
      <c r="Q52" s="1026">
        <f t="shared" si="11"/>
        <v>0</v>
      </c>
      <c r="R52" s="1026">
        <v>0</v>
      </c>
      <c r="S52" s="1026">
        <f t="shared" si="12"/>
        <v>0</v>
      </c>
      <c r="T52" s="1026">
        <f t="shared" si="13"/>
        <v>0</v>
      </c>
      <c r="U52" s="1027">
        <f t="shared" si="14"/>
        <v>0</v>
      </c>
      <c r="V52" s="1027">
        <f t="shared" si="14"/>
        <v>0</v>
      </c>
    </row>
    <row r="53" spans="1:22">
      <c r="A53" s="1028">
        <v>47</v>
      </c>
      <c r="B53" s="1029" t="s">
        <v>148</v>
      </c>
      <c r="C53" s="1295">
        <v>0</v>
      </c>
      <c r="D53" s="1037">
        <f>'Table 3 Levels 1&amp;2'!AL54</f>
        <v>3186.1712081166847</v>
      </c>
      <c r="E53" s="1139">
        <f t="shared" si="2"/>
        <v>0</v>
      </c>
      <c r="F53" s="1139">
        <f>'Table 4 Level 3'!P52</f>
        <v>910.76</v>
      </c>
      <c r="G53" s="1139">
        <f t="shared" si="3"/>
        <v>0</v>
      </c>
      <c r="H53" s="1094">
        <f t="shared" si="4"/>
        <v>0</v>
      </c>
      <c r="I53" s="1149">
        <f t="shared" si="5"/>
        <v>0</v>
      </c>
      <c r="J53" s="1094">
        <f t="shared" si="6"/>
        <v>0</v>
      </c>
      <c r="K53" s="1094">
        <v>0</v>
      </c>
      <c r="L53" s="1094">
        <f t="shared" si="7"/>
        <v>0</v>
      </c>
      <c r="M53" s="1094">
        <f t="shared" si="8"/>
        <v>0</v>
      </c>
      <c r="N53" s="1086">
        <f>'[8]FY2012-13 Initial'!$K54</f>
        <v>9947</v>
      </c>
      <c r="O53" s="1088">
        <f t="shared" si="9"/>
        <v>0</v>
      </c>
      <c r="P53" s="1155">
        <f t="shared" si="10"/>
        <v>0</v>
      </c>
      <c r="Q53" s="1088">
        <f t="shared" si="11"/>
        <v>0</v>
      </c>
      <c r="R53" s="1088">
        <v>0</v>
      </c>
      <c r="S53" s="1088">
        <f t="shared" si="12"/>
        <v>0</v>
      </c>
      <c r="T53" s="1088">
        <f t="shared" si="13"/>
        <v>0</v>
      </c>
      <c r="U53" s="1089">
        <f t="shared" si="14"/>
        <v>0</v>
      </c>
      <c r="V53" s="1089">
        <f t="shared" si="14"/>
        <v>0</v>
      </c>
    </row>
    <row r="54" spans="1:22">
      <c r="A54" s="1028">
        <v>48</v>
      </c>
      <c r="B54" s="1029" t="s">
        <v>222</v>
      </c>
      <c r="C54" s="1295">
        <v>0</v>
      </c>
      <c r="D54" s="1037">
        <f>'Table 3 Levels 1&amp;2'!AL55</f>
        <v>4260.4872196136057</v>
      </c>
      <c r="E54" s="1139">
        <f t="shared" si="2"/>
        <v>0</v>
      </c>
      <c r="F54" s="1139">
        <f>'Table 4 Level 3'!P53</f>
        <v>871.07</v>
      </c>
      <c r="G54" s="1139">
        <f t="shared" si="3"/>
        <v>0</v>
      </c>
      <c r="H54" s="1094">
        <f t="shared" si="4"/>
        <v>0</v>
      </c>
      <c r="I54" s="1149">
        <f t="shared" si="5"/>
        <v>0</v>
      </c>
      <c r="J54" s="1094">
        <f t="shared" si="6"/>
        <v>0</v>
      </c>
      <c r="K54" s="1094">
        <v>0</v>
      </c>
      <c r="L54" s="1094">
        <f t="shared" si="7"/>
        <v>0</v>
      </c>
      <c r="M54" s="1094">
        <f t="shared" si="8"/>
        <v>0</v>
      </c>
      <c r="N54" s="1086">
        <f>'[8]FY2012-13 Initial'!$K55</f>
        <v>5325</v>
      </c>
      <c r="O54" s="1088">
        <f t="shared" si="9"/>
        <v>0</v>
      </c>
      <c r="P54" s="1155">
        <f t="shared" si="10"/>
        <v>0</v>
      </c>
      <c r="Q54" s="1088">
        <f t="shared" si="11"/>
        <v>0</v>
      </c>
      <c r="R54" s="1088">
        <v>0</v>
      </c>
      <c r="S54" s="1088">
        <f t="shared" si="12"/>
        <v>0</v>
      </c>
      <c r="T54" s="1088">
        <f t="shared" si="13"/>
        <v>0</v>
      </c>
      <c r="U54" s="1089">
        <f t="shared" si="14"/>
        <v>0</v>
      </c>
      <c r="V54" s="1089">
        <f t="shared" si="14"/>
        <v>0</v>
      </c>
    </row>
    <row r="55" spans="1:22">
      <c r="A55" s="1028">
        <v>49</v>
      </c>
      <c r="B55" s="1029" t="s">
        <v>149</v>
      </c>
      <c r="C55" s="1295">
        <v>0</v>
      </c>
      <c r="D55" s="1037">
        <f>'Table 3 Levels 1&amp;2'!AL56</f>
        <v>4800.2172145077111</v>
      </c>
      <c r="E55" s="1139">
        <f t="shared" si="2"/>
        <v>0</v>
      </c>
      <c r="F55" s="1139">
        <f>'Table 4 Level 3'!P54</f>
        <v>574.43999999999994</v>
      </c>
      <c r="G55" s="1139">
        <f t="shared" si="3"/>
        <v>0</v>
      </c>
      <c r="H55" s="1094">
        <f t="shared" si="4"/>
        <v>0</v>
      </c>
      <c r="I55" s="1149">
        <f t="shared" si="5"/>
        <v>0</v>
      </c>
      <c r="J55" s="1094">
        <f t="shared" si="6"/>
        <v>0</v>
      </c>
      <c r="K55" s="1094">
        <v>0</v>
      </c>
      <c r="L55" s="1094">
        <f t="shared" si="7"/>
        <v>0</v>
      </c>
      <c r="M55" s="1094">
        <f t="shared" si="8"/>
        <v>0</v>
      </c>
      <c r="N55" s="1086">
        <f>'[8]FY2012-13 Initial'!$K56</f>
        <v>2326</v>
      </c>
      <c r="O55" s="1088">
        <f t="shared" si="9"/>
        <v>0</v>
      </c>
      <c r="P55" s="1155">
        <f t="shared" si="10"/>
        <v>0</v>
      </c>
      <c r="Q55" s="1088">
        <f t="shared" si="11"/>
        <v>0</v>
      </c>
      <c r="R55" s="1088">
        <v>0</v>
      </c>
      <c r="S55" s="1088">
        <f t="shared" si="12"/>
        <v>0</v>
      </c>
      <c r="T55" s="1088">
        <f t="shared" si="13"/>
        <v>0</v>
      </c>
      <c r="U55" s="1089">
        <f t="shared" si="14"/>
        <v>0</v>
      </c>
      <c r="V55" s="1089">
        <f t="shared" si="14"/>
        <v>0</v>
      </c>
    </row>
    <row r="56" spans="1:22">
      <c r="A56" s="1032">
        <v>50</v>
      </c>
      <c r="B56" s="1033" t="s">
        <v>150</v>
      </c>
      <c r="C56" s="1296">
        <v>0</v>
      </c>
      <c r="D56" s="1039">
        <f>'Table 3 Levels 1&amp;2'!AL57</f>
        <v>5059.523754419537</v>
      </c>
      <c r="E56" s="1140">
        <f t="shared" si="2"/>
        <v>0</v>
      </c>
      <c r="F56" s="1140">
        <f>'Table 4 Level 3'!P55</f>
        <v>634.46</v>
      </c>
      <c r="G56" s="1140">
        <f t="shared" si="3"/>
        <v>0</v>
      </c>
      <c r="H56" s="1095">
        <f t="shared" si="4"/>
        <v>0</v>
      </c>
      <c r="I56" s="1150">
        <f t="shared" si="5"/>
        <v>0</v>
      </c>
      <c r="J56" s="1095">
        <f t="shared" si="6"/>
        <v>0</v>
      </c>
      <c r="K56" s="1095">
        <v>0</v>
      </c>
      <c r="L56" s="1095">
        <f t="shared" si="7"/>
        <v>0</v>
      </c>
      <c r="M56" s="1095">
        <f t="shared" si="8"/>
        <v>0</v>
      </c>
      <c r="N56" s="1091">
        <f>'[8]FY2012-13 Initial'!$K57</f>
        <v>2574</v>
      </c>
      <c r="O56" s="1092">
        <f t="shared" si="9"/>
        <v>0</v>
      </c>
      <c r="P56" s="1156">
        <f t="shared" si="10"/>
        <v>0</v>
      </c>
      <c r="Q56" s="1092">
        <f t="shared" si="11"/>
        <v>0</v>
      </c>
      <c r="R56" s="1092">
        <v>0</v>
      </c>
      <c r="S56" s="1092">
        <f t="shared" si="12"/>
        <v>0</v>
      </c>
      <c r="T56" s="1092">
        <f t="shared" si="13"/>
        <v>0</v>
      </c>
      <c r="U56" s="1093">
        <f t="shared" si="14"/>
        <v>0</v>
      </c>
      <c r="V56" s="1093">
        <f t="shared" si="14"/>
        <v>0</v>
      </c>
    </row>
    <row r="57" spans="1:22">
      <c r="A57" s="1021">
        <v>51</v>
      </c>
      <c r="B57" s="1022" t="s">
        <v>151</v>
      </c>
      <c r="C57" s="1297">
        <v>0</v>
      </c>
      <c r="D57" s="1041">
        <f>'Table 3 Levels 1&amp;2'!AL58</f>
        <v>4384.0477116019692</v>
      </c>
      <c r="E57" s="1141">
        <f t="shared" si="2"/>
        <v>0</v>
      </c>
      <c r="F57" s="1141">
        <f>'Table 4 Level 3'!P56</f>
        <v>706.66</v>
      </c>
      <c r="G57" s="1141">
        <f t="shared" si="3"/>
        <v>0</v>
      </c>
      <c r="H57" s="1096">
        <f t="shared" si="4"/>
        <v>0</v>
      </c>
      <c r="I57" s="1151">
        <f t="shared" si="5"/>
        <v>0</v>
      </c>
      <c r="J57" s="1096">
        <f t="shared" si="6"/>
        <v>0</v>
      </c>
      <c r="K57" s="1096">
        <v>0</v>
      </c>
      <c r="L57" s="1096">
        <f t="shared" si="7"/>
        <v>0</v>
      </c>
      <c r="M57" s="1096">
        <f t="shared" si="8"/>
        <v>0</v>
      </c>
      <c r="N57" s="1086">
        <f>'[8]FY2012-13 Initial'!$K58</f>
        <v>3943</v>
      </c>
      <c r="O57" s="1026">
        <f t="shared" si="9"/>
        <v>0</v>
      </c>
      <c r="P57" s="1154">
        <f t="shared" si="10"/>
        <v>0</v>
      </c>
      <c r="Q57" s="1026">
        <f t="shared" si="11"/>
        <v>0</v>
      </c>
      <c r="R57" s="1026">
        <v>0</v>
      </c>
      <c r="S57" s="1026">
        <f t="shared" si="12"/>
        <v>0</v>
      </c>
      <c r="T57" s="1026">
        <f t="shared" si="13"/>
        <v>0</v>
      </c>
      <c r="U57" s="1027">
        <f t="shared" si="14"/>
        <v>0</v>
      </c>
      <c r="V57" s="1027">
        <f t="shared" si="14"/>
        <v>0</v>
      </c>
    </row>
    <row r="58" spans="1:22">
      <c r="A58" s="1028">
        <v>52</v>
      </c>
      <c r="B58" s="1029" t="s">
        <v>152</v>
      </c>
      <c r="C58" s="1295">
        <v>0</v>
      </c>
      <c r="D58" s="1037">
        <f>'Table 3 Levels 1&amp;2'!AL59</f>
        <v>4920.0697942988754</v>
      </c>
      <c r="E58" s="1139">
        <f t="shared" si="2"/>
        <v>0</v>
      </c>
      <c r="F58" s="1139">
        <f>'Table 4 Level 3'!P57</f>
        <v>658.37</v>
      </c>
      <c r="G58" s="1139">
        <f t="shared" si="3"/>
        <v>0</v>
      </c>
      <c r="H58" s="1094">
        <f t="shared" si="4"/>
        <v>0</v>
      </c>
      <c r="I58" s="1149">
        <f t="shared" si="5"/>
        <v>0</v>
      </c>
      <c r="J58" s="1094">
        <f t="shared" si="6"/>
        <v>0</v>
      </c>
      <c r="K58" s="1094">
        <v>0</v>
      </c>
      <c r="L58" s="1094">
        <f t="shared" si="7"/>
        <v>0</v>
      </c>
      <c r="M58" s="1094">
        <f t="shared" si="8"/>
        <v>0</v>
      </c>
      <c r="N58" s="1086">
        <f>'[8]FY2012-13 Initial'!$K59</f>
        <v>4750</v>
      </c>
      <c r="O58" s="1088">
        <f t="shared" si="9"/>
        <v>0</v>
      </c>
      <c r="P58" s="1155">
        <f t="shared" si="10"/>
        <v>0</v>
      </c>
      <c r="Q58" s="1088">
        <f t="shared" si="11"/>
        <v>0</v>
      </c>
      <c r="R58" s="1088">
        <v>0</v>
      </c>
      <c r="S58" s="1088">
        <f t="shared" si="12"/>
        <v>0</v>
      </c>
      <c r="T58" s="1088">
        <f t="shared" si="13"/>
        <v>0</v>
      </c>
      <c r="U58" s="1089">
        <f t="shared" si="14"/>
        <v>0</v>
      </c>
      <c r="V58" s="1089">
        <f t="shared" si="14"/>
        <v>0</v>
      </c>
    </row>
    <row r="59" spans="1:22">
      <c r="A59" s="1028">
        <v>53</v>
      </c>
      <c r="B59" s="1029" t="s">
        <v>153</v>
      </c>
      <c r="C59" s="1295">
        <v>0</v>
      </c>
      <c r="D59" s="1037">
        <f>'Table 3 Levels 1&amp;2'!AL60</f>
        <v>4784.2719870767614</v>
      </c>
      <c r="E59" s="1139">
        <f t="shared" si="2"/>
        <v>0</v>
      </c>
      <c r="F59" s="1139">
        <f>'Table 4 Level 3'!P58</f>
        <v>689.74</v>
      </c>
      <c r="G59" s="1139">
        <f t="shared" si="3"/>
        <v>0</v>
      </c>
      <c r="H59" s="1094">
        <f t="shared" si="4"/>
        <v>0</v>
      </c>
      <c r="I59" s="1149">
        <f t="shared" si="5"/>
        <v>0</v>
      </c>
      <c r="J59" s="1094">
        <f t="shared" si="6"/>
        <v>0</v>
      </c>
      <c r="K59" s="1094">
        <v>0</v>
      </c>
      <c r="L59" s="1094">
        <f t="shared" si="7"/>
        <v>0</v>
      </c>
      <c r="M59" s="1094">
        <f t="shared" si="8"/>
        <v>0</v>
      </c>
      <c r="N59" s="1086">
        <f>'[8]FY2012-13 Initial'!$K60</f>
        <v>1913</v>
      </c>
      <c r="O59" s="1088">
        <f t="shared" si="9"/>
        <v>0</v>
      </c>
      <c r="P59" s="1155">
        <f t="shared" si="10"/>
        <v>0</v>
      </c>
      <c r="Q59" s="1088">
        <f t="shared" si="11"/>
        <v>0</v>
      </c>
      <c r="R59" s="1088">
        <v>0</v>
      </c>
      <c r="S59" s="1088">
        <f t="shared" si="12"/>
        <v>0</v>
      </c>
      <c r="T59" s="1088">
        <f t="shared" si="13"/>
        <v>0</v>
      </c>
      <c r="U59" s="1089">
        <f t="shared" si="14"/>
        <v>0</v>
      </c>
      <c r="V59" s="1089">
        <f t="shared" si="14"/>
        <v>0</v>
      </c>
    </row>
    <row r="60" spans="1:22">
      <c r="A60" s="1028">
        <v>54</v>
      </c>
      <c r="B60" s="1029" t="s">
        <v>154</v>
      </c>
      <c r="C60" s="1295">
        <v>0</v>
      </c>
      <c r="D60" s="1037">
        <f>'Table 3 Levels 1&amp;2'!AL61</f>
        <v>5982.5555386476462</v>
      </c>
      <c r="E60" s="1139">
        <f t="shared" si="2"/>
        <v>0</v>
      </c>
      <c r="F60" s="1139">
        <f>'Table 4 Level 3'!P59</f>
        <v>951.45</v>
      </c>
      <c r="G60" s="1139">
        <f t="shared" si="3"/>
        <v>0</v>
      </c>
      <c r="H60" s="1094">
        <f t="shared" si="4"/>
        <v>0</v>
      </c>
      <c r="I60" s="1149">
        <f t="shared" si="5"/>
        <v>0</v>
      </c>
      <c r="J60" s="1094">
        <f t="shared" si="6"/>
        <v>0</v>
      </c>
      <c r="K60" s="1094">
        <v>0</v>
      </c>
      <c r="L60" s="1094">
        <f t="shared" si="7"/>
        <v>0</v>
      </c>
      <c r="M60" s="1094">
        <f t="shared" si="8"/>
        <v>0</v>
      </c>
      <c r="N60" s="1086">
        <f>'[8]FY2012-13 Initial'!$K61</f>
        <v>3264</v>
      </c>
      <c r="O60" s="1088">
        <f t="shared" si="9"/>
        <v>0</v>
      </c>
      <c r="P60" s="1155">
        <f t="shared" si="10"/>
        <v>0</v>
      </c>
      <c r="Q60" s="1088">
        <f t="shared" si="11"/>
        <v>0</v>
      </c>
      <c r="R60" s="1088">
        <v>0</v>
      </c>
      <c r="S60" s="1088">
        <f t="shared" si="12"/>
        <v>0</v>
      </c>
      <c r="T60" s="1088">
        <f t="shared" si="13"/>
        <v>0</v>
      </c>
      <c r="U60" s="1089">
        <f t="shared" si="14"/>
        <v>0</v>
      </c>
      <c r="V60" s="1089">
        <f t="shared" si="14"/>
        <v>0</v>
      </c>
    </row>
    <row r="61" spans="1:22">
      <c r="A61" s="1032">
        <v>55</v>
      </c>
      <c r="B61" s="1033" t="s">
        <v>155</v>
      </c>
      <c r="C61" s="1296">
        <v>0</v>
      </c>
      <c r="D61" s="1039">
        <f>'Table 3 Levels 1&amp;2'!AL62</f>
        <v>4087.4017448818722</v>
      </c>
      <c r="E61" s="1140">
        <f t="shared" si="2"/>
        <v>0</v>
      </c>
      <c r="F61" s="1140">
        <f>'Table 4 Level 3'!P60</f>
        <v>795.14</v>
      </c>
      <c r="G61" s="1140">
        <f t="shared" si="3"/>
        <v>0</v>
      </c>
      <c r="H61" s="1095">
        <f t="shared" si="4"/>
        <v>0</v>
      </c>
      <c r="I61" s="1150">
        <f t="shared" si="5"/>
        <v>0</v>
      </c>
      <c r="J61" s="1095">
        <f t="shared" si="6"/>
        <v>0</v>
      </c>
      <c r="K61" s="1095">
        <v>0</v>
      </c>
      <c r="L61" s="1095">
        <f t="shared" si="7"/>
        <v>0</v>
      </c>
      <c r="M61" s="1095">
        <f t="shared" si="8"/>
        <v>0</v>
      </c>
      <c r="N61" s="1091">
        <f>'[8]FY2012-13 Initial'!$K62</f>
        <v>3071</v>
      </c>
      <c r="O61" s="1092">
        <f t="shared" si="9"/>
        <v>0</v>
      </c>
      <c r="P61" s="1156">
        <f t="shared" si="10"/>
        <v>0</v>
      </c>
      <c r="Q61" s="1092">
        <f t="shared" si="11"/>
        <v>0</v>
      </c>
      <c r="R61" s="1092">
        <v>0</v>
      </c>
      <c r="S61" s="1092">
        <f t="shared" si="12"/>
        <v>0</v>
      </c>
      <c r="T61" s="1092">
        <f t="shared" si="13"/>
        <v>0</v>
      </c>
      <c r="U61" s="1093">
        <f t="shared" si="14"/>
        <v>0</v>
      </c>
      <c r="V61" s="1093">
        <f t="shared" si="14"/>
        <v>0</v>
      </c>
    </row>
    <row r="62" spans="1:22">
      <c r="A62" s="1021">
        <v>56</v>
      </c>
      <c r="B62" s="1022" t="s">
        <v>156</v>
      </c>
      <c r="C62" s="1297">
        <v>0</v>
      </c>
      <c r="D62" s="1041">
        <f>'Table 3 Levels 1&amp;2'!AL63</f>
        <v>5052.2250942802684</v>
      </c>
      <c r="E62" s="1141">
        <f t="shared" si="2"/>
        <v>0</v>
      </c>
      <c r="F62" s="1141">
        <f>'Table 4 Level 3'!P61</f>
        <v>614.66000000000008</v>
      </c>
      <c r="G62" s="1141">
        <f t="shared" si="3"/>
        <v>0</v>
      </c>
      <c r="H62" s="1096">
        <f t="shared" si="4"/>
        <v>0</v>
      </c>
      <c r="I62" s="1151">
        <f t="shared" si="5"/>
        <v>0</v>
      </c>
      <c r="J62" s="1096">
        <f t="shared" si="6"/>
        <v>0</v>
      </c>
      <c r="K62" s="1096">
        <v>0</v>
      </c>
      <c r="L62" s="1096">
        <f t="shared" si="7"/>
        <v>0</v>
      </c>
      <c r="M62" s="1096">
        <f t="shared" si="8"/>
        <v>0</v>
      </c>
      <c r="N62" s="1086">
        <f>'[8]FY2012-13 Initial'!$K63</f>
        <v>2630</v>
      </c>
      <c r="O62" s="1026">
        <f t="shared" si="9"/>
        <v>0</v>
      </c>
      <c r="P62" s="1154">
        <f t="shared" si="10"/>
        <v>0</v>
      </c>
      <c r="Q62" s="1026">
        <f t="shared" si="11"/>
        <v>0</v>
      </c>
      <c r="R62" s="1026">
        <v>0</v>
      </c>
      <c r="S62" s="1026">
        <f t="shared" si="12"/>
        <v>0</v>
      </c>
      <c r="T62" s="1026">
        <f t="shared" si="13"/>
        <v>0</v>
      </c>
      <c r="U62" s="1027">
        <f t="shared" si="14"/>
        <v>0</v>
      </c>
      <c r="V62" s="1027">
        <f t="shared" si="14"/>
        <v>0</v>
      </c>
    </row>
    <row r="63" spans="1:22">
      <c r="A63" s="1028">
        <v>57</v>
      </c>
      <c r="B63" s="1029" t="s">
        <v>157</v>
      </c>
      <c r="C63" s="1295">
        <v>0</v>
      </c>
      <c r="D63" s="1037">
        <f>'Table 3 Levels 1&amp;2'!AL64</f>
        <v>4389.3863180380931</v>
      </c>
      <c r="E63" s="1139">
        <f t="shared" si="2"/>
        <v>0</v>
      </c>
      <c r="F63" s="1139">
        <f>'Table 4 Level 3'!P62</f>
        <v>764.51</v>
      </c>
      <c r="G63" s="1139">
        <f t="shared" si="3"/>
        <v>0</v>
      </c>
      <c r="H63" s="1094">
        <f t="shared" si="4"/>
        <v>0</v>
      </c>
      <c r="I63" s="1149">
        <f t="shared" si="5"/>
        <v>0</v>
      </c>
      <c r="J63" s="1094">
        <f t="shared" si="6"/>
        <v>0</v>
      </c>
      <c r="K63" s="1094">
        <v>0</v>
      </c>
      <c r="L63" s="1094">
        <f t="shared" si="7"/>
        <v>0</v>
      </c>
      <c r="M63" s="1094">
        <f t="shared" si="8"/>
        <v>0</v>
      </c>
      <c r="N63" s="1086">
        <f>'[8]FY2012-13 Initial'!$K64</f>
        <v>3053</v>
      </c>
      <c r="O63" s="1088">
        <f t="shared" si="9"/>
        <v>0</v>
      </c>
      <c r="P63" s="1155">
        <f t="shared" si="10"/>
        <v>0</v>
      </c>
      <c r="Q63" s="1088">
        <f t="shared" si="11"/>
        <v>0</v>
      </c>
      <c r="R63" s="1088">
        <v>0</v>
      </c>
      <c r="S63" s="1088">
        <f t="shared" si="12"/>
        <v>0</v>
      </c>
      <c r="T63" s="1088">
        <f t="shared" si="13"/>
        <v>0</v>
      </c>
      <c r="U63" s="1089">
        <f t="shared" si="14"/>
        <v>0</v>
      </c>
      <c r="V63" s="1089">
        <f t="shared" si="14"/>
        <v>0</v>
      </c>
    </row>
    <row r="64" spans="1:22">
      <c r="A64" s="1028">
        <v>58</v>
      </c>
      <c r="B64" s="1029" t="s">
        <v>158</v>
      </c>
      <c r="C64" s="1295">
        <v>0</v>
      </c>
      <c r="D64" s="1037">
        <f>'Table 3 Levels 1&amp;2'!AL65</f>
        <v>5325.8881107130073</v>
      </c>
      <c r="E64" s="1139">
        <f t="shared" si="2"/>
        <v>0</v>
      </c>
      <c r="F64" s="1139">
        <f>'Table 4 Level 3'!P63</f>
        <v>697.04</v>
      </c>
      <c r="G64" s="1139">
        <f t="shared" si="3"/>
        <v>0</v>
      </c>
      <c r="H64" s="1094">
        <f t="shared" si="4"/>
        <v>0</v>
      </c>
      <c r="I64" s="1149">
        <f t="shared" si="5"/>
        <v>0</v>
      </c>
      <c r="J64" s="1094">
        <f t="shared" si="6"/>
        <v>0</v>
      </c>
      <c r="K64" s="1094">
        <v>0</v>
      </c>
      <c r="L64" s="1094">
        <f t="shared" si="7"/>
        <v>0</v>
      </c>
      <c r="M64" s="1094">
        <f t="shared" si="8"/>
        <v>0</v>
      </c>
      <c r="N64" s="1086">
        <f>'[8]FY2012-13 Initial'!$K65</f>
        <v>1917</v>
      </c>
      <c r="O64" s="1088">
        <f t="shared" si="9"/>
        <v>0</v>
      </c>
      <c r="P64" s="1155">
        <f t="shared" si="10"/>
        <v>0</v>
      </c>
      <c r="Q64" s="1088">
        <f t="shared" si="11"/>
        <v>0</v>
      </c>
      <c r="R64" s="1088">
        <v>0</v>
      </c>
      <c r="S64" s="1088">
        <f t="shared" si="12"/>
        <v>0</v>
      </c>
      <c r="T64" s="1088">
        <f t="shared" si="13"/>
        <v>0</v>
      </c>
      <c r="U64" s="1089">
        <f t="shared" si="14"/>
        <v>0</v>
      </c>
      <c r="V64" s="1089">
        <f t="shared" si="14"/>
        <v>0</v>
      </c>
    </row>
    <row r="65" spans="1:22">
      <c r="A65" s="1028">
        <v>59</v>
      </c>
      <c r="B65" s="1029" t="s">
        <v>159</v>
      </c>
      <c r="C65" s="1295">
        <v>0</v>
      </c>
      <c r="D65" s="1037">
        <f>'Table 3 Levels 1&amp;2'!AL66</f>
        <v>6328.4963620482158</v>
      </c>
      <c r="E65" s="1139">
        <f t="shared" si="2"/>
        <v>0</v>
      </c>
      <c r="F65" s="1139">
        <f>'Table 4 Level 3'!P64</f>
        <v>689.52</v>
      </c>
      <c r="G65" s="1139">
        <f t="shared" si="3"/>
        <v>0</v>
      </c>
      <c r="H65" s="1094">
        <f t="shared" si="4"/>
        <v>0</v>
      </c>
      <c r="I65" s="1149">
        <f t="shared" si="5"/>
        <v>0</v>
      </c>
      <c r="J65" s="1094">
        <f t="shared" si="6"/>
        <v>0</v>
      </c>
      <c r="K65" s="1094">
        <v>0</v>
      </c>
      <c r="L65" s="1094">
        <f t="shared" si="7"/>
        <v>0</v>
      </c>
      <c r="M65" s="1094">
        <f t="shared" si="8"/>
        <v>0</v>
      </c>
      <c r="N65" s="1086">
        <f>'[8]FY2012-13 Initial'!$K66</f>
        <v>1553</v>
      </c>
      <c r="O65" s="1088">
        <f t="shared" si="9"/>
        <v>0</v>
      </c>
      <c r="P65" s="1155">
        <f t="shared" si="10"/>
        <v>0</v>
      </c>
      <c r="Q65" s="1088">
        <f t="shared" si="11"/>
        <v>0</v>
      </c>
      <c r="R65" s="1088">
        <v>0</v>
      </c>
      <c r="S65" s="1088">
        <f t="shared" si="12"/>
        <v>0</v>
      </c>
      <c r="T65" s="1088">
        <f t="shared" si="13"/>
        <v>0</v>
      </c>
      <c r="U65" s="1089">
        <f t="shared" si="14"/>
        <v>0</v>
      </c>
      <c r="V65" s="1089">
        <f t="shared" si="14"/>
        <v>0</v>
      </c>
    </row>
    <row r="66" spans="1:22">
      <c r="A66" s="1032">
        <v>60</v>
      </c>
      <c r="B66" s="1033" t="s">
        <v>160</v>
      </c>
      <c r="C66" s="1296">
        <v>0</v>
      </c>
      <c r="D66" s="1039">
        <f>'Table 3 Levels 1&amp;2'!AL67</f>
        <v>4825.1723230627122</v>
      </c>
      <c r="E66" s="1140">
        <f t="shared" si="2"/>
        <v>0</v>
      </c>
      <c r="F66" s="1140">
        <f>'Table 4 Level 3'!P65</f>
        <v>594.04</v>
      </c>
      <c r="G66" s="1140">
        <f t="shared" si="3"/>
        <v>0</v>
      </c>
      <c r="H66" s="1095">
        <f t="shared" si="4"/>
        <v>0</v>
      </c>
      <c r="I66" s="1150">
        <f t="shared" si="5"/>
        <v>0</v>
      </c>
      <c r="J66" s="1095">
        <f t="shared" si="6"/>
        <v>0</v>
      </c>
      <c r="K66" s="1095">
        <v>0</v>
      </c>
      <c r="L66" s="1095">
        <f t="shared" si="7"/>
        <v>0</v>
      </c>
      <c r="M66" s="1095">
        <f t="shared" si="8"/>
        <v>0</v>
      </c>
      <c r="N66" s="1091">
        <f>'[8]FY2012-13 Initial'!$K67</f>
        <v>3798</v>
      </c>
      <c r="O66" s="1092">
        <f t="shared" si="9"/>
        <v>0</v>
      </c>
      <c r="P66" s="1156">
        <f t="shared" si="10"/>
        <v>0</v>
      </c>
      <c r="Q66" s="1092">
        <f t="shared" si="11"/>
        <v>0</v>
      </c>
      <c r="R66" s="1092">
        <v>0</v>
      </c>
      <c r="S66" s="1092">
        <f t="shared" si="12"/>
        <v>0</v>
      </c>
      <c r="T66" s="1092">
        <f t="shared" si="13"/>
        <v>0</v>
      </c>
      <c r="U66" s="1093">
        <f t="shared" si="14"/>
        <v>0</v>
      </c>
      <c r="V66" s="1093">
        <f t="shared" si="14"/>
        <v>0</v>
      </c>
    </row>
    <row r="67" spans="1:22">
      <c r="A67" s="1021">
        <v>61</v>
      </c>
      <c r="B67" s="1022" t="s">
        <v>161</v>
      </c>
      <c r="C67" s="1297">
        <v>0</v>
      </c>
      <c r="D67" s="1041">
        <f>'Table 3 Levels 1&amp;2'!AL68</f>
        <v>3063.3110364585282</v>
      </c>
      <c r="E67" s="1141">
        <f t="shared" si="2"/>
        <v>0</v>
      </c>
      <c r="F67" s="1141">
        <f>'Table 4 Level 3'!P66</f>
        <v>833.70999999999992</v>
      </c>
      <c r="G67" s="1141">
        <f t="shared" si="3"/>
        <v>0</v>
      </c>
      <c r="H67" s="1096">
        <f t="shared" si="4"/>
        <v>0</v>
      </c>
      <c r="I67" s="1151">
        <f t="shared" si="5"/>
        <v>0</v>
      </c>
      <c r="J67" s="1096">
        <f t="shared" si="6"/>
        <v>0</v>
      </c>
      <c r="K67" s="1096">
        <v>0</v>
      </c>
      <c r="L67" s="1096">
        <f t="shared" si="7"/>
        <v>0</v>
      </c>
      <c r="M67" s="1096">
        <f t="shared" si="8"/>
        <v>0</v>
      </c>
      <c r="N67" s="1086">
        <f>'[8]FY2012-13 Initial'!$K68</f>
        <v>6727</v>
      </c>
      <c r="O67" s="1026">
        <f t="shared" si="9"/>
        <v>0</v>
      </c>
      <c r="P67" s="1154">
        <f t="shared" si="10"/>
        <v>0</v>
      </c>
      <c r="Q67" s="1026">
        <f t="shared" si="11"/>
        <v>0</v>
      </c>
      <c r="R67" s="1026">
        <v>0</v>
      </c>
      <c r="S67" s="1026">
        <f t="shared" si="12"/>
        <v>0</v>
      </c>
      <c r="T67" s="1026">
        <f t="shared" si="13"/>
        <v>0</v>
      </c>
      <c r="U67" s="1027">
        <f t="shared" si="14"/>
        <v>0</v>
      </c>
      <c r="V67" s="1027">
        <f t="shared" si="14"/>
        <v>0</v>
      </c>
    </row>
    <row r="68" spans="1:22">
      <c r="A68" s="1028">
        <v>62</v>
      </c>
      <c r="B68" s="1029" t="s">
        <v>162</v>
      </c>
      <c r="C68" s="1295">
        <v>0</v>
      </c>
      <c r="D68" s="1037">
        <f>'Table 3 Levels 1&amp;2'!AL69</f>
        <v>5564.645485869667</v>
      </c>
      <c r="E68" s="1139">
        <f t="shared" si="2"/>
        <v>0</v>
      </c>
      <c r="F68" s="1139">
        <f>'Table 4 Level 3'!P67</f>
        <v>516.08000000000004</v>
      </c>
      <c r="G68" s="1139">
        <f t="shared" si="3"/>
        <v>0</v>
      </c>
      <c r="H68" s="1094">
        <f t="shared" si="4"/>
        <v>0</v>
      </c>
      <c r="I68" s="1149">
        <f t="shared" si="5"/>
        <v>0</v>
      </c>
      <c r="J68" s="1094">
        <f t="shared" si="6"/>
        <v>0</v>
      </c>
      <c r="K68" s="1094">
        <v>0</v>
      </c>
      <c r="L68" s="1094">
        <f t="shared" si="7"/>
        <v>0</v>
      </c>
      <c r="M68" s="1094">
        <f t="shared" si="8"/>
        <v>0</v>
      </c>
      <c r="N68" s="1086">
        <f>'[8]FY2012-13 Initial'!$K69</f>
        <v>1678</v>
      </c>
      <c r="O68" s="1088">
        <f t="shared" si="9"/>
        <v>0</v>
      </c>
      <c r="P68" s="1155">
        <f t="shared" si="10"/>
        <v>0</v>
      </c>
      <c r="Q68" s="1088">
        <f t="shared" si="11"/>
        <v>0</v>
      </c>
      <c r="R68" s="1088">
        <v>0</v>
      </c>
      <c r="S68" s="1088">
        <f t="shared" si="12"/>
        <v>0</v>
      </c>
      <c r="T68" s="1088">
        <f t="shared" si="13"/>
        <v>0</v>
      </c>
      <c r="U68" s="1089">
        <f t="shared" si="14"/>
        <v>0</v>
      </c>
      <c r="V68" s="1089">
        <f t="shared" si="14"/>
        <v>0</v>
      </c>
    </row>
    <row r="69" spans="1:22">
      <c r="A69" s="1028">
        <v>63</v>
      </c>
      <c r="B69" s="1029" t="s">
        <v>163</v>
      </c>
      <c r="C69" s="1295">
        <v>0</v>
      </c>
      <c r="D69" s="1037">
        <f>'Table 3 Levels 1&amp;2'!AL70</f>
        <v>4414.1775336636538</v>
      </c>
      <c r="E69" s="1139">
        <f t="shared" si="2"/>
        <v>0</v>
      </c>
      <c r="F69" s="1139">
        <f>'Table 4 Level 3'!P68</f>
        <v>756.79</v>
      </c>
      <c r="G69" s="1139">
        <f t="shared" si="3"/>
        <v>0</v>
      </c>
      <c r="H69" s="1094">
        <f t="shared" si="4"/>
        <v>0</v>
      </c>
      <c r="I69" s="1149">
        <f t="shared" si="5"/>
        <v>0</v>
      </c>
      <c r="J69" s="1094">
        <f t="shared" si="6"/>
        <v>0</v>
      </c>
      <c r="K69" s="1094">
        <v>0</v>
      </c>
      <c r="L69" s="1094">
        <f t="shared" si="7"/>
        <v>0</v>
      </c>
      <c r="M69" s="1094">
        <f t="shared" si="8"/>
        <v>0</v>
      </c>
      <c r="N69" s="1086">
        <f>'[8]FY2012-13 Initial'!$K70</f>
        <v>6524</v>
      </c>
      <c r="O69" s="1088">
        <f t="shared" si="9"/>
        <v>0</v>
      </c>
      <c r="P69" s="1155">
        <f t="shared" si="10"/>
        <v>0</v>
      </c>
      <c r="Q69" s="1088">
        <f t="shared" si="11"/>
        <v>0</v>
      </c>
      <c r="R69" s="1088">
        <v>0</v>
      </c>
      <c r="S69" s="1088">
        <f t="shared" si="12"/>
        <v>0</v>
      </c>
      <c r="T69" s="1088">
        <f t="shared" si="13"/>
        <v>0</v>
      </c>
      <c r="U69" s="1089">
        <f t="shared" si="14"/>
        <v>0</v>
      </c>
      <c r="V69" s="1089">
        <f t="shared" si="14"/>
        <v>0</v>
      </c>
    </row>
    <row r="70" spans="1:22">
      <c r="A70" s="1028">
        <v>64</v>
      </c>
      <c r="B70" s="1029" t="s">
        <v>164</v>
      </c>
      <c r="C70" s="1295">
        <v>0</v>
      </c>
      <c r="D70" s="1037">
        <f>'Table 3 Levels 1&amp;2'!AL71</f>
        <v>5871.0485811924027</v>
      </c>
      <c r="E70" s="1139">
        <f t="shared" si="2"/>
        <v>0</v>
      </c>
      <c r="F70" s="1139">
        <f>'Table 4 Level 3'!P69</f>
        <v>592.66</v>
      </c>
      <c r="G70" s="1139">
        <f t="shared" si="3"/>
        <v>0</v>
      </c>
      <c r="H70" s="1094">
        <f t="shared" si="4"/>
        <v>0</v>
      </c>
      <c r="I70" s="1149">
        <f t="shared" si="5"/>
        <v>0</v>
      </c>
      <c r="J70" s="1094">
        <f t="shared" si="6"/>
        <v>0</v>
      </c>
      <c r="K70" s="1094">
        <v>0</v>
      </c>
      <c r="L70" s="1094">
        <f t="shared" si="7"/>
        <v>0</v>
      </c>
      <c r="M70" s="1094">
        <f t="shared" si="8"/>
        <v>0</v>
      </c>
      <c r="N70" s="1086">
        <f>'[8]FY2012-13 Initial'!$K71</f>
        <v>2658</v>
      </c>
      <c r="O70" s="1088">
        <f t="shared" si="9"/>
        <v>0</v>
      </c>
      <c r="P70" s="1155">
        <f t="shared" si="10"/>
        <v>0</v>
      </c>
      <c r="Q70" s="1088">
        <f t="shared" si="11"/>
        <v>0</v>
      </c>
      <c r="R70" s="1088">
        <v>0</v>
      </c>
      <c r="S70" s="1088">
        <f t="shared" si="12"/>
        <v>0</v>
      </c>
      <c r="T70" s="1088">
        <f t="shared" si="13"/>
        <v>0</v>
      </c>
      <c r="U70" s="1089">
        <f t="shared" si="14"/>
        <v>0</v>
      </c>
      <c r="V70" s="1089">
        <f t="shared" si="14"/>
        <v>0</v>
      </c>
    </row>
    <row r="71" spans="1:22">
      <c r="A71" s="1032">
        <v>65</v>
      </c>
      <c r="B71" s="1033" t="s">
        <v>165</v>
      </c>
      <c r="C71" s="1296">
        <v>0</v>
      </c>
      <c r="D71" s="1039">
        <f>'Table 3 Levels 1&amp;2'!AL72</f>
        <v>4602.2046951319899</v>
      </c>
      <c r="E71" s="1140">
        <f t="shared" si="2"/>
        <v>0</v>
      </c>
      <c r="F71" s="1140">
        <f>'Table 4 Level 3'!P70</f>
        <v>829.12</v>
      </c>
      <c r="G71" s="1140">
        <f t="shared" si="3"/>
        <v>0</v>
      </c>
      <c r="H71" s="1095">
        <f t="shared" si="4"/>
        <v>0</v>
      </c>
      <c r="I71" s="1150">
        <f t="shared" si="5"/>
        <v>0</v>
      </c>
      <c r="J71" s="1095">
        <f t="shared" si="6"/>
        <v>0</v>
      </c>
      <c r="K71" s="1095">
        <v>0</v>
      </c>
      <c r="L71" s="1095">
        <f t="shared" si="7"/>
        <v>0</v>
      </c>
      <c r="M71" s="1095">
        <f t="shared" si="8"/>
        <v>0</v>
      </c>
      <c r="N71" s="1091">
        <f>'[8]FY2012-13 Initial'!$K72</f>
        <v>4631</v>
      </c>
      <c r="O71" s="1092">
        <f t="shared" si="9"/>
        <v>0</v>
      </c>
      <c r="P71" s="1156">
        <f t="shared" si="10"/>
        <v>0</v>
      </c>
      <c r="Q71" s="1092">
        <f t="shared" si="11"/>
        <v>0</v>
      </c>
      <c r="R71" s="1092">
        <v>0</v>
      </c>
      <c r="S71" s="1092">
        <f t="shared" si="12"/>
        <v>0</v>
      </c>
      <c r="T71" s="1092">
        <f t="shared" si="13"/>
        <v>0</v>
      </c>
      <c r="U71" s="1093">
        <f t="shared" si="14"/>
        <v>0</v>
      </c>
      <c r="V71" s="1093">
        <f t="shared" si="14"/>
        <v>0</v>
      </c>
    </row>
    <row r="72" spans="1:22">
      <c r="A72" s="1021">
        <v>66</v>
      </c>
      <c r="B72" s="1022" t="s">
        <v>166</v>
      </c>
      <c r="C72" s="1297">
        <v>0</v>
      </c>
      <c r="D72" s="1041">
        <f>'Table 3 Levels 1&amp;2'!AL73</f>
        <v>6243.8912249150071</v>
      </c>
      <c r="E72" s="1141">
        <f t="shared" ref="E72:E75" si="15">C72*D72</f>
        <v>0</v>
      </c>
      <c r="F72" s="1141">
        <f>'Table 4 Level 3'!P71</f>
        <v>730.06</v>
      </c>
      <c r="G72" s="1141">
        <f t="shared" ref="G72:G75" si="16">C72*F72</f>
        <v>0</v>
      </c>
      <c r="H72" s="1096">
        <f t="shared" ref="H72:H75" si="17">E72+G72</f>
        <v>0</v>
      </c>
      <c r="I72" s="1151">
        <f t="shared" ref="I72:I75" si="18">-(0.25%*H72)</f>
        <v>0</v>
      </c>
      <c r="J72" s="1096">
        <f t="shared" ref="J72:J75" si="19">SUM(H72:I72)</f>
        <v>0</v>
      </c>
      <c r="K72" s="1096">
        <v>0</v>
      </c>
      <c r="L72" s="1096">
        <f t="shared" ref="L72:L75" si="20">SUM(J72:K72)</f>
        <v>0</v>
      </c>
      <c r="M72" s="1096">
        <f t="shared" ref="M72:M75" si="21">L72/12</f>
        <v>0</v>
      </c>
      <c r="N72" s="1086">
        <f>'[8]FY2012-13 Initial'!$K73</f>
        <v>3443</v>
      </c>
      <c r="O72" s="1026">
        <f t="shared" ref="O72:O75" si="22">C72*N72</f>
        <v>0</v>
      </c>
      <c r="P72" s="1154">
        <f t="shared" ref="P72:P75" si="23">-(0.25%*O72)</f>
        <v>0</v>
      </c>
      <c r="Q72" s="1026">
        <f t="shared" ref="Q72:Q75" si="24">SUM(O72:P72)</f>
        <v>0</v>
      </c>
      <c r="R72" s="1026">
        <v>0</v>
      </c>
      <c r="S72" s="1026">
        <f t="shared" ref="S72:S75" si="25">SUM(Q72:R72)</f>
        <v>0</v>
      </c>
      <c r="T72" s="1026">
        <f t="shared" ref="T72:T75" si="26">S72/12</f>
        <v>0</v>
      </c>
      <c r="U72" s="1027">
        <f t="shared" ref="U72:V75" si="27">L72+S72</f>
        <v>0</v>
      </c>
      <c r="V72" s="1027">
        <f t="shared" si="27"/>
        <v>0</v>
      </c>
    </row>
    <row r="73" spans="1:22">
      <c r="A73" s="1028">
        <v>67</v>
      </c>
      <c r="B73" s="1029" t="s">
        <v>33</v>
      </c>
      <c r="C73" s="1295">
        <v>0</v>
      </c>
      <c r="D73" s="1037">
        <f>'Table 3 Levels 1&amp;2'!AL74</f>
        <v>5049.6489898847567</v>
      </c>
      <c r="E73" s="1139">
        <f t="shared" si="15"/>
        <v>0</v>
      </c>
      <c r="F73" s="1139">
        <f>'Table 4 Level 3'!P72</f>
        <v>715.61</v>
      </c>
      <c r="G73" s="1139">
        <f t="shared" si="16"/>
        <v>0</v>
      </c>
      <c r="H73" s="1094">
        <f t="shared" si="17"/>
        <v>0</v>
      </c>
      <c r="I73" s="1149">
        <f t="shared" si="18"/>
        <v>0</v>
      </c>
      <c r="J73" s="1094">
        <f t="shared" si="19"/>
        <v>0</v>
      </c>
      <c r="K73" s="1094">
        <v>0</v>
      </c>
      <c r="L73" s="1094">
        <f t="shared" si="20"/>
        <v>0</v>
      </c>
      <c r="M73" s="1094">
        <f t="shared" si="21"/>
        <v>0</v>
      </c>
      <c r="N73" s="1086">
        <f>'[8]FY2012-13 Initial'!$K74</f>
        <v>4502</v>
      </c>
      <c r="O73" s="1088">
        <f t="shared" si="22"/>
        <v>0</v>
      </c>
      <c r="P73" s="1155">
        <f t="shared" si="23"/>
        <v>0</v>
      </c>
      <c r="Q73" s="1088">
        <f t="shared" si="24"/>
        <v>0</v>
      </c>
      <c r="R73" s="1088">
        <v>0</v>
      </c>
      <c r="S73" s="1088">
        <f t="shared" si="25"/>
        <v>0</v>
      </c>
      <c r="T73" s="1088">
        <f t="shared" si="26"/>
        <v>0</v>
      </c>
      <c r="U73" s="1089">
        <f t="shared" si="27"/>
        <v>0</v>
      </c>
      <c r="V73" s="1089">
        <f t="shared" si="27"/>
        <v>0</v>
      </c>
    </row>
    <row r="74" spans="1:22">
      <c r="A74" s="1028">
        <v>68</v>
      </c>
      <c r="B74" s="1029" t="s">
        <v>31</v>
      </c>
      <c r="C74" s="1295">
        <v>0</v>
      </c>
      <c r="D74" s="1037">
        <f>'Table 3 Levels 1&amp;2'!AL75</f>
        <v>5861.7500805575619</v>
      </c>
      <c r="E74" s="1139">
        <f t="shared" si="15"/>
        <v>0</v>
      </c>
      <c r="F74" s="1139">
        <f>'Table 4 Level 3'!P73</f>
        <v>798.7</v>
      </c>
      <c r="G74" s="1139">
        <f t="shared" si="16"/>
        <v>0</v>
      </c>
      <c r="H74" s="1094">
        <f t="shared" si="17"/>
        <v>0</v>
      </c>
      <c r="I74" s="1149">
        <f t="shared" si="18"/>
        <v>0</v>
      </c>
      <c r="J74" s="1094">
        <f t="shared" si="19"/>
        <v>0</v>
      </c>
      <c r="K74" s="1094">
        <v>0</v>
      </c>
      <c r="L74" s="1094">
        <f t="shared" si="20"/>
        <v>0</v>
      </c>
      <c r="M74" s="1094">
        <f t="shared" si="21"/>
        <v>0</v>
      </c>
      <c r="N74" s="1086">
        <f>'[8]FY2012-13 Initial'!$K75</f>
        <v>2587</v>
      </c>
      <c r="O74" s="1088">
        <f t="shared" si="22"/>
        <v>0</v>
      </c>
      <c r="P74" s="1155">
        <f t="shared" si="23"/>
        <v>0</v>
      </c>
      <c r="Q74" s="1088">
        <f t="shared" si="24"/>
        <v>0</v>
      </c>
      <c r="R74" s="1088">
        <v>0</v>
      </c>
      <c r="S74" s="1088">
        <f t="shared" si="25"/>
        <v>0</v>
      </c>
      <c r="T74" s="1088">
        <f t="shared" si="26"/>
        <v>0</v>
      </c>
      <c r="U74" s="1089">
        <f t="shared" si="27"/>
        <v>0</v>
      </c>
      <c r="V74" s="1089">
        <f t="shared" si="27"/>
        <v>0</v>
      </c>
    </row>
    <row r="75" spans="1:22">
      <c r="A75" s="1042">
        <v>69</v>
      </c>
      <c r="B75" s="1043" t="s">
        <v>235</v>
      </c>
      <c r="C75" s="1298">
        <v>0</v>
      </c>
      <c r="D75" s="1045">
        <f>'Table 3 Levels 1&amp;2'!AL76</f>
        <v>5508.3397285189958</v>
      </c>
      <c r="E75" s="1142">
        <f t="shared" si="15"/>
        <v>0</v>
      </c>
      <c r="F75" s="1142">
        <f>'Table 4 Level 3'!P74</f>
        <v>705.67</v>
      </c>
      <c r="G75" s="1142">
        <f t="shared" si="16"/>
        <v>0</v>
      </c>
      <c r="H75" s="1097">
        <f t="shared" si="17"/>
        <v>0</v>
      </c>
      <c r="I75" s="1152">
        <f t="shared" si="18"/>
        <v>0</v>
      </c>
      <c r="J75" s="1097">
        <f t="shared" si="19"/>
        <v>0</v>
      </c>
      <c r="K75" s="1097">
        <v>0</v>
      </c>
      <c r="L75" s="1097">
        <f t="shared" si="20"/>
        <v>0</v>
      </c>
      <c r="M75" s="1097">
        <f t="shared" si="21"/>
        <v>0</v>
      </c>
      <c r="N75" s="1086">
        <f>'[8]FY2012-13 Initial'!$K76</f>
        <v>3233</v>
      </c>
      <c r="O75" s="1098">
        <f t="shared" si="22"/>
        <v>0</v>
      </c>
      <c r="P75" s="1157">
        <f t="shared" si="23"/>
        <v>0</v>
      </c>
      <c r="Q75" s="1098">
        <f t="shared" si="24"/>
        <v>0</v>
      </c>
      <c r="R75" s="1098">
        <v>0</v>
      </c>
      <c r="S75" s="1098">
        <f t="shared" si="25"/>
        <v>0</v>
      </c>
      <c r="T75" s="1098">
        <f t="shared" si="26"/>
        <v>0</v>
      </c>
      <c r="U75" s="1099">
        <f t="shared" si="27"/>
        <v>0</v>
      </c>
      <c r="V75" s="1099">
        <f t="shared" si="27"/>
        <v>0</v>
      </c>
    </row>
    <row r="76" spans="1:22" ht="13.5" thickBot="1">
      <c r="A76" s="1046"/>
      <c r="B76" s="1047" t="s">
        <v>167</v>
      </c>
      <c r="C76" s="1048">
        <f>SUM(C7:C75)</f>
        <v>450</v>
      </c>
      <c r="D76" s="1049">
        <f>'Table 3 Levels 1&amp;2'!AL77</f>
        <v>4325.8670725247357</v>
      </c>
      <c r="E76" s="1143">
        <f>SUM(E7:E75)</f>
        <v>1935030.6618334597</v>
      </c>
      <c r="F76" s="1143">
        <f>'Table 4 Level 3'!P75</f>
        <v>703.90028204588873</v>
      </c>
      <c r="G76" s="1143">
        <f t="shared" ref="G76:L76" si="28">SUM(G7:G75)</f>
        <v>273618.00000000006</v>
      </c>
      <c r="H76" s="1050">
        <f t="shared" si="28"/>
        <v>2208648.66183346</v>
      </c>
      <c r="I76" s="1153">
        <f t="shared" si="28"/>
        <v>-5521.6216545836496</v>
      </c>
      <c r="J76" s="1050">
        <f t="shared" si="28"/>
        <v>2203127.0401788764</v>
      </c>
      <c r="K76" s="1050">
        <f t="shared" si="28"/>
        <v>0</v>
      </c>
      <c r="L76" s="1050">
        <f t="shared" si="28"/>
        <v>2203127.0401788764</v>
      </c>
      <c r="M76" s="1050">
        <f>SUM(M7:M75)</f>
        <v>183593.92001490635</v>
      </c>
      <c r="N76" s="1100"/>
      <c r="O76" s="1051">
        <f t="shared" ref="O76:V76" si="29">SUM(O7:O75)</f>
        <v>1940400</v>
      </c>
      <c r="P76" s="1158">
        <f t="shared" si="29"/>
        <v>-4851</v>
      </c>
      <c r="Q76" s="1051">
        <f t="shared" si="29"/>
        <v>1935549</v>
      </c>
      <c r="R76" s="1051">
        <f t="shared" si="29"/>
        <v>0</v>
      </c>
      <c r="S76" s="1051">
        <f t="shared" si="29"/>
        <v>1935549</v>
      </c>
      <c r="T76" s="1051">
        <f t="shared" si="29"/>
        <v>161295.75</v>
      </c>
      <c r="U76" s="1052">
        <f t="shared" si="29"/>
        <v>4138676.0401788764</v>
      </c>
      <c r="V76" s="1052">
        <f t="shared" si="29"/>
        <v>344889.67001490633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4" right="0.46" top="0.75" bottom="0.75" header="0.3" footer="0.3"/>
  <pageSetup paperSize="5" scale="60" firstPageNumber="64" orientation="portrait" useFirstPageNumber="1" r:id="rId1"/>
  <headerFooter>
    <oddHeader>&amp;L&amp;"Arial,Bold"&amp;20Table 5C1-H: FY2012-13 MFP Budget Letter
Southwest LA Charter Academy</oddHeader>
    <oddFooter>&amp;R&amp;P</oddFooter>
  </headerFooter>
  <colBreaks count="1" manualBreakCount="1">
    <brk id="13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W83"/>
  <sheetViews>
    <sheetView view="pageBreakPreview" zoomScale="80" zoomScaleNormal="85" zoomScaleSheetLayoutView="80" workbookViewId="0">
      <pane xSplit="2" ySplit="3" topLeftCell="C4" activePane="bottomRight" state="frozen"/>
      <selection activeCell="A8" sqref="A8:A9"/>
      <selection pane="topRight" activeCell="A8" sqref="A8:A9"/>
      <selection pane="bottomLeft" activeCell="A8" sqref="A8:A9"/>
      <selection pane="bottomRight" sqref="A1:A2"/>
    </sheetView>
  </sheetViews>
  <sheetFormatPr defaultRowHeight="28.5" customHeight="1"/>
  <cols>
    <col min="1" max="1" width="3.140625" style="563" customWidth="1"/>
    <col min="2" max="2" width="36.5703125" style="563" customWidth="1"/>
    <col min="3" max="3" width="16" style="563" customWidth="1"/>
    <col min="4" max="4" width="16.28515625" style="563" customWidth="1"/>
    <col min="5" max="5" width="17.140625" style="576" customWidth="1"/>
    <col min="6" max="7" width="16.28515625" style="576" customWidth="1"/>
    <col min="8" max="9" width="17.7109375" style="563" customWidth="1"/>
    <col min="10" max="10" width="16.28515625" style="563" customWidth="1"/>
    <col min="11" max="11" width="18.5703125" style="563" customWidth="1"/>
    <col min="12" max="12" width="17.5703125" style="563" customWidth="1"/>
    <col min="13" max="13" width="17.5703125" style="563" bestFit="1" customWidth="1"/>
    <col min="14" max="14" width="15.28515625" style="563" bestFit="1" customWidth="1"/>
    <col min="15" max="15" width="12.85546875" style="563" customWidth="1"/>
    <col min="16" max="16" width="17.7109375" style="563" bestFit="1" customWidth="1"/>
    <col min="17" max="17" width="12.7109375" style="563" bestFit="1" customWidth="1"/>
    <col min="18" max="18" width="16.28515625" style="563" bestFit="1" customWidth="1"/>
    <col min="19" max="19" width="15.42578125" style="563" bestFit="1" customWidth="1"/>
    <col min="20" max="20" width="16.28515625" style="563" bestFit="1" customWidth="1"/>
    <col min="21" max="21" width="14" style="563" customWidth="1"/>
    <col min="22" max="22" width="16.42578125" style="563" customWidth="1"/>
    <col min="23" max="23" width="14.140625" style="563" customWidth="1"/>
    <col min="24" max="16384" width="9.140625" style="563"/>
  </cols>
  <sheetData>
    <row r="1" spans="1:23" ht="102.75" customHeight="1">
      <c r="A1" s="1856" t="s">
        <v>639</v>
      </c>
      <c r="B1" s="1856" t="s">
        <v>1256</v>
      </c>
      <c r="C1" s="1867" t="s">
        <v>1191</v>
      </c>
      <c r="D1" s="1670" t="s">
        <v>714</v>
      </c>
      <c r="E1" s="1863" t="s">
        <v>1406</v>
      </c>
      <c r="F1" s="1868" t="s">
        <v>1244</v>
      </c>
      <c r="G1" s="1833" t="s">
        <v>715</v>
      </c>
      <c r="H1" s="1863" t="s">
        <v>1419</v>
      </c>
      <c r="I1" s="1864" t="s">
        <v>1297</v>
      </c>
      <c r="J1" s="1737" t="s">
        <v>635</v>
      </c>
      <c r="K1" s="1863" t="s">
        <v>1420</v>
      </c>
      <c r="L1" s="1861" t="s">
        <v>1197</v>
      </c>
      <c r="M1" s="1863" t="s">
        <v>1409</v>
      </c>
      <c r="N1" s="1864" t="s">
        <v>1424</v>
      </c>
      <c r="O1" s="1762" t="s">
        <v>1309</v>
      </c>
      <c r="P1" s="1762" t="s">
        <v>1401</v>
      </c>
      <c r="Q1" s="1869" t="s">
        <v>638</v>
      </c>
      <c r="R1" s="1870" t="s">
        <v>1421</v>
      </c>
      <c r="S1" s="1872" t="s">
        <v>1197</v>
      </c>
      <c r="T1" s="1866" t="s">
        <v>1394</v>
      </c>
      <c r="U1" s="1858" t="s">
        <v>1418</v>
      </c>
      <c r="V1" s="1823" t="s">
        <v>1422</v>
      </c>
      <c r="W1" s="1823" t="s">
        <v>1423</v>
      </c>
    </row>
    <row r="2" spans="1:23" ht="35.25" customHeight="1">
      <c r="A2" s="1857"/>
      <c r="B2" s="1857"/>
      <c r="C2" s="1867"/>
      <c r="D2" s="1672"/>
      <c r="E2" s="1863"/>
      <c r="F2" s="1868"/>
      <c r="G2" s="1834"/>
      <c r="H2" s="1863"/>
      <c r="I2" s="1865"/>
      <c r="J2" s="1672"/>
      <c r="K2" s="1863"/>
      <c r="L2" s="1862"/>
      <c r="M2" s="1863"/>
      <c r="N2" s="1865"/>
      <c r="O2" s="1763"/>
      <c r="P2" s="1763"/>
      <c r="Q2" s="1763"/>
      <c r="R2" s="1871"/>
      <c r="S2" s="1873"/>
      <c r="T2" s="1859"/>
      <c r="U2" s="1859"/>
      <c r="V2" s="1824"/>
      <c r="W2" s="1824"/>
    </row>
    <row r="3" spans="1:23" s="567" customFormat="1" ht="18" customHeight="1">
      <c r="A3" s="564"/>
      <c r="B3" s="564"/>
      <c r="C3" s="565">
        <v>1</v>
      </c>
      <c r="D3" s="566">
        <f>C3+1</f>
        <v>2</v>
      </c>
      <c r="E3" s="566">
        <f>D3+1</f>
        <v>3</v>
      </c>
      <c r="F3" s="566">
        <f>E3+1</f>
        <v>4</v>
      </c>
      <c r="G3" s="566">
        <f>F3+1</f>
        <v>5</v>
      </c>
      <c r="H3" s="566">
        <f t="shared" ref="H3" si="0">G3+1</f>
        <v>6</v>
      </c>
      <c r="I3" s="566">
        <f t="shared" ref="I3" si="1">H3+1</f>
        <v>7</v>
      </c>
      <c r="J3" s="566">
        <f t="shared" ref="J3" si="2">I3+1</f>
        <v>8</v>
      </c>
      <c r="K3" s="566">
        <f t="shared" ref="K3" si="3">J3+1</f>
        <v>9</v>
      </c>
      <c r="L3" s="566">
        <f t="shared" ref="L3" si="4">K3+1</f>
        <v>10</v>
      </c>
      <c r="M3" s="566">
        <f t="shared" ref="M3" si="5">L3+1</f>
        <v>11</v>
      </c>
      <c r="N3" s="566">
        <f t="shared" ref="N3" si="6">M3+1</f>
        <v>12</v>
      </c>
      <c r="O3" s="566">
        <f t="shared" ref="O3" si="7">N3+1</f>
        <v>13</v>
      </c>
      <c r="P3" s="566">
        <f t="shared" ref="P3" si="8">O3+1</f>
        <v>14</v>
      </c>
      <c r="Q3" s="566">
        <f t="shared" ref="Q3" si="9">P3+1</f>
        <v>15</v>
      </c>
      <c r="R3" s="566">
        <f t="shared" ref="R3" si="10">Q3+1</f>
        <v>16</v>
      </c>
      <c r="S3" s="566">
        <f t="shared" ref="S3" si="11">R3+1</f>
        <v>17</v>
      </c>
      <c r="T3" s="566">
        <f t="shared" ref="T3" si="12">S3+1</f>
        <v>18</v>
      </c>
      <c r="U3" s="566">
        <f t="shared" ref="U3" si="13">T3+1</f>
        <v>19</v>
      </c>
      <c r="V3" s="566">
        <f t="shared" ref="V3" si="14">U3+1</f>
        <v>20</v>
      </c>
      <c r="W3" s="566">
        <f t="shared" ref="W3" si="15">V3+1</f>
        <v>21</v>
      </c>
    </row>
    <row r="4" spans="1:23" s="572" customFormat="1" ht="17.25" customHeight="1">
      <c r="A4" s="103">
        <v>1</v>
      </c>
      <c r="B4" s="834" t="s">
        <v>102</v>
      </c>
      <c r="C4" s="854">
        <f>'Table 8 2.1.12 MFP Funded'!U4</f>
        <v>23</v>
      </c>
      <c r="D4" s="855">
        <f>'Table 3 Levels 1&amp;2'!AL8*90%</f>
        <v>4159.6358236950919</v>
      </c>
      <c r="E4" s="855">
        <f>C4*D4</f>
        <v>95671.623944987106</v>
      </c>
      <c r="F4" s="856">
        <f>'Table 4 Level 3'!P6*90%</f>
        <v>699.73200000000008</v>
      </c>
      <c r="G4" s="856">
        <f>F4*C4</f>
        <v>16093.836000000001</v>
      </c>
      <c r="H4" s="856">
        <f>E4+G4</f>
        <v>111765.4599449871</v>
      </c>
      <c r="I4" s="856">
        <f>(('Table 3 Levels 1&amp;2'!AL8-D4)+('Table 4 Level 3'!P6-F4))*C4</f>
        <v>12418.384438331896</v>
      </c>
      <c r="J4" s="856">
        <f>ROUND(-0.25%*H4,0)</f>
        <v>-279</v>
      </c>
      <c r="K4" s="857">
        <f>H4+J4</f>
        <v>111486.4599449871</v>
      </c>
      <c r="L4" s="857">
        <f>'[9]Oct midyear adj_LA virtual'!$M6</f>
        <v>-4909.0320000000065</v>
      </c>
      <c r="M4" s="858">
        <f>SUM(K4:L4)</f>
        <v>106577.4279449871</v>
      </c>
      <c r="N4" s="858">
        <f>ROUND(M4/12,0)</f>
        <v>8881</v>
      </c>
      <c r="O4" s="859">
        <f>'[8]FY2012-13 Initial'!$K8*90%</f>
        <v>1884.6000000000001</v>
      </c>
      <c r="P4" s="860">
        <f>O4*C4</f>
        <v>43345.8</v>
      </c>
      <c r="Q4" s="860">
        <f>ROUND(P4*-0.25%,0)</f>
        <v>-108</v>
      </c>
      <c r="R4" s="860">
        <f>SUM(P4:Q4)</f>
        <v>43237.8</v>
      </c>
      <c r="S4" s="859">
        <f>'[9]Oct midyear adj_LA virtual'!$P6</f>
        <v>-1824.3</v>
      </c>
      <c r="T4" s="891">
        <f>SUM(R4:S4)</f>
        <v>41413.5</v>
      </c>
      <c r="U4" s="891">
        <f>ROUND(T4/12,0)</f>
        <v>3451</v>
      </c>
      <c r="V4" s="861">
        <f>T4+M4</f>
        <v>147990.92794498708</v>
      </c>
      <c r="W4" s="861">
        <f>N4+U4</f>
        <v>12332</v>
      </c>
    </row>
    <row r="5" spans="1:23" s="572" customFormat="1" ht="17.25" customHeight="1">
      <c r="A5" s="103">
        <v>2</v>
      </c>
      <c r="B5" s="834" t="s">
        <v>103</v>
      </c>
      <c r="C5" s="862">
        <f>'Table 8 2.1.12 MFP Funded'!U5</f>
        <v>9</v>
      </c>
      <c r="D5" s="863">
        <f>'Table 3 Levels 1&amp;2'!AL9*90%</f>
        <v>5518.6516499094341</v>
      </c>
      <c r="E5" s="863">
        <f t="shared" ref="E5:E68" si="16">C5*D5</f>
        <v>49667.864849184909</v>
      </c>
      <c r="F5" s="864">
        <f>'Table 4 Level 3'!P7*90%</f>
        <v>758.08800000000008</v>
      </c>
      <c r="G5" s="864">
        <f t="shared" ref="G5:G68" si="17">F5*C5</f>
        <v>6822.7920000000004</v>
      </c>
      <c r="H5" s="864">
        <f t="shared" ref="H5:H68" si="18">E5+G5</f>
        <v>56490.65684918491</v>
      </c>
      <c r="I5" s="864">
        <f>(('Table 3 Levels 1&amp;2'!AL9-D5)+('Table 4 Level 3'!P7-F5))*C5</f>
        <v>6276.7396499094302</v>
      </c>
      <c r="J5" s="864">
        <f t="shared" ref="J5:J68" si="19">ROUND(-0.25%*H5,0)</f>
        <v>-141</v>
      </c>
      <c r="K5" s="865">
        <f t="shared" ref="K5:K68" si="20">H5+J5</f>
        <v>56349.65684918491</v>
      </c>
      <c r="L5" s="865">
        <f>'[9]Oct midyear adj_LA virtual'!$M7</f>
        <v>0</v>
      </c>
      <c r="M5" s="866">
        <f t="shared" ref="M5:M68" si="21">SUM(K5:L5)</f>
        <v>56349.65684918491</v>
      </c>
      <c r="N5" s="866">
        <f t="shared" ref="N5:N68" si="22">ROUND(M5/12,0)</f>
        <v>4696</v>
      </c>
      <c r="O5" s="867">
        <f>'[8]FY2012-13 Initial'!$K9*90%</f>
        <v>2298.6</v>
      </c>
      <c r="P5" s="868">
        <f t="shared" ref="P5:P68" si="23">O5*C5</f>
        <v>20687.399999999998</v>
      </c>
      <c r="Q5" s="868">
        <f t="shared" ref="Q5:Q68" si="24">ROUND(P5*-0.25%,0)</f>
        <v>-52</v>
      </c>
      <c r="R5" s="868">
        <f t="shared" ref="R5:R68" si="25">SUM(P5:Q5)</f>
        <v>20635.399999999998</v>
      </c>
      <c r="S5" s="867">
        <f>'[9]Oct midyear adj_LA virtual'!$P7</f>
        <v>0</v>
      </c>
      <c r="T5" s="892">
        <f t="shared" ref="T5:T68" si="26">SUM(R5:S5)</f>
        <v>20635.399999999998</v>
      </c>
      <c r="U5" s="892">
        <f t="shared" ref="U5:U68" si="27">ROUND(T5/12,0)</f>
        <v>1720</v>
      </c>
      <c r="V5" s="869">
        <f t="shared" ref="V5:V68" si="28">T5+M5</f>
        <v>76985.056849184912</v>
      </c>
      <c r="W5" s="869">
        <f t="shared" ref="W5:W68" si="29">N5+U5</f>
        <v>6416</v>
      </c>
    </row>
    <row r="6" spans="1:23" s="572" customFormat="1" ht="17.25" customHeight="1">
      <c r="A6" s="103">
        <v>3</v>
      </c>
      <c r="B6" s="834" t="s">
        <v>104</v>
      </c>
      <c r="C6" s="862">
        <f>'Table 8 2.1.12 MFP Funded'!U6</f>
        <v>33</v>
      </c>
      <c r="D6" s="863">
        <f>'Table 3 Levels 1&amp;2'!AL10*90%</f>
        <v>3893.8845916853975</v>
      </c>
      <c r="E6" s="863">
        <f t="shared" si="16"/>
        <v>128498.19152561812</v>
      </c>
      <c r="F6" s="864">
        <f>'Table 4 Level 3'!P8*90%</f>
        <v>537.15600000000006</v>
      </c>
      <c r="G6" s="864">
        <f t="shared" si="17"/>
        <v>17726.148000000001</v>
      </c>
      <c r="H6" s="864">
        <f t="shared" si="18"/>
        <v>146224.33952561812</v>
      </c>
      <c r="I6" s="864">
        <f>(('Table 3 Levels 1&amp;2'!AL10-D6)+('Table 4 Level 3'!P8-F6))*C6</f>
        <v>16247.148836179793</v>
      </c>
      <c r="J6" s="864">
        <f t="shared" si="19"/>
        <v>-366</v>
      </c>
      <c r="K6" s="865">
        <f t="shared" si="20"/>
        <v>145858.33952561812</v>
      </c>
      <c r="L6" s="865">
        <f>'[9]Oct midyear adj_LA virtual'!$M8</f>
        <v>0</v>
      </c>
      <c r="M6" s="866">
        <f t="shared" si="21"/>
        <v>145858.33952561812</v>
      </c>
      <c r="N6" s="866">
        <f t="shared" si="22"/>
        <v>12155</v>
      </c>
      <c r="O6" s="867">
        <f>'[8]FY2012-13 Initial'!$K10*90%</f>
        <v>4495.5</v>
      </c>
      <c r="P6" s="868">
        <f t="shared" si="23"/>
        <v>148351.5</v>
      </c>
      <c r="Q6" s="868">
        <f t="shared" si="24"/>
        <v>-371</v>
      </c>
      <c r="R6" s="868">
        <f t="shared" si="25"/>
        <v>147980.5</v>
      </c>
      <c r="S6" s="867">
        <f>'[9]Oct midyear adj_LA virtual'!$P8</f>
        <v>0</v>
      </c>
      <c r="T6" s="892">
        <f t="shared" si="26"/>
        <v>147980.5</v>
      </c>
      <c r="U6" s="892">
        <f t="shared" si="27"/>
        <v>12332</v>
      </c>
      <c r="V6" s="869">
        <f t="shared" si="28"/>
        <v>293838.83952561812</v>
      </c>
      <c r="W6" s="869">
        <f t="shared" si="29"/>
        <v>24487</v>
      </c>
    </row>
    <row r="7" spans="1:23" s="572" customFormat="1" ht="17.25" customHeight="1">
      <c r="A7" s="103">
        <v>4</v>
      </c>
      <c r="B7" s="834" t="s">
        <v>105</v>
      </c>
      <c r="C7" s="862">
        <f>'Table 8 2.1.12 MFP Funded'!U7</f>
        <v>3</v>
      </c>
      <c r="D7" s="863">
        <f>'Table 3 Levels 1&amp;2'!AL11*90%</f>
        <v>5459.6393687097907</v>
      </c>
      <c r="E7" s="863">
        <f t="shared" si="16"/>
        <v>16378.918106129371</v>
      </c>
      <c r="F7" s="864">
        <f>'Table 4 Level 3'!P9*90%</f>
        <v>527.18399999999997</v>
      </c>
      <c r="G7" s="864">
        <f t="shared" si="17"/>
        <v>1581.5519999999999</v>
      </c>
      <c r="H7" s="864">
        <f t="shared" si="18"/>
        <v>17960.470106129371</v>
      </c>
      <c r="I7" s="864">
        <f>(('Table 3 Levels 1&amp;2'!AL11-D7)+('Table 4 Level 3'!P9-F7))*C7</f>
        <v>1995.6077895699291</v>
      </c>
      <c r="J7" s="864">
        <f t="shared" si="19"/>
        <v>-45</v>
      </c>
      <c r="K7" s="865">
        <f t="shared" si="20"/>
        <v>17915.470106129371</v>
      </c>
      <c r="L7" s="865">
        <f>'[9]Oct midyear adj_LA virtual'!$M9</f>
        <v>0</v>
      </c>
      <c r="M7" s="866">
        <f t="shared" si="21"/>
        <v>17915.470106129371</v>
      </c>
      <c r="N7" s="866">
        <f t="shared" si="22"/>
        <v>1493</v>
      </c>
      <c r="O7" s="867">
        <f>'[8]FY2012-13 Initial'!$K11*90%</f>
        <v>3024.9</v>
      </c>
      <c r="P7" s="868">
        <f t="shared" si="23"/>
        <v>9074.7000000000007</v>
      </c>
      <c r="Q7" s="868">
        <f t="shared" si="24"/>
        <v>-23</v>
      </c>
      <c r="R7" s="868">
        <f t="shared" si="25"/>
        <v>9051.7000000000007</v>
      </c>
      <c r="S7" s="867">
        <f>'[9]Oct midyear adj_LA virtual'!$P9</f>
        <v>0</v>
      </c>
      <c r="T7" s="892">
        <f t="shared" si="26"/>
        <v>9051.7000000000007</v>
      </c>
      <c r="U7" s="892">
        <f t="shared" si="27"/>
        <v>754</v>
      </c>
      <c r="V7" s="869">
        <f t="shared" si="28"/>
        <v>26967.170106129372</v>
      </c>
      <c r="W7" s="869">
        <f t="shared" si="29"/>
        <v>2247</v>
      </c>
    </row>
    <row r="8" spans="1:23" s="572" customFormat="1" ht="17.25" customHeight="1">
      <c r="A8" s="104">
        <v>5</v>
      </c>
      <c r="B8" s="835" t="s">
        <v>106</v>
      </c>
      <c r="C8" s="870">
        <f>'Table 8 2.1.12 MFP Funded'!U8</f>
        <v>23</v>
      </c>
      <c r="D8" s="871">
        <f>'Table 3 Levels 1&amp;2'!AL12*90%</f>
        <v>4325.5913519000778</v>
      </c>
      <c r="E8" s="871">
        <f t="shared" si="16"/>
        <v>99488.601093701785</v>
      </c>
      <c r="F8" s="872">
        <f>'Table 4 Level 3'!P10*90%</f>
        <v>500.31899999999996</v>
      </c>
      <c r="G8" s="872">
        <f t="shared" si="17"/>
        <v>11507.337</v>
      </c>
      <c r="H8" s="872">
        <f t="shared" si="18"/>
        <v>110995.93809370178</v>
      </c>
      <c r="I8" s="872">
        <f>(('Table 3 Levels 1&amp;2'!AL12-D8)+('Table 4 Level 3'!P10-F8))*C8</f>
        <v>12332.882010411304</v>
      </c>
      <c r="J8" s="872">
        <f t="shared" si="19"/>
        <v>-277</v>
      </c>
      <c r="K8" s="873">
        <f t="shared" si="20"/>
        <v>110718.93809370178</v>
      </c>
      <c r="L8" s="873">
        <f>'[9]Oct midyear adj_LA virtual'!$M10</f>
        <v>0</v>
      </c>
      <c r="M8" s="874">
        <f t="shared" si="21"/>
        <v>110718.93809370178</v>
      </c>
      <c r="N8" s="874">
        <f t="shared" si="22"/>
        <v>9227</v>
      </c>
      <c r="O8" s="875">
        <f>'[8]FY2012-13 Initial'!$K12*90%</f>
        <v>1031.4000000000001</v>
      </c>
      <c r="P8" s="876">
        <f t="shared" si="23"/>
        <v>23722.2</v>
      </c>
      <c r="Q8" s="876">
        <f t="shared" si="24"/>
        <v>-59</v>
      </c>
      <c r="R8" s="876">
        <f t="shared" si="25"/>
        <v>23663.200000000001</v>
      </c>
      <c r="S8" s="875">
        <f>'[9]Oct midyear adj_LA virtual'!$P10</f>
        <v>0</v>
      </c>
      <c r="T8" s="893">
        <f t="shared" si="26"/>
        <v>23663.200000000001</v>
      </c>
      <c r="U8" s="893">
        <f t="shared" si="27"/>
        <v>1972</v>
      </c>
      <c r="V8" s="877">
        <f t="shared" si="28"/>
        <v>134382.1380937018</v>
      </c>
      <c r="W8" s="877">
        <f t="shared" si="29"/>
        <v>11199</v>
      </c>
    </row>
    <row r="9" spans="1:23" s="572" customFormat="1" ht="17.25" customHeight="1">
      <c r="A9" s="103">
        <v>6</v>
      </c>
      <c r="B9" s="834" t="s">
        <v>107</v>
      </c>
      <c r="C9" s="854">
        <f>'Table 8 2.1.12 MFP Funded'!U9</f>
        <v>15</v>
      </c>
      <c r="D9" s="855">
        <f>'Table 3 Levels 1&amp;2'!AL13*90%</f>
        <v>4984.2791890695735</v>
      </c>
      <c r="E9" s="855">
        <f t="shared" si="16"/>
        <v>74764.187836043595</v>
      </c>
      <c r="F9" s="856">
        <f>'Table 4 Level 3'!P11*90%</f>
        <v>490.9319999999999</v>
      </c>
      <c r="G9" s="856">
        <f t="shared" si="17"/>
        <v>7363.9799999999987</v>
      </c>
      <c r="H9" s="856">
        <f t="shared" si="18"/>
        <v>82128.167836043591</v>
      </c>
      <c r="I9" s="856">
        <f>(('Table 3 Levels 1&amp;2'!AL13-D9)+('Table 4 Level 3'!P11-F9))*C9</f>
        <v>9125.3519817826182</v>
      </c>
      <c r="J9" s="856">
        <f t="shared" si="19"/>
        <v>-205</v>
      </c>
      <c r="K9" s="857">
        <f t="shared" si="20"/>
        <v>81923.167836043591</v>
      </c>
      <c r="L9" s="857">
        <f>'[9]Oct midyear adj_LA virtual'!$M11</f>
        <v>0</v>
      </c>
      <c r="M9" s="858">
        <f t="shared" si="21"/>
        <v>81923.167836043591</v>
      </c>
      <c r="N9" s="858">
        <f t="shared" si="22"/>
        <v>6827</v>
      </c>
      <c r="O9" s="859">
        <f>'[8]FY2012-13 Initial'!$K13*90%</f>
        <v>3087.9</v>
      </c>
      <c r="P9" s="860">
        <f t="shared" si="23"/>
        <v>46318.5</v>
      </c>
      <c r="Q9" s="860">
        <f t="shared" si="24"/>
        <v>-116</v>
      </c>
      <c r="R9" s="860">
        <f t="shared" si="25"/>
        <v>46202.5</v>
      </c>
      <c r="S9" s="859">
        <f>'[9]Oct midyear adj_LA virtual'!$P11</f>
        <v>0</v>
      </c>
      <c r="T9" s="891">
        <f t="shared" si="26"/>
        <v>46202.5</v>
      </c>
      <c r="U9" s="891">
        <f t="shared" si="27"/>
        <v>3850</v>
      </c>
      <c r="V9" s="861">
        <f t="shared" si="28"/>
        <v>128125.66783604359</v>
      </c>
      <c r="W9" s="861">
        <f t="shared" si="29"/>
        <v>10677</v>
      </c>
    </row>
    <row r="10" spans="1:23" s="572" customFormat="1" ht="17.25" customHeight="1">
      <c r="A10" s="103">
        <v>7</v>
      </c>
      <c r="B10" s="834" t="s">
        <v>108</v>
      </c>
      <c r="C10" s="862">
        <f>'Table 8 2.1.12 MFP Funded'!U10</f>
        <v>5</v>
      </c>
      <c r="D10" s="863">
        <f>'Table 3 Levels 1&amp;2'!AL14*90%</f>
        <v>1389.2141118124437</v>
      </c>
      <c r="E10" s="863">
        <f t="shared" si="16"/>
        <v>6946.0705590622183</v>
      </c>
      <c r="F10" s="864">
        <f>'Table 4 Level 3'!P12*90%</f>
        <v>681.22799999999984</v>
      </c>
      <c r="G10" s="864">
        <f t="shared" si="17"/>
        <v>3406.1399999999994</v>
      </c>
      <c r="H10" s="864">
        <f t="shared" si="18"/>
        <v>10352.210559062218</v>
      </c>
      <c r="I10" s="864">
        <f>(('Table 3 Levels 1&amp;2'!AL14-D10)+('Table 4 Level 3'!P12-F10))*C10</f>
        <v>1150.2456176735802</v>
      </c>
      <c r="J10" s="864">
        <f t="shared" si="19"/>
        <v>-26</v>
      </c>
      <c r="K10" s="865">
        <f t="shared" si="20"/>
        <v>10326.210559062218</v>
      </c>
      <c r="L10" s="865">
        <f>'[9]Oct midyear adj_LA virtual'!$M12</f>
        <v>0</v>
      </c>
      <c r="M10" s="866">
        <f t="shared" si="21"/>
        <v>10326.210559062218</v>
      </c>
      <c r="N10" s="866">
        <f t="shared" si="22"/>
        <v>861</v>
      </c>
      <c r="O10" s="867">
        <f>'[8]FY2012-13 Initial'!$K14*90%</f>
        <v>11676.6</v>
      </c>
      <c r="P10" s="868">
        <f t="shared" si="23"/>
        <v>58383</v>
      </c>
      <c r="Q10" s="868">
        <f t="shared" si="24"/>
        <v>-146</v>
      </c>
      <c r="R10" s="868">
        <f t="shared" si="25"/>
        <v>58237</v>
      </c>
      <c r="S10" s="867">
        <f>'[9]Oct midyear adj_LA virtual'!$P12</f>
        <v>0</v>
      </c>
      <c r="T10" s="892">
        <f t="shared" si="26"/>
        <v>58237</v>
      </c>
      <c r="U10" s="892">
        <f t="shared" si="27"/>
        <v>4853</v>
      </c>
      <c r="V10" s="869">
        <f t="shared" si="28"/>
        <v>68563.210559062223</v>
      </c>
      <c r="W10" s="869">
        <f t="shared" si="29"/>
        <v>5714</v>
      </c>
    </row>
    <row r="11" spans="1:23" s="572" customFormat="1" ht="17.25" customHeight="1">
      <c r="A11" s="103">
        <v>8</v>
      </c>
      <c r="B11" s="834" t="s">
        <v>109</v>
      </c>
      <c r="C11" s="862">
        <f>'Table 8 2.1.12 MFP Funded'!U11</f>
        <v>45</v>
      </c>
      <c r="D11" s="863">
        <f>'Table 3 Levels 1&amp;2'!AL15*90%</f>
        <v>3630.13799147193</v>
      </c>
      <c r="E11" s="863">
        <f t="shared" si="16"/>
        <v>163356.20961623685</v>
      </c>
      <c r="F11" s="864">
        <f>'Table 4 Level 3'!P13*90%</f>
        <v>653.18399999999997</v>
      </c>
      <c r="G11" s="864">
        <f t="shared" si="17"/>
        <v>29393.279999999999</v>
      </c>
      <c r="H11" s="864">
        <f t="shared" si="18"/>
        <v>192749.48961623685</v>
      </c>
      <c r="I11" s="864">
        <f>(('Table 3 Levels 1&amp;2'!AL15-D11)+('Table 4 Level 3'!P13-F11))*C11</f>
        <v>21416.609957359651</v>
      </c>
      <c r="J11" s="864">
        <f t="shared" si="19"/>
        <v>-482</v>
      </c>
      <c r="K11" s="865">
        <f t="shared" si="20"/>
        <v>192267.48961623685</v>
      </c>
      <c r="L11" s="865">
        <f>'[9]Oct midyear adj_LA virtual'!$M13</f>
        <v>-4254.3896558252454</v>
      </c>
      <c r="M11" s="866">
        <f t="shared" si="21"/>
        <v>188013.09996041161</v>
      </c>
      <c r="N11" s="866">
        <f t="shared" si="22"/>
        <v>15668</v>
      </c>
      <c r="O11" s="867">
        <f>'[8]FY2012-13 Initial'!$K15*90%</f>
        <v>3810.6</v>
      </c>
      <c r="P11" s="868">
        <f t="shared" si="23"/>
        <v>171477</v>
      </c>
      <c r="Q11" s="868">
        <f t="shared" si="24"/>
        <v>-429</v>
      </c>
      <c r="R11" s="868">
        <f t="shared" si="25"/>
        <v>171048</v>
      </c>
      <c r="S11" s="867">
        <f>'[9]Oct midyear adj_LA virtual'!$P13</f>
        <v>-3858.3</v>
      </c>
      <c r="T11" s="892">
        <f t="shared" si="26"/>
        <v>167189.70000000001</v>
      </c>
      <c r="U11" s="892">
        <f t="shared" si="27"/>
        <v>13932</v>
      </c>
      <c r="V11" s="869">
        <f t="shared" si="28"/>
        <v>355202.79996041162</v>
      </c>
      <c r="W11" s="869">
        <f t="shared" si="29"/>
        <v>29600</v>
      </c>
    </row>
    <row r="12" spans="1:23" s="572" customFormat="1" ht="17.25" customHeight="1">
      <c r="A12" s="103">
        <v>9</v>
      </c>
      <c r="B12" s="834" t="s">
        <v>110</v>
      </c>
      <c r="C12" s="862">
        <f>'Table 8 2.1.12 MFP Funded'!U12</f>
        <v>93</v>
      </c>
      <c r="D12" s="863">
        <f>'Table 3 Levels 1&amp;2'!AL16*90%</f>
        <v>3841.4895544712613</v>
      </c>
      <c r="E12" s="863">
        <f t="shared" si="16"/>
        <v>357258.52856582729</v>
      </c>
      <c r="F12" s="864">
        <f>'Table 4 Level 3'!P14*90%</f>
        <v>670.28399999999999</v>
      </c>
      <c r="G12" s="864">
        <f t="shared" si="17"/>
        <v>62336.411999999997</v>
      </c>
      <c r="H12" s="864">
        <f t="shared" si="18"/>
        <v>419594.9405658273</v>
      </c>
      <c r="I12" s="864">
        <f>(('Table 3 Levels 1&amp;2'!AL16-D12)+('Table 4 Level 3'!P14-F12))*C12</f>
        <v>46621.660062869712</v>
      </c>
      <c r="J12" s="864">
        <f t="shared" si="19"/>
        <v>-1049</v>
      </c>
      <c r="K12" s="865">
        <f t="shared" si="20"/>
        <v>418545.9405658273</v>
      </c>
      <c r="L12" s="865">
        <f>'[9]Oct midyear adj_LA virtual'!$M14</f>
        <v>-4616.7041542979059</v>
      </c>
      <c r="M12" s="866">
        <f t="shared" si="21"/>
        <v>413929.23641152942</v>
      </c>
      <c r="N12" s="866">
        <f t="shared" si="22"/>
        <v>34494</v>
      </c>
      <c r="O12" s="867">
        <f>'[8]FY2012-13 Initial'!$K16*90%</f>
        <v>4085.1</v>
      </c>
      <c r="P12" s="868">
        <f t="shared" si="23"/>
        <v>379914.3</v>
      </c>
      <c r="Q12" s="868">
        <f t="shared" si="24"/>
        <v>-950</v>
      </c>
      <c r="R12" s="868">
        <f t="shared" si="25"/>
        <v>378964.3</v>
      </c>
      <c r="S12" s="867">
        <f>'[9]Oct midyear adj_LA virtual'!$P14</f>
        <v>-4122</v>
      </c>
      <c r="T12" s="892">
        <f t="shared" si="26"/>
        <v>374842.3</v>
      </c>
      <c r="U12" s="892">
        <f t="shared" si="27"/>
        <v>31237</v>
      </c>
      <c r="V12" s="869">
        <f t="shared" si="28"/>
        <v>788771.53641152941</v>
      </c>
      <c r="W12" s="869">
        <f t="shared" si="29"/>
        <v>65731</v>
      </c>
    </row>
    <row r="13" spans="1:23" s="572" customFormat="1" ht="17.25" customHeight="1">
      <c r="A13" s="104">
        <v>10</v>
      </c>
      <c r="B13" s="835" t="s">
        <v>111</v>
      </c>
      <c r="C13" s="870">
        <f>'Table 8 2.1.12 MFP Funded'!U13</f>
        <v>62</v>
      </c>
      <c r="D13" s="871">
        <f>'Table 3 Levels 1&amp;2'!AL17*90%</f>
        <v>3870.0613236669196</v>
      </c>
      <c r="E13" s="871">
        <f t="shared" si="16"/>
        <v>239943.80206734902</v>
      </c>
      <c r="F13" s="872">
        <f>'Table 4 Level 3'!P15*90%</f>
        <v>547.2360000000001</v>
      </c>
      <c r="G13" s="872">
        <f t="shared" si="17"/>
        <v>33928.632000000005</v>
      </c>
      <c r="H13" s="872">
        <f t="shared" si="18"/>
        <v>273872.43406734901</v>
      </c>
      <c r="I13" s="872">
        <f>(('Table 3 Levels 1&amp;2'!AL17-D13)+('Table 4 Level 3'!P15-F13))*C13</f>
        <v>30430.270451927667</v>
      </c>
      <c r="J13" s="872">
        <f t="shared" si="19"/>
        <v>-685</v>
      </c>
      <c r="K13" s="873">
        <f t="shared" si="20"/>
        <v>273187.43406734901</v>
      </c>
      <c r="L13" s="873">
        <f>'[9]Oct midyear adj_LA virtual'!$M15</f>
        <v>0</v>
      </c>
      <c r="M13" s="874">
        <f t="shared" si="21"/>
        <v>273187.43406734901</v>
      </c>
      <c r="N13" s="874">
        <f t="shared" si="22"/>
        <v>22766</v>
      </c>
      <c r="O13" s="875">
        <f>'[8]FY2012-13 Initial'!$K17*90%</f>
        <v>3880.8</v>
      </c>
      <c r="P13" s="876">
        <f t="shared" si="23"/>
        <v>240609.6</v>
      </c>
      <c r="Q13" s="876">
        <f t="shared" si="24"/>
        <v>-602</v>
      </c>
      <c r="R13" s="876">
        <f t="shared" si="25"/>
        <v>240007.6</v>
      </c>
      <c r="S13" s="875">
        <f>'[9]Oct midyear adj_LA virtual'!$P15</f>
        <v>0</v>
      </c>
      <c r="T13" s="893">
        <f t="shared" si="26"/>
        <v>240007.6</v>
      </c>
      <c r="U13" s="893">
        <f t="shared" si="27"/>
        <v>20001</v>
      </c>
      <c r="V13" s="877">
        <f t="shared" si="28"/>
        <v>513195.03406734904</v>
      </c>
      <c r="W13" s="877">
        <f t="shared" si="29"/>
        <v>42767</v>
      </c>
    </row>
    <row r="14" spans="1:23" s="572" customFormat="1" ht="17.25" customHeight="1">
      <c r="A14" s="103">
        <v>11</v>
      </c>
      <c r="B14" s="834" t="s">
        <v>112</v>
      </c>
      <c r="C14" s="854">
        <f>'Table 8 2.1.12 MFP Funded'!U14</f>
        <v>3</v>
      </c>
      <c r="D14" s="855">
        <f>'Table 3 Levels 1&amp;2'!AL18*90%</f>
        <v>6066.2154560317813</v>
      </c>
      <c r="E14" s="855">
        <f t="shared" si="16"/>
        <v>18198.646368095346</v>
      </c>
      <c r="F14" s="856">
        <f>'Table 4 Level 3'!P16*90%</f>
        <v>635.89499999999998</v>
      </c>
      <c r="G14" s="856">
        <f t="shared" si="17"/>
        <v>1907.6849999999999</v>
      </c>
      <c r="H14" s="856">
        <f t="shared" si="18"/>
        <v>20106.331368095347</v>
      </c>
      <c r="I14" s="856">
        <f>(('Table 3 Levels 1&amp;2'!AL18-D14)+('Table 4 Level 3'!P16-F14))*C14</f>
        <v>2234.0368186772612</v>
      </c>
      <c r="J14" s="856">
        <f t="shared" si="19"/>
        <v>-50</v>
      </c>
      <c r="K14" s="857">
        <f t="shared" si="20"/>
        <v>20056.331368095347</v>
      </c>
      <c r="L14" s="857">
        <f>'[9]Oct midyear adj_LA virtual'!$M16</f>
        <v>0</v>
      </c>
      <c r="M14" s="858">
        <f t="shared" si="21"/>
        <v>20056.331368095347</v>
      </c>
      <c r="N14" s="858">
        <f t="shared" si="22"/>
        <v>1671</v>
      </c>
      <c r="O14" s="859">
        <f>'[8]FY2012-13 Initial'!$K18*90%</f>
        <v>2703.6</v>
      </c>
      <c r="P14" s="860">
        <f t="shared" si="23"/>
        <v>8110.7999999999993</v>
      </c>
      <c r="Q14" s="860">
        <f t="shared" si="24"/>
        <v>-20</v>
      </c>
      <c r="R14" s="860">
        <f t="shared" si="25"/>
        <v>8090.7999999999993</v>
      </c>
      <c r="S14" s="859">
        <f>'[9]Oct midyear adj_LA virtual'!$P16</f>
        <v>0</v>
      </c>
      <c r="T14" s="891">
        <f t="shared" si="26"/>
        <v>8090.7999999999993</v>
      </c>
      <c r="U14" s="891">
        <f t="shared" si="27"/>
        <v>674</v>
      </c>
      <c r="V14" s="861">
        <f t="shared" si="28"/>
        <v>28147.131368095346</v>
      </c>
      <c r="W14" s="861">
        <f t="shared" si="29"/>
        <v>2345</v>
      </c>
    </row>
    <row r="15" spans="1:23" s="572" customFormat="1" ht="17.25" customHeight="1">
      <c r="A15" s="103">
        <v>12</v>
      </c>
      <c r="B15" s="834" t="s">
        <v>113</v>
      </c>
      <c r="C15" s="862">
        <f>'Table 8 2.1.12 MFP Funded'!U15</f>
        <v>0</v>
      </c>
      <c r="D15" s="863">
        <f>'Table 3 Levels 1&amp;2'!AL19*90%</f>
        <v>1603.1589795918367</v>
      </c>
      <c r="E15" s="863">
        <f t="shared" si="16"/>
        <v>0</v>
      </c>
      <c r="F15" s="864">
        <f>'Table 4 Level 3'!P17*90%</f>
        <v>956.97899999999993</v>
      </c>
      <c r="G15" s="864">
        <f t="shared" si="17"/>
        <v>0</v>
      </c>
      <c r="H15" s="864">
        <f t="shared" si="18"/>
        <v>0</v>
      </c>
      <c r="I15" s="864">
        <f>(('Table 3 Levels 1&amp;2'!AL19-D15)+('Table 4 Level 3'!P17-F15))*C15</f>
        <v>0</v>
      </c>
      <c r="J15" s="864">
        <f t="shared" si="19"/>
        <v>0</v>
      </c>
      <c r="K15" s="865">
        <f t="shared" si="20"/>
        <v>0</v>
      </c>
      <c r="L15" s="865">
        <f>'[9]Oct midyear adj_LA virtual'!$M17</f>
        <v>0</v>
      </c>
      <c r="M15" s="866">
        <f t="shared" si="21"/>
        <v>0</v>
      </c>
      <c r="N15" s="866">
        <f t="shared" si="22"/>
        <v>0</v>
      </c>
      <c r="O15" s="867">
        <f>'[8]FY2012-13 Initial'!$K19*90%</f>
        <v>11195.1</v>
      </c>
      <c r="P15" s="868">
        <f t="shared" si="23"/>
        <v>0</v>
      </c>
      <c r="Q15" s="868">
        <f t="shared" si="24"/>
        <v>0</v>
      </c>
      <c r="R15" s="868">
        <f t="shared" si="25"/>
        <v>0</v>
      </c>
      <c r="S15" s="867">
        <f>'[9]Oct midyear adj_LA virtual'!$P17</f>
        <v>0</v>
      </c>
      <c r="T15" s="892">
        <f t="shared" si="26"/>
        <v>0</v>
      </c>
      <c r="U15" s="892">
        <f t="shared" si="27"/>
        <v>0</v>
      </c>
      <c r="V15" s="869">
        <f t="shared" si="28"/>
        <v>0</v>
      </c>
      <c r="W15" s="869">
        <f t="shared" si="29"/>
        <v>0</v>
      </c>
    </row>
    <row r="16" spans="1:23" s="572" customFormat="1" ht="17.25" customHeight="1">
      <c r="A16" s="103">
        <v>13</v>
      </c>
      <c r="B16" s="834" t="s">
        <v>114</v>
      </c>
      <c r="C16" s="862">
        <f>'Table 8 2.1.12 MFP Funded'!U16</f>
        <v>6</v>
      </c>
      <c r="D16" s="863">
        <f>'Table 3 Levels 1&amp;2'!AL20*90%</f>
        <v>5512.9798713329819</v>
      </c>
      <c r="E16" s="863">
        <f t="shared" si="16"/>
        <v>33077.879227997895</v>
      </c>
      <c r="F16" s="864">
        <f>'Table 4 Level 3'!P18*90%</f>
        <v>674.48700000000008</v>
      </c>
      <c r="G16" s="864">
        <f t="shared" si="17"/>
        <v>4046.9220000000005</v>
      </c>
      <c r="H16" s="864">
        <f t="shared" si="18"/>
        <v>37124.801227997894</v>
      </c>
      <c r="I16" s="864">
        <f>(('Table 3 Levels 1&amp;2'!AL20-D16)+('Table 4 Level 3'!P18-F16))*C16</f>
        <v>4124.9779142219868</v>
      </c>
      <c r="J16" s="864">
        <f t="shared" si="19"/>
        <v>-93</v>
      </c>
      <c r="K16" s="865">
        <f t="shared" si="20"/>
        <v>37031.801227997894</v>
      </c>
      <c r="L16" s="865">
        <f>'[9]Oct midyear adj_LA virtual'!$M18</f>
        <v>0</v>
      </c>
      <c r="M16" s="866">
        <f t="shared" si="21"/>
        <v>37031.801227997894</v>
      </c>
      <c r="N16" s="866">
        <f t="shared" si="22"/>
        <v>3086</v>
      </c>
      <c r="O16" s="867">
        <f>'[8]FY2012-13 Initial'!$K20*90%</f>
        <v>2266.2000000000003</v>
      </c>
      <c r="P16" s="868">
        <f t="shared" si="23"/>
        <v>13597.2</v>
      </c>
      <c r="Q16" s="868">
        <f t="shared" si="24"/>
        <v>-34</v>
      </c>
      <c r="R16" s="868">
        <f t="shared" si="25"/>
        <v>13563.2</v>
      </c>
      <c r="S16" s="867">
        <f>'[9]Oct midyear adj_LA virtual'!$P18</f>
        <v>0</v>
      </c>
      <c r="T16" s="892">
        <f t="shared" si="26"/>
        <v>13563.2</v>
      </c>
      <c r="U16" s="892">
        <f t="shared" si="27"/>
        <v>1130</v>
      </c>
      <c r="V16" s="869">
        <f t="shared" si="28"/>
        <v>50595.001227997898</v>
      </c>
      <c r="W16" s="869">
        <f t="shared" si="29"/>
        <v>4216</v>
      </c>
    </row>
    <row r="17" spans="1:23" s="572" customFormat="1" ht="17.25" customHeight="1">
      <c r="A17" s="103">
        <v>14</v>
      </c>
      <c r="B17" s="834" t="s">
        <v>115</v>
      </c>
      <c r="C17" s="862">
        <f>'Table 8 2.1.12 MFP Funded'!U17</f>
        <v>3</v>
      </c>
      <c r="D17" s="863">
        <f>'Table 3 Levels 1&amp;2'!AL21*90%</f>
        <v>4750.2843294079676</v>
      </c>
      <c r="E17" s="863">
        <f t="shared" si="16"/>
        <v>14250.852988223902</v>
      </c>
      <c r="F17" s="864">
        <f>'Table 4 Level 3'!P19*90%</f>
        <v>728.98199999999997</v>
      </c>
      <c r="G17" s="864">
        <f t="shared" si="17"/>
        <v>2186.9459999999999</v>
      </c>
      <c r="H17" s="864">
        <f t="shared" si="18"/>
        <v>16437.798988223902</v>
      </c>
      <c r="I17" s="864">
        <f>(('Table 3 Levels 1&amp;2'!AL21-D17)+('Table 4 Level 3'!P19-F17))*C17</f>
        <v>1826.4221098026537</v>
      </c>
      <c r="J17" s="864">
        <f t="shared" si="19"/>
        <v>-41</v>
      </c>
      <c r="K17" s="865">
        <f t="shared" si="20"/>
        <v>16396.798988223902</v>
      </c>
      <c r="L17" s="865">
        <f>'[9]Oct midyear adj_LA virtual'!$M19</f>
        <v>0</v>
      </c>
      <c r="M17" s="866">
        <f t="shared" si="21"/>
        <v>16396.798988223902</v>
      </c>
      <c r="N17" s="866">
        <f t="shared" si="22"/>
        <v>1366</v>
      </c>
      <c r="O17" s="867">
        <f>'[8]FY2012-13 Initial'!$K21*90%</f>
        <v>3244.5</v>
      </c>
      <c r="P17" s="868">
        <f t="shared" si="23"/>
        <v>9733.5</v>
      </c>
      <c r="Q17" s="868">
        <f t="shared" si="24"/>
        <v>-24</v>
      </c>
      <c r="R17" s="868">
        <f t="shared" si="25"/>
        <v>9709.5</v>
      </c>
      <c r="S17" s="867">
        <f>'[9]Oct midyear adj_LA virtual'!$P19</f>
        <v>0</v>
      </c>
      <c r="T17" s="892">
        <f t="shared" si="26"/>
        <v>9709.5</v>
      </c>
      <c r="U17" s="892">
        <f t="shared" si="27"/>
        <v>809</v>
      </c>
      <c r="V17" s="869">
        <f t="shared" si="28"/>
        <v>26106.298988223902</v>
      </c>
      <c r="W17" s="869">
        <f t="shared" si="29"/>
        <v>2175</v>
      </c>
    </row>
    <row r="18" spans="1:23" s="572" customFormat="1" ht="17.25" customHeight="1">
      <c r="A18" s="104">
        <v>15</v>
      </c>
      <c r="B18" s="835" t="s">
        <v>116</v>
      </c>
      <c r="C18" s="870">
        <f>'Table 8 2.1.12 MFP Funded'!U18</f>
        <v>4</v>
      </c>
      <c r="D18" s="871">
        <f>'Table 3 Levels 1&amp;2'!AL22*90%</f>
        <v>4886.0858422961701</v>
      </c>
      <c r="E18" s="871">
        <f t="shared" si="16"/>
        <v>19544.34336918468</v>
      </c>
      <c r="F18" s="872">
        <f>'Table 4 Level 3'!P20*90%</f>
        <v>498.41999999999996</v>
      </c>
      <c r="G18" s="872">
        <f t="shared" si="17"/>
        <v>1993.6799999999998</v>
      </c>
      <c r="H18" s="872">
        <f t="shared" si="18"/>
        <v>21538.023369184681</v>
      </c>
      <c r="I18" s="872">
        <f>(('Table 3 Levels 1&amp;2'!AL22-D18)+('Table 4 Level 3'!P20-F18))*C18</f>
        <v>2393.1137076871851</v>
      </c>
      <c r="J18" s="872">
        <f t="shared" si="19"/>
        <v>-54</v>
      </c>
      <c r="K18" s="873">
        <f t="shared" si="20"/>
        <v>21484.023369184681</v>
      </c>
      <c r="L18" s="873">
        <f>'[9]Oct midyear adj_LA virtual'!$M20</f>
        <v>0</v>
      </c>
      <c r="M18" s="874">
        <f t="shared" si="21"/>
        <v>21484.023369184681</v>
      </c>
      <c r="N18" s="874">
        <f t="shared" si="22"/>
        <v>1790</v>
      </c>
      <c r="O18" s="875">
        <f>'[8]FY2012-13 Initial'!$K22*90%</f>
        <v>2352.6</v>
      </c>
      <c r="P18" s="876">
        <f t="shared" si="23"/>
        <v>9410.4</v>
      </c>
      <c r="Q18" s="876">
        <f t="shared" si="24"/>
        <v>-24</v>
      </c>
      <c r="R18" s="876">
        <f t="shared" si="25"/>
        <v>9386.4</v>
      </c>
      <c r="S18" s="875">
        <f>'[9]Oct midyear adj_LA virtual'!$P20</f>
        <v>0</v>
      </c>
      <c r="T18" s="893">
        <f t="shared" si="26"/>
        <v>9386.4</v>
      </c>
      <c r="U18" s="893">
        <f t="shared" si="27"/>
        <v>782</v>
      </c>
      <c r="V18" s="877">
        <f t="shared" si="28"/>
        <v>30870.423369184682</v>
      </c>
      <c r="W18" s="877">
        <f t="shared" si="29"/>
        <v>2572</v>
      </c>
    </row>
    <row r="19" spans="1:23" s="572" customFormat="1" ht="17.25" customHeight="1">
      <c r="A19" s="103">
        <v>16</v>
      </c>
      <c r="B19" s="834" t="s">
        <v>117</v>
      </c>
      <c r="C19" s="854">
        <f>'Table 8 2.1.12 MFP Funded'!U19</f>
        <v>13</v>
      </c>
      <c r="D19" s="855">
        <f>'Table 3 Levels 1&amp;2'!AL23*90%</f>
        <v>1351.1223678713181</v>
      </c>
      <c r="E19" s="855">
        <f t="shared" si="16"/>
        <v>17564.590782327137</v>
      </c>
      <c r="F19" s="856">
        <f>'Table 4 Level 3'!P21*90%</f>
        <v>618.05700000000002</v>
      </c>
      <c r="G19" s="856">
        <f t="shared" si="17"/>
        <v>8034.741</v>
      </c>
      <c r="H19" s="856">
        <f t="shared" si="18"/>
        <v>25599.331782327135</v>
      </c>
      <c r="I19" s="856">
        <f>(('Table 3 Levels 1&amp;2'!AL23-D19)+('Table 4 Level 3'!P21-F19))*C19</f>
        <v>2844.3701980363476</v>
      </c>
      <c r="J19" s="856">
        <f t="shared" si="19"/>
        <v>-64</v>
      </c>
      <c r="K19" s="857">
        <f t="shared" si="20"/>
        <v>25535.331782327135</v>
      </c>
      <c r="L19" s="857">
        <f>'[9]Oct midyear adj_LA virtual'!$M21</f>
        <v>0</v>
      </c>
      <c r="M19" s="858">
        <f t="shared" si="21"/>
        <v>25535.331782327135</v>
      </c>
      <c r="N19" s="858">
        <f t="shared" si="22"/>
        <v>2128</v>
      </c>
      <c r="O19" s="859">
        <f>'[8]FY2012-13 Initial'!$K23*90%</f>
        <v>14405.4</v>
      </c>
      <c r="P19" s="860">
        <f t="shared" si="23"/>
        <v>187270.19999999998</v>
      </c>
      <c r="Q19" s="860">
        <f t="shared" si="24"/>
        <v>-468</v>
      </c>
      <c r="R19" s="860">
        <f t="shared" si="25"/>
        <v>186802.19999999998</v>
      </c>
      <c r="S19" s="859">
        <f>'[9]Oct midyear adj_LA virtual'!$P21</f>
        <v>0</v>
      </c>
      <c r="T19" s="891">
        <f t="shared" si="26"/>
        <v>186802.19999999998</v>
      </c>
      <c r="U19" s="891">
        <f t="shared" si="27"/>
        <v>15567</v>
      </c>
      <c r="V19" s="861">
        <f t="shared" si="28"/>
        <v>212337.5317823271</v>
      </c>
      <c r="W19" s="861">
        <f t="shared" si="29"/>
        <v>17695</v>
      </c>
    </row>
    <row r="20" spans="1:23" s="572" customFormat="1" ht="17.25" customHeight="1">
      <c r="A20" s="103">
        <v>17</v>
      </c>
      <c r="B20" s="834" t="s">
        <v>118</v>
      </c>
      <c r="C20" s="862">
        <f>'Table 8 2.1.12 MFP Funded'!U20</f>
        <v>77</v>
      </c>
      <c r="D20" s="863">
        <f>'Table 3 Levels 1&amp;2'!AL24*90%</f>
        <v>3047.914526811363</v>
      </c>
      <c r="E20" s="863">
        <f t="shared" si="16"/>
        <v>234689.41856447494</v>
      </c>
      <c r="F20" s="864">
        <f>'Table 5B2_RSD_LA'!F7*90%</f>
        <v>721.32986175126121</v>
      </c>
      <c r="G20" s="864">
        <f t="shared" si="17"/>
        <v>55542.399354847112</v>
      </c>
      <c r="H20" s="864">
        <f t="shared" si="18"/>
        <v>290231.81791932206</v>
      </c>
      <c r="I20" s="864">
        <f>(('Table 3 Levels 1&amp;2'!AL24-D20)+('Table 4 Level 3'!P22-F20))*C20</f>
        <v>32247.979768813544</v>
      </c>
      <c r="J20" s="864">
        <f t="shared" si="19"/>
        <v>-726</v>
      </c>
      <c r="K20" s="865">
        <f t="shared" si="20"/>
        <v>289505.81791932206</v>
      </c>
      <c r="L20" s="865">
        <f>'[9]Oct midyear adj_LA virtual'!$M22</f>
        <v>0</v>
      </c>
      <c r="M20" s="866">
        <f t="shared" si="21"/>
        <v>289505.81791932206</v>
      </c>
      <c r="N20" s="866">
        <f t="shared" si="22"/>
        <v>24125</v>
      </c>
      <c r="O20" s="867">
        <f>'[8]FY2012-13 Initial'!$K24*90%</f>
        <v>5843.7</v>
      </c>
      <c r="P20" s="868">
        <f t="shared" si="23"/>
        <v>449964.89999999997</v>
      </c>
      <c r="Q20" s="868">
        <f t="shared" si="24"/>
        <v>-1125</v>
      </c>
      <c r="R20" s="868">
        <f t="shared" si="25"/>
        <v>448839.89999999997</v>
      </c>
      <c r="S20" s="867">
        <f>'[9]Oct midyear adj_LA virtual'!$P22</f>
        <v>0</v>
      </c>
      <c r="T20" s="892">
        <f t="shared" si="26"/>
        <v>448839.89999999997</v>
      </c>
      <c r="U20" s="892">
        <f t="shared" si="27"/>
        <v>37403</v>
      </c>
      <c r="V20" s="869">
        <f t="shared" si="28"/>
        <v>738345.71791932196</v>
      </c>
      <c r="W20" s="869">
        <f t="shared" si="29"/>
        <v>61528</v>
      </c>
    </row>
    <row r="21" spans="1:23" s="572" customFormat="1" ht="17.25" customHeight="1">
      <c r="A21" s="103">
        <v>18</v>
      </c>
      <c r="B21" s="834" t="s">
        <v>119</v>
      </c>
      <c r="C21" s="862">
        <f>'Table 8 2.1.12 MFP Funded'!U21</f>
        <v>1</v>
      </c>
      <c r="D21" s="863">
        <f>'Table 3 Levels 1&amp;2'!AL25*90%</f>
        <v>5218.2538256908301</v>
      </c>
      <c r="E21" s="863">
        <f t="shared" si="16"/>
        <v>5218.2538256908301</v>
      </c>
      <c r="F21" s="864">
        <f>'Table 4 Level 3'!P23*90%</f>
        <v>761.3549999999999</v>
      </c>
      <c r="G21" s="864">
        <f t="shared" si="17"/>
        <v>761.3549999999999</v>
      </c>
      <c r="H21" s="864">
        <f t="shared" si="18"/>
        <v>5979.6088256908297</v>
      </c>
      <c r="I21" s="864">
        <f>(('Table 3 Levels 1&amp;2'!AL25-D21)+('Table 4 Level 3'!P23-F21))*C21</f>
        <v>664.40098063231449</v>
      </c>
      <c r="J21" s="864">
        <f t="shared" si="19"/>
        <v>-15</v>
      </c>
      <c r="K21" s="865">
        <f t="shared" si="20"/>
        <v>5964.6088256908297</v>
      </c>
      <c r="L21" s="865">
        <f>'[9]Oct midyear adj_LA virtual'!$M23</f>
        <v>0</v>
      </c>
      <c r="M21" s="866">
        <f t="shared" si="21"/>
        <v>5964.6088256908297</v>
      </c>
      <c r="N21" s="866">
        <f t="shared" si="22"/>
        <v>497</v>
      </c>
      <c r="O21" s="867">
        <f>'[8]FY2012-13 Initial'!$K25*90%</f>
        <v>1879.2</v>
      </c>
      <c r="P21" s="868">
        <f t="shared" si="23"/>
        <v>1879.2</v>
      </c>
      <c r="Q21" s="868">
        <f t="shared" si="24"/>
        <v>-5</v>
      </c>
      <c r="R21" s="868">
        <f t="shared" si="25"/>
        <v>1874.2</v>
      </c>
      <c r="S21" s="867">
        <f>'[9]Oct midyear adj_LA virtual'!$P23</f>
        <v>0</v>
      </c>
      <c r="T21" s="892">
        <f t="shared" si="26"/>
        <v>1874.2</v>
      </c>
      <c r="U21" s="892">
        <f t="shared" si="27"/>
        <v>156</v>
      </c>
      <c r="V21" s="869">
        <f t="shared" si="28"/>
        <v>7838.8088256908295</v>
      </c>
      <c r="W21" s="869">
        <f t="shared" si="29"/>
        <v>653</v>
      </c>
    </row>
    <row r="22" spans="1:23" s="572" customFormat="1" ht="17.25" customHeight="1">
      <c r="A22" s="103">
        <v>19</v>
      </c>
      <c r="B22" s="834" t="s">
        <v>120</v>
      </c>
      <c r="C22" s="862">
        <f>'Table 8 2.1.12 MFP Funded'!U22</f>
        <v>8</v>
      </c>
      <c r="D22" s="863">
        <f>'Table 3 Levels 1&amp;2'!AL26*90%</f>
        <v>4697.1911509085885</v>
      </c>
      <c r="E22" s="863">
        <f t="shared" si="16"/>
        <v>37577.529207268708</v>
      </c>
      <c r="F22" s="864">
        <f>'Table 4 Level 3'!P24*90%</f>
        <v>814.88699999999994</v>
      </c>
      <c r="G22" s="864">
        <f t="shared" si="17"/>
        <v>6519.0959999999995</v>
      </c>
      <c r="H22" s="864">
        <f t="shared" si="18"/>
        <v>44096.625207268706</v>
      </c>
      <c r="I22" s="864">
        <f>(('Table 3 Levels 1&amp;2'!AL26-D22)+('Table 4 Level 3'!P24-F22))*C22</f>
        <v>4899.6250230298565</v>
      </c>
      <c r="J22" s="864">
        <f t="shared" si="19"/>
        <v>-110</v>
      </c>
      <c r="K22" s="865">
        <f t="shared" si="20"/>
        <v>43986.625207268706</v>
      </c>
      <c r="L22" s="865">
        <f>'[9]Oct midyear adj_LA virtual'!$M24</f>
        <v>0</v>
      </c>
      <c r="M22" s="866">
        <f t="shared" si="21"/>
        <v>43986.625207268706</v>
      </c>
      <c r="N22" s="866">
        <f t="shared" si="22"/>
        <v>3666</v>
      </c>
      <c r="O22" s="867">
        <f>'[8]FY2012-13 Initial'!$K26*90%</f>
        <v>2047.5</v>
      </c>
      <c r="P22" s="868">
        <f t="shared" si="23"/>
        <v>16380</v>
      </c>
      <c r="Q22" s="868">
        <f t="shared" si="24"/>
        <v>-41</v>
      </c>
      <c r="R22" s="868">
        <f t="shared" si="25"/>
        <v>16339</v>
      </c>
      <c r="S22" s="867">
        <f>'[9]Oct midyear adj_LA virtual'!$P24</f>
        <v>0</v>
      </c>
      <c r="T22" s="892">
        <f t="shared" si="26"/>
        <v>16339</v>
      </c>
      <c r="U22" s="892">
        <f t="shared" si="27"/>
        <v>1362</v>
      </c>
      <c r="V22" s="869">
        <f t="shared" si="28"/>
        <v>60325.625207268706</v>
      </c>
      <c r="W22" s="869">
        <f t="shared" si="29"/>
        <v>5028</v>
      </c>
    </row>
    <row r="23" spans="1:23" s="572" customFormat="1" ht="17.25" customHeight="1">
      <c r="A23" s="104">
        <v>20</v>
      </c>
      <c r="B23" s="835" t="s">
        <v>121</v>
      </c>
      <c r="C23" s="870">
        <f>'Table 8 2.1.12 MFP Funded'!U23</f>
        <v>8</v>
      </c>
      <c r="D23" s="871">
        <f>'Table 3 Levels 1&amp;2'!AL27*90%</f>
        <v>4897.6019860479119</v>
      </c>
      <c r="E23" s="871">
        <f t="shared" si="16"/>
        <v>39180.815888383295</v>
      </c>
      <c r="F23" s="872">
        <f>'Table 4 Level 3'!P25*90%</f>
        <v>527.553</v>
      </c>
      <c r="G23" s="872">
        <f t="shared" si="17"/>
        <v>4220.424</v>
      </c>
      <c r="H23" s="872">
        <f t="shared" si="18"/>
        <v>43401.239888383294</v>
      </c>
      <c r="I23" s="872">
        <f>(('Table 3 Levels 1&amp;2'!AL27-D23)+('Table 4 Level 3'!P25-F23))*C23</f>
        <v>4822.3599875981436</v>
      </c>
      <c r="J23" s="872">
        <f t="shared" si="19"/>
        <v>-109</v>
      </c>
      <c r="K23" s="873">
        <f t="shared" si="20"/>
        <v>43292.239888383294</v>
      </c>
      <c r="L23" s="873">
        <f>'[9]Oct midyear adj_LA virtual'!$M25</f>
        <v>0</v>
      </c>
      <c r="M23" s="874">
        <f t="shared" si="21"/>
        <v>43292.239888383294</v>
      </c>
      <c r="N23" s="874">
        <f t="shared" si="22"/>
        <v>3608</v>
      </c>
      <c r="O23" s="875">
        <f>'[8]FY2012-13 Initial'!$K27*90%</f>
        <v>2077.2000000000003</v>
      </c>
      <c r="P23" s="876">
        <f t="shared" si="23"/>
        <v>16617.600000000002</v>
      </c>
      <c r="Q23" s="876">
        <f t="shared" si="24"/>
        <v>-42</v>
      </c>
      <c r="R23" s="876">
        <f t="shared" si="25"/>
        <v>16575.600000000002</v>
      </c>
      <c r="S23" s="875">
        <f>'[9]Oct midyear adj_LA virtual'!$P25</f>
        <v>0</v>
      </c>
      <c r="T23" s="893">
        <f t="shared" si="26"/>
        <v>16575.600000000002</v>
      </c>
      <c r="U23" s="893">
        <f t="shared" si="27"/>
        <v>1381</v>
      </c>
      <c r="V23" s="877">
        <f t="shared" si="28"/>
        <v>59867.8398883833</v>
      </c>
      <c r="W23" s="877">
        <f t="shared" si="29"/>
        <v>4989</v>
      </c>
    </row>
    <row r="24" spans="1:23" s="572" customFormat="1" ht="17.25" customHeight="1">
      <c r="A24" s="103">
        <v>21</v>
      </c>
      <c r="B24" s="834" t="s">
        <v>122</v>
      </c>
      <c r="C24" s="854">
        <f>'Table 8 2.1.12 MFP Funded'!U24</f>
        <v>3</v>
      </c>
      <c r="D24" s="855">
        <f>'Table 3 Levels 1&amp;2'!AL28*90%</f>
        <v>5146.9020819823572</v>
      </c>
      <c r="E24" s="855">
        <f t="shared" si="16"/>
        <v>15440.706245947073</v>
      </c>
      <c r="F24" s="856">
        <f>'Table 4 Level 3'!P26*90%</f>
        <v>549.31500000000005</v>
      </c>
      <c r="G24" s="856">
        <f t="shared" si="17"/>
        <v>1647.9450000000002</v>
      </c>
      <c r="H24" s="856">
        <f t="shared" si="18"/>
        <v>17088.651245947072</v>
      </c>
      <c r="I24" s="856">
        <f>(('Table 3 Levels 1&amp;2'!AL28-D24)+('Table 4 Level 3'!P26-F24))*C24</f>
        <v>1898.7390273274509</v>
      </c>
      <c r="J24" s="856">
        <f t="shared" si="19"/>
        <v>-43</v>
      </c>
      <c r="K24" s="857">
        <f t="shared" si="20"/>
        <v>17045.651245947072</v>
      </c>
      <c r="L24" s="857">
        <f>'[9]Oct midyear adj_LA virtual'!$M26</f>
        <v>0</v>
      </c>
      <c r="M24" s="858">
        <f t="shared" si="21"/>
        <v>17045.651245947072</v>
      </c>
      <c r="N24" s="858">
        <f t="shared" si="22"/>
        <v>1420</v>
      </c>
      <c r="O24" s="859">
        <f>'[8]FY2012-13 Initial'!$K28*90%</f>
        <v>2020.5</v>
      </c>
      <c r="P24" s="860">
        <f t="shared" si="23"/>
        <v>6061.5</v>
      </c>
      <c r="Q24" s="860">
        <f t="shared" si="24"/>
        <v>-15</v>
      </c>
      <c r="R24" s="860">
        <f t="shared" si="25"/>
        <v>6046.5</v>
      </c>
      <c r="S24" s="859">
        <f>'[9]Oct midyear adj_LA virtual'!$P26</f>
        <v>0</v>
      </c>
      <c r="T24" s="891">
        <f t="shared" si="26"/>
        <v>6046.5</v>
      </c>
      <c r="U24" s="891">
        <f t="shared" si="27"/>
        <v>504</v>
      </c>
      <c r="V24" s="861">
        <f t="shared" si="28"/>
        <v>23092.151245947072</v>
      </c>
      <c r="W24" s="861">
        <f t="shared" si="29"/>
        <v>1924</v>
      </c>
    </row>
    <row r="25" spans="1:23" s="572" customFormat="1" ht="17.25" customHeight="1">
      <c r="A25" s="103">
        <v>22</v>
      </c>
      <c r="B25" s="834" t="s">
        <v>123</v>
      </c>
      <c r="C25" s="862">
        <f>'Table 8 2.1.12 MFP Funded'!U25</f>
        <v>2</v>
      </c>
      <c r="D25" s="863">
        <f>'Table 3 Levels 1&amp;2'!AL29*90%</f>
        <v>5578.9470031501378</v>
      </c>
      <c r="E25" s="863">
        <f t="shared" si="16"/>
        <v>11157.894006300276</v>
      </c>
      <c r="F25" s="864">
        <f>'Table 4 Level 3'!P27*90%</f>
        <v>446.72400000000005</v>
      </c>
      <c r="G25" s="864">
        <f t="shared" si="17"/>
        <v>893.44800000000009</v>
      </c>
      <c r="H25" s="864">
        <f t="shared" si="18"/>
        <v>12051.342006300276</v>
      </c>
      <c r="I25" s="864">
        <f>(('Table 3 Levels 1&amp;2'!AL29-D25)+('Table 4 Level 3'!P27-F25))*C25</f>
        <v>1339.0380007000304</v>
      </c>
      <c r="J25" s="864">
        <f t="shared" si="19"/>
        <v>-30</v>
      </c>
      <c r="K25" s="865">
        <f t="shared" si="20"/>
        <v>12021.342006300276</v>
      </c>
      <c r="L25" s="865">
        <f>'[9]Oct midyear adj_LA virtual'!$M27</f>
        <v>0</v>
      </c>
      <c r="M25" s="866">
        <f t="shared" si="21"/>
        <v>12021.342006300276</v>
      </c>
      <c r="N25" s="866">
        <f t="shared" si="22"/>
        <v>1002</v>
      </c>
      <c r="O25" s="867">
        <f>'[8]FY2012-13 Initial'!$K29*90%</f>
        <v>1300.5</v>
      </c>
      <c r="P25" s="868">
        <f t="shared" si="23"/>
        <v>2601</v>
      </c>
      <c r="Q25" s="868">
        <f t="shared" si="24"/>
        <v>-7</v>
      </c>
      <c r="R25" s="868">
        <f t="shared" si="25"/>
        <v>2594</v>
      </c>
      <c r="S25" s="867">
        <f>'[9]Oct midyear adj_LA virtual'!$P27</f>
        <v>0</v>
      </c>
      <c r="T25" s="892">
        <f t="shared" si="26"/>
        <v>2594</v>
      </c>
      <c r="U25" s="892">
        <f t="shared" si="27"/>
        <v>216</v>
      </c>
      <c r="V25" s="869">
        <f t="shared" si="28"/>
        <v>14615.342006300276</v>
      </c>
      <c r="W25" s="869">
        <f t="shared" si="29"/>
        <v>1218</v>
      </c>
    </row>
    <row r="26" spans="1:23" s="572" customFormat="1" ht="17.25" customHeight="1">
      <c r="A26" s="103">
        <v>23</v>
      </c>
      <c r="B26" s="834" t="s">
        <v>124</v>
      </c>
      <c r="C26" s="862">
        <f>'Table 8 2.1.12 MFP Funded'!U26</f>
        <v>10</v>
      </c>
      <c r="D26" s="863">
        <f>'Table 3 Levels 1&amp;2'!AL30*90%</f>
        <v>4328.1269368326184</v>
      </c>
      <c r="E26" s="863">
        <f t="shared" si="16"/>
        <v>43281.269368326182</v>
      </c>
      <c r="F26" s="864">
        <f>'Table 4 Level 3'!P28*90%</f>
        <v>619.72200000000009</v>
      </c>
      <c r="G26" s="864">
        <f t="shared" si="17"/>
        <v>6197.2200000000012</v>
      </c>
      <c r="H26" s="864">
        <f t="shared" si="18"/>
        <v>49478.489368326183</v>
      </c>
      <c r="I26" s="864">
        <f>(('Table 3 Levels 1&amp;2'!AL30-D26)+('Table 4 Level 3'!P28-F26))*C26</f>
        <v>5497.6099298140143</v>
      </c>
      <c r="J26" s="864">
        <f t="shared" si="19"/>
        <v>-124</v>
      </c>
      <c r="K26" s="865">
        <f t="shared" si="20"/>
        <v>49354.489368326183</v>
      </c>
      <c r="L26" s="865">
        <f>'[9]Oct midyear adj_LA virtual'!$M28</f>
        <v>0</v>
      </c>
      <c r="M26" s="866">
        <f t="shared" si="21"/>
        <v>49354.489368326183</v>
      </c>
      <c r="N26" s="866">
        <f t="shared" si="22"/>
        <v>4113</v>
      </c>
      <c r="O26" s="867">
        <f>'[8]FY2012-13 Initial'!$K30*90%</f>
        <v>2965.5</v>
      </c>
      <c r="P26" s="868">
        <f t="shared" si="23"/>
        <v>29655</v>
      </c>
      <c r="Q26" s="868">
        <f t="shared" si="24"/>
        <v>-74</v>
      </c>
      <c r="R26" s="868">
        <f t="shared" si="25"/>
        <v>29581</v>
      </c>
      <c r="S26" s="867">
        <f>'[9]Oct midyear adj_LA virtual'!$P28</f>
        <v>0</v>
      </c>
      <c r="T26" s="892">
        <f t="shared" si="26"/>
        <v>29581</v>
      </c>
      <c r="U26" s="892">
        <f t="shared" si="27"/>
        <v>2465</v>
      </c>
      <c r="V26" s="869">
        <f t="shared" si="28"/>
        <v>78935.489368326176</v>
      </c>
      <c r="W26" s="869">
        <f t="shared" si="29"/>
        <v>6578</v>
      </c>
    </row>
    <row r="27" spans="1:23" s="572" customFormat="1" ht="17.25" customHeight="1">
      <c r="A27" s="103">
        <v>24</v>
      </c>
      <c r="B27" s="834" t="s">
        <v>125</v>
      </c>
      <c r="C27" s="862">
        <f>'Table 8 2.1.12 MFP Funded'!U27</f>
        <v>9</v>
      </c>
      <c r="D27" s="863">
        <f>'Table 3 Levels 1&amp;2'!AL31*90%</f>
        <v>2384.8008707300737</v>
      </c>
      <c r="E27" s="863">
        <f t="shared" si="16"/>
        <v>21463.207836570662</v>
      </c>
      <c r="F27" s="864">
        <f>'Table 4 Level 3'!P29*90%</f>
        <v>768.82499999999993</v>
      </c>
      <c r="G27" s="864">
        <f t="shared" si="17"/>
        <v>6919.4249999999993</v>
      </c>
      <c r="H27" s="864">
        <f t="shared" si="18"/>
        <v>28382.632836570661</v>
      </c>
      <c r="I27" s="864">
        <f>(('Table 3 Levels 1&amp;2'!AL31-D27)+('Table 4 Level 3'!P29-F27))*C27</f>
        <v>3153.6258707300713</v>
      </c>
      <c r="J27" s="864">
        <f t="shared" si="19"/>
        <v>-71</v>
      </c>
      <c r="K27" s="865">
        <f t="shared" si="20"/>
        <v>28311.632836570661</v>
      </c>
      <c r="L27" s="865">
        <f>'[9]Oct midyear adj_LA virtual'!$M29</f>
        <v>0</v>
      </c>
      <c r="M27" s="866">
        <f t="shared" si="21"/>
        <v>28311.632836570661</v>
      </c>
      <c r="N27" s="866">
        <f t="shared" si="22"/>
        <v>2359</v>
      </c>
      <c r="O27" s="867">
        <f>'[8]FY2012-13 Initial'!$K31*90%</f>
        <v>7892.1</v>
      </c>
      <c r="P27" s="868">
        <f t="shared" si="23"/>
        <v>71028.900000000009</v>
      </c>
      <c r="Q27" s="868">
        <f t="shared" si="24"/>
        <v>-178</v>
      </c>
      <c r="R27" s="868">
        <f t="shared" si="25"/>
        <v>70850.900000000009</v>
      </c>
      <c r="S27" s="867">
        <f>'[9]Oct midyear adj_LA virtual'!$P29</f>
        <v>0</v>
      </c>
      <c r="T27" s="892">
        <f t="shared" si="26"/>
        <v>70850.900000000009</v>
      </c>
      <c r="U27" s="892">
        <f t="shared" si="27"/>
        <v>5904</v>
      </c>
      <c r="V27" s="869">
        <f t="shared" si="28"/>
        <v>99162.532836570666</v>
      </c>
      <c r="W27" s="869">
        <f t="shared" si="29"/>
        <v>8263</v>
      </c>
    </row>
    <row r="28" spans="1:23" s="572" customFormat="1" ht="17.25" customHeight="1">
      <c r="A28" s="104">
        <v>25</v>
      </c>
      <c r="B28" s="835" t="s">
        <v>126</v>
      </c>
      <c r="C28" s="870">
        <f>'Table 8 2.1.12 MFP Funded'!U28</f>
        <v>2</v>
      </c>
      <c r="D28" s="871">
        <f>'Table 3 Levels 1&amp;2'!AL32*90%</f>
        <v>3463.5531307107826</v>
      </c>
      <c r="E28" s="871">
        <f t="shared" si="16"/>
        <v>6927.1062614215653</v>
      </c>
      <c r="F28" s="872">
        <f>'Table 4 Level 3'!P30*90%</f>
        <v>588.35700000000008</v>
      </c>
      <c r="G28" s="872">
        <f t="shared" si="17"/>
        <v>1176.7140000000002</v>
      </c>
      <c r="H28" s="872">
        <f t="shared" si="18"/>
        <v>8103.8202614215652</v>
      </c>
      <c r="I28" s="872">
        <f>(('Table 3 Levels 1&amp;2'!AL32-D28)+('Table 4 Level 3'!P30-F28))*C28</f>
        <v>900.42447349128429</v>
      </c>
      <c r="J28" s="872">
        <f t="shared" si="19"/>
        <v>-20</v>
      </c>
      <c r="K28" s="873">
        <f t="shared" si="20"/>
        <v>8083.8202614215652</v>
      </c>
      <c r="L28" s="873">
        <f>'[9]Oct midyear adj_LA virtual'!$M30</f>
        <v>0</v>
      </c>
      <c r="M28" s="874">
        <f t="shared" si="21"/>
        <v>8083.8202614215652</v>
      </c>
      <c r="N28" s="874">
        <f t="shared" si="22"/>
        <v>674</v>
      </c>
      <c r="O28" s="875">
        <f>'[8]FY2012-13 Initial'!$K32*90%</f>
        <v>4668.3</v>
      </c>
      <c r="P28" s="876">
        <f t="shared" si="23"/>
        <v>9336.6</v>
      </c>
      <c r="Q28" s="876">
        <f t="shared" si="24"/>
        <v>-23</v>
      </c>
      <c r="R28" s="876">
        <f t="shared" si="25"/>
        <v>9313.6</v>
      </c>
      <c r="S28" s="875">
        <f>'[9]Oct midyear adj_LA virtual'!$P30</f>
        <v>0</v>
      </c>
      <c r="T28" s="893">
        <f t="shared" si="26"/>
        <v>9313.6</v>
      </c>
      <c r="U28" s="893">
        <f t="shared" si="27"/>
        <v>776</v>
      </c>
      <c r="V28" s="877">
        <f t="shared" si="28"/>
        <v>17397.420261421565</v>
      </c>
      <c r="W28" s="877">
        <f t="shared" si="29"/>
        <v>1450</v>
      </c>
    </row>
    <row r="29" spans="1:23" s="572" customFormat="1" ht="17.25" customHeight="1">
      <c r="A29" s="103">
        <v>26</v>
      </c>
      <c r="B29" s="834" t="s">
        <v>127</v>
      </c>
      <c r="C29" s="854">
        <f>'Table 8 2.1.12 MFP Funded'!U29</f>
        <v>102</v>
      </c>
      <c r="D29" s="855">
        <f>'Table 3 Levels 1&amp;2'!AL33*90%</f>
        <v>2831.3272874551594</v>
      </c>
      <c r="E29" s="855">
        <f t="shared" si="16"/>
        <v>288795.38332042628</v>
      </c>
      <c r="F29" s="856">
        <f>'Table 4 Level 3'!P31*90%</f>
        <v>753.14700000000005</v>
      </c>
      <c r="G29" s="856">
        <f t="shared" si="17"/>
        <v>76820.994000000006</v>
      </c>
      <c r="H29" s="856">
        <f t="shared" si="18"/>
        <v>365616.37732042628</v>
      </c>
      <c r="I29" s="856">
        <f>(('Table 3 Levels 1&amp;2'!AL33-D29)+('Table 4 Level 3'!P31-F29))*C29</f>
        <v>40624.041924491779</v>
      </c>
      <c r="J29" s="856">
        <f t="shared" si="19"/>
        <v>-914</v>
      </c>
      <c r="K29" s="857">
        <f t="shared" si="20"/>
        <v>364702.37732042628</v>
      </c>
      <c r="L29" s="857">
        <f>'[9]Oct midyear adj_LA virtual'!$M31</f>
        <v>0</v>
      </c>
      <c r="M29" s="858">
        <f t="shared" si="21"/>
        <v>364702.37732042628</v>
      </c>
      <c r="N29" s="858">
        <f t="shared" si="22"/>
        <v>30392</v>
      </c>
      <c r="O29" s="859">
        <f>'[8]FY2012-13 Initial'!$K33*90%</f>
        <v>4677.3</v>
      </c>
      <c r="P29" s="860">
        <f t="shared" si="23"/>
        <v>477084.60000000003</v>
      </c>
      <c r="Q29" s="860">
        <f t="shared" si="24"/>
        <v>-1193</v>
      </c>
      <c r="R29" s="860">
        <f t="shared" si="25"/>
        <v>475891.60000000003</v>
      </c>
      <c r="S29" s="859">
        <f>'[9]Oct midyear adj_LA virtual'!$P31</f>
        <v>0</v>
      </c>
      <c r="T29" s="891">
        <f t="shared" si="26"/>
        <v>475891.60000000003</v>
      </c>
      <c r="U29" s="891">
        <f t="shared" si="27"/>
        <v>39658</v>
      </c>
      <c r="V29" s="861">
        <f t="shared" si="28"/>
        <v>840593.97732042638</v>
      </c>
      <c r="W29" s="861">
        <f t="shared" si="29"/>
        <v>70050</v>
      </c>
    </row>
    <row r="30" spans="1:23" s="572" customFormat="1" ht="17.25" customHeight="1">
      <c r="A30" s="103">
        <v>27</v>
      </c>
      <c r="B30" s="834" t="s">
        <v>128</v>
      </c>
      <c r="C30" s="862">
        <f>'Table 8 2.1.12 MFP Funded'!U30</f>
        <v>8</v>
      </c>
      <c r="D30" s="863">
        <f>'Table 3 Levels 1&amp;2'!AL34*90%</f>
        <v>5088.1952680133945</v>
      </c>
      <c r="E30" s="863">
        <f t="shared" si="16"/>
        <v>40705.562144107156</v>
      </c>
      <c r="F30" s="864">
        <f>'Table 4 Level 3'!P32*90%</f>
        <v>623.75400000000002</v>
      </c>
      <c r="G30" s="864">
        <f t="shared" si="17"/>
        <v>4990.0320000000002</v>
      </c>
      <c r="H30" s="864">
        <f t="shared" si="18"/>
        <v>45695.594144107155</v>
      </c>
      <c r="I30" s="864">
        <f>(('Table 3 Levels 1&amp;2'!AL34-D30)+('Table 4 Level 3'!P32-F30))*C30</f>
        <v>5077.2882382341295</v>
      </c>
      <c r="J30" s="864">
        <f t="shared" si="19"/>
        <v>-114</v>
      </c>
      <c r="K30" s="865">
        <f t="shared" si="20"/>
        <v>45581.594144107155</v>
      </c>
      <c r="L30" s="865">
        <f>'[9]Oct midyear adj_LA virtual'!$M32</f>
        <v>0</v>
      </c>
      <c r="M30" s="866">
        <f t="shared" si="21"/>
        <v>45581.594144107155</v>
      </c>
      <c r="N30" s="866">
        <f t="shared" si="22"/>
        <v>3798</v>
      </c>
      <c r="O30" s="867">
        <f>'[8]FY2012-13 Initial'!$K34*90%</f>
        <v>2765.7000000000003</v>
      </c>
      <c r="P30" s="868">
        <f t="shared" si="23"/>
        <v>22125.600000000002</v>
      </c>
      <c r="Q30" s="868">
        <f t="shared" si="24"/>
        <v>-55</v>
      </c>
      <c r="R30" s="868">
        <f t="shared" si="25"/>
        <v>22070.600000000002</v>
      </c>
      <c r="S30" s="867">
        <f>'[9]Oct midyear adj_LA virtual'!$P32</f>
        <v>0</v>
      </c>
      <c r="T30" s="892">
        <f t="shared" si="26"/>
        <v>22070.600000000002</v>
      </c>
      <c r="U30" s="892">
        <f t="shared" si="27"/>
        <v>1839</v>
      </c>
      <c r="V30" s="869">
        <f t="shared" si="28"/>
        <v>67652.194144107154</v>
      </c>
      <c r="W30" s="869">
        <f t="shared" si="29"/>
        <v>5637</v>
      </c>
    </row>
    <row r="31" spans="1:23" s="572" customFormat="1" ht="17.25" customHeight="1">
      <c r="A31" s="103">
        <v>28</v>
      </c>
      <c r="B31" s="834" t="s">
        <v>129</v>
      </c>
      <c r="C31" s="862">
        <f>'Table 8 2.1.12 MFP Funded'!U31</f>
        <v>53</v>
      </c>
      <c r="D31" s="863">
        <f>'Table 3 Levels 1&amp;2'!AL35*90%</f>
        <v>2880.4820854652112</v>
      </c>
      <c r="E31" s="863">
        <f t="shared" si="16"/>
        <v>152665.5505296562</v>
      </c>
      <c r="F31" s="864">
        <f>'Table 4 Level 3'!P33*90%</f>
        <v>624.96</v>
      </c>
      <c r="G31" s="864">
        <f t="shared" si="17"/>
        <v>33122.880000000005</v>
      </c>
      <c r="H31" s="864">
        <f t="shared" si="18"/>
        <v>185788.43052965621</v>
      </c>
      <c r="I31" s="864">
        <f>(('Table 3 Levels 1&amp;2'!AL35-D31)+('Table 4 Level 3'!P33-F31))*C31</f>
        <v>20643.158947739565</v>
      </c>
      <c r="J31" s="864">
        <f t="shared" si="19"/>
        <v>-464</v>
      </c>
      <c r="K31" s="865">
        <f t="shared" si="20"/>
        <v>185324.43052965621</v>
      </c>
      <c r="L31" s="865">
        <f>'[9]Oct midyear adj_LA virtual'!$M33</f>
        <v>-3655.5709760091704</v>
      </c>
      <c r="M31" s="866">
        <f t="shared" si="21"/>
        <v>181668.85955364705</v>
      </c>
      <c r="N31" s="866">
        <f t="shared" si="22"/>
        <v>15139</v>
      </c>
      <c r="O31" s="867">
        <f>'[8]FY2012-13 Initial'!$K35*90%</f>
        <v>4573.8</v>
      </c>
      <c r="P31" s="868">
        <f t="shared" si="23"/>
        <v>242411.40000000002</v>
      </c>
      <c r="Q31" s="868">
        <f t="shared" si="24"/>
        <v>-606</v>
      </c>
      <c r="R31" s="868">
        <f t="shared" si="25"/>
        <v>241805.40000000002</v>
      </c>
      <c r="S31" s="867">
        <f>'[9]Oct midyear adj_LA virtual'!$P33</f>
        <v>-4530.6000000000004</v>
      </c>
      <c r="T31" s="892">
        <f t="shared" si="26"/>
        <v>237274.80000000002</v>
      </c>
      <c r="U31" s="892">
        <f t="shared" si="27"/>
        <v>19773</v>
      </c>
      <c r="V31" s="869">
        <f t="shared" si="28"/>
        <v>418943.65955364704</v>
      </c>
      <c r="W31" s="869">
        <f t="shared" si="29"/>
        <v>34912</v>
      </c>
    </row>
    <row r="32" spans="1:23" s="572" customFormat="1" ht="17.25" customHeight="1">
      <c r="A32" s="103">
        <v>29</v>
      </c>
      <c r="B32" s="834" t="s">
        <v>130</v>
      </c>
      <c r="C32" s="862">
        <f>'Table 8 2.1.12 MFP Funded'!U32</f>
        <v>18</v>
      </c>
      <c r="D32" s="863">
        <f>'Table 3 Levels 1&amp;2'!AL36*90%</f>
        <v>3550.5359590838511</v>
      </c>
      <c r="E32" s="863">
        <f t="shared" si="16"/>
        <v>63909.647263509323</v>
      </c>
      <c r="F32" s="864">
        <f>'Table 4 Level 3'!P34*90%</f>
        <v>679.45499999999993</v>
      </c>
      <c r="G32" s="864">
        <f t="shared" si="17"/>
        <v>12230.189999999999</v>
      </c>
      <c r="H32" s="864">
        <f t="shared" si="18"/>
        <v>76139.837263509326</v>
      </c>
      <c r="I32" s="864">
        <f>(('Table 3 Levels 1&amp;2'!AL36-D32)+('Table 4 Level 3'!P34-F32))*C32</f>
        <v>8459.9819181676994</v>
      </c>
      <c r="J32" s="864">
        <f t="shared" si="19"/>
        <v>-190</v>
      </c>
      <c r="K32" s="865">
        <f t="shared" si="20"/>
        <v>75949.837263509326</v>
      </c>
      <c r="L32" s="865">
        <f>'[9]Oct midyear adj_LA virtual'!$M34</f>
        <v>0</v>
      </c>
      <c r="M32" s="866">
        <f t="shared" si="21"/>
        <v>75949.837263509326</v>
      </c>
      <c r="N32" s="866">
        <f t="shared" si="22"/>
        <v>6329</v>
      </c>
      <c r="O32" s="867">
        <f>'[8]FY2012-13 Initial'!$K36*90%</f>
        <v>3865.5</v>
      </c>
      <c r="P32" s="868">
        <f t="shared" si="23"/>
        <v>69579</v>
      </c>
      <c r="Q32" s="868">
        <f t="shared" si="24"/>
        <v>-174</v>
      </c>
      <c r="R32" s="868">
        <f t="shared" si="25"/>
        <v>69405</v>
      </c>
      <c r="S32" s="867">
        <f>'[9]Oct midyear adj_LA virtual'!$P34</f>
        <v>0</v>
      </c>
      <c r="T32" s="892">
        <f t="shared" si="26"/>
        <v>69405</v>
      </c>
      <c r="U32" s="892">
        <f t="shared" si="27"/>
        <v>5784</v>
      </c>
      <c r="V32" s="869">
        <f t="shared" si="28"/>
        <v>145354.83726350934</v>
      </c>
      <c r="W32" s="869">
        <f t="shared" si="29"/>
        <v>12113</v>
      </c>
    </row>
    <row r="33" spans="1:23" s="572" customFormat="1" ht="17.25" customHeight="1">
      <c r="A33" s="104">
        <v>30</v>
      </c>
      <c r="B33" s="835" t="s">
        <v>131</v>
      </c>
      <c r="C33" s="870">
        <f>'Table 8 2.1.12 MFP Funded'!U33</f>
        <v>1</v>
      </c>
      <c r="D33" s="871">
        <f>'Table 3 Levels 1&amp;2'!AL37*90%</f>
        <v>5035.4025000863057</v>
      </c>
      <c r="E33" s="871">
        <f t="shared" si="16"/>
        <v>5035.4025000863057</v>
      </c>
      <c r="F33" s="872">
        <f>'Table 4 Level 3'!P35*90%</f>
        <v>654.45299999999997</v>
      </c>
      <c r="G33" s="872">
        <f t="shared" si="17"/>
        <v>654.45299999999997</v>
      </c>
      <c r="H33" s="872">
        <f t="shared" si="18"/>
        <v>5689.8555000863053</v>
      </c>
      <c r="I33" s="872">
        <f>(('Table 3 Levels 1&amp;2'!AL37-D33)+('Table 4 Level 3'!P35-F33))*C33</f>
        <v>632.20616667625598</v>
      </c>
      <c r="J33" s="872">
        <f t="shared" si="19"/>
        <v>-14</v>
      </c>
      <c r="K33" s="873">
        <f t="shared" si="20"/>
        <v>5675.8555000863053</v>
      </c>
      <c r="L33" s="873">
        <f>'[9]Oct midyear adj_LA virtual'!$M35</f>
        <v>0</v>
      </c>
      <c r="M33" s="874">
        <f t="shared" si="21"/>
        <v>5675.8555000863053</v>
      </c>
      <c r="N33" s="874">
        <f t="shared" si="22"/>
        <v>473</v>
      </c>
      <c r="O33" s="875">
        <f>'[8]FY2012-13 Initial'!$K37*90%</f>
        <v>3197.7000000000003</v>
      </c>
      <c r="P33" s="876">
        <f t="shared" si="23"/>
        <v>3197.7000000000003</v>
      </c>
      <c r="Q33" s="876">
        <f t="shared" si="24"/>
        <v>-8</v>
      </c>
      <c r="R33" s="876">
        <f t="shared" si="25"/>
        <v>3189.7000000000003</v>
      </c>
      <c r="S33" s="875">
        <f>'[9]Oct midyear adj_LA virtual'!$P35</f>
        <v>0</v>
      </c>
      <c r="T33" s="893">
        <f t="shared" si="26"/>
        <v>3189.7000000000003</v>
      </c>
      <c r="U33" s="893">
        <f t="shared" si="27"/>
        <v>266</v>
      </c>
      <c r="V33" s="877">
        <f t="shared" si="28"/>
        <v>8865.555500086306</v>
      </c>
      <c r="W33" s="877">
        <f t="shared" si="29"/>
        <v>739</v>
      </c>
    </row>
    <row r="34" spans="1:23" s="572" customFormat="1" ht="17.25" customHeight="1">
      <c r="A34" s="103">
        <v>31</v>
      </c>
      <c r="B34" s="834" t="s">
        <v>132</v>
      </c>
      <c r="C34" s="854">
        <f>'Table 8 2.1.12 MFP Funded'!U34</f>
        <v>2</v>
      </c>
      <c r="D34" s="855">
        <f>'Table 3 Levels 1&amp;2'!AL38*90%</f>
        <v>3743.6262125792077</v>
      </c>
      <c r="E34" s="855">
        <f t="shared" si="16"/>
        <v>7487.2524251584155</v>
      </c>
      <c r="F34" s="856">
        <f>'Table 4 Level 3'!P36*90%</f>
        <v>558.74700000000007</v>
      </c>
      <c r="G34" s="856">
        <f t="shared" si="17"/>
        <v>1117.4940000000001</v>
      </c>
      <c r="H34" s="856">
        <f t="shared" si="18"/>
        <v>8604.7464251584151</v>
      </c>
      <c r="I34" s="856">
        <f>(('Table 3 Levels 1&amp;2'!AL38-D34)+('Table 4 Level 3'!P36-F34))*C34</f>
        <v>956.08293612871216</v>
      </c>
      <c r="J34" s="856">
        <f t="shared" si="19"/>
        <v>-22</v>
      </c>
      <c r="K34" s="857">
        <f t="shared" si="20"/>
        <v>8582.7464251584151</v>
      </c>
      <c r="L34" s="857">
        <f>'[9]Oct midyear adj_LA virtual'!$M36</f>
        <v>0</v>
      </c>
      <c r="M34" s="858">
        <f t="shared" si="21"/>
        <v>8582.7464251584151</v>
      </c>
      <c r="N34" s="858">
        <f t="shared" si="22"/>
        <v>715</v>
      </c>
      <c r="O34" s="859">
        <f>'[8]FY2012-13 Initial'!$K38*90%</f>
        <v>4247.1000000000004</v>
      </c>
      <c r="P34" s="860">
        <f t="shared" si="23"/>
        <v>8494.2000000000007</v>
      </c>
      <c r="Q34" s="860">
        <f t="shared" si="24"/>
        <v>-21</v>
      </c>
      <c r="R34" s="860">
        <f t="shared" si="25"/>
        <v>8473.2000000000007</v>
      </c>
      <c r="S34" s="859">
        <f>'[9]Oct midyear adj_LA virtual'!$P36</f>
        <v>0</v>
      </c>
      <c r="T34" s="891">
        <f t="shared" si="26"/>
        <v>8473.2000000000007</v>
      </c>
      <c r="U34" s="891">
        <f t="shared" si="27"/>
        <v>706</v>
      </c>
      <c r="V34" s="861">
        <f t="shared" si="28"/>
        <v>17055.946425158414</v>
      </c>
      <c r="W34" s="861">
        <f t="shared" si="29"/>
        <v>1421</v>
      </c>
    </row>
    <row r="35" spans="1:23" s="572" customFormat="1" ht="17.25" customHeight="1">
      <c r="A35" s="103">
        <v>32</v>
      </c>
      <c r="B35" s="834" t="s">
        <v>133</v>
      </c>
      <c r="C35" s="862">
        <f>'Table 8 2.1.12 MFP Funded'!U35</f>
        <v>35</v>
      </c>
      <c r="D35" s="863">
        <f>'Table 3 Levels 1&amp;2'!AL39*90%</f>
        <v>4927.6292973523741</v>
      </c>
      <c r="E35" s="863">
        <f t="shared" si="16"/>
        <v>172467.0254073331</v>
      </c>
      <c r="F35" s="864">
        <f>'Table 4 Level 3'!P37*90%</f>
        <v>503.79300000000001</v>
      </c>
      <c r="G35" s="864">
        <f t="shared" si="17"/>
        <v>17632.755000000001</v>
      </c>
      <c r="H35" s="864">
        <f t="shared" si="18"/>
        <v>190099.78040733311</v>
      </c>
      <c r="I35" s="864">
        <f>(('Table 3 Levels 1&amp;2'!AL39-D35)+('Table 4 Level 3'!P37-F35))*C35</f>
        <v>21122.197823037</v>
      </c>
      <c r="J35" s="864">
        <f t="shared" si="19"/>
        <v>-475</v>
      </c>
      <c r="K35" s="865">
        <f t="shared" si="20"/>
        <v>189624.78040733311</v>
      </c>
      <c r="L35" s="865">
        <f>'[9]Oct midyear adj_LA virtual'!$M37</f>
        <v>-5381.8986037962932</v>
      </c>
      <c r="M35" s="866">
        <f t="shared" si="21"/>
        <v>184242.88180353682</v>
      </c>
      <c r="N35" s="866">
        <f t="shared" si="22"/>
        <v>15354</v>
      </c>
      <c r="O35" s="867">
        <f>'[8]FY2012-13 Initial'!$K39*90%</f>
        <v>1781.1000000000001</v>
      </c>
      <c r="P35" s="868">
        <f t="shared" si="23"/>
        <v>62338.500000000007</v>
      </c>
      <c r="Q35" s="868">
        <f t="shared" si="24"/>
        <v>-156</v>
      </c>
      <c r="R35" s="868">
        <f t="shared" si="25"/>
        <v>62182.500000000007</v>
      </c>
      <c r="S35" s="867">
        <f>'[9]Oct midyear adj_LA virtual'!$P37</f>
        <v>-1687.5</v>
      </c>
      <c r="T35" s="892">
        <f t="shared" si="26"/>
        <v>60495.000000000007</v>
      </c>
      <c r="U35" s="892">
        <f t="shared" si="27"/>
        <v>5041</v>
      </c>
      <c r="V35" s="869">
        <f t="shared" si="28"/>
        <v>244737.88180353682</v>
      </c>
      <c r="W35" s="869">
        <f t="shared" si="29"/>
        <v>20395</v>
      </c>
    </row>
    <row r="36" spans="1:23" s="572" customFormat="1" ht="17.25" customHeight="1">
      <c r="A36" s="103">
        <v>33</v>
      </c>
      <c r="B36" s="834" t="s">
        <v>134</v>
      </c>
      <c r="C36" s="862">
        <f>'Table 8 2.1.12 MFP Funded'!U36</f>
        <v>3</v>
      </c>
      <c r="D36" s="863">
        <f>'Table 3 Levels 1&amp;2'!AL40*90%</f>
        <v>4857.8110580602306</v>
      </c>
      <c r="E36" s="863">
        <f t="shared" si="16"/>
        <v>14573.433174180693</v>
      </c>
      <c r="F36" s="864">
        <f>'Table 4 Level 3'!P38*90%</f>
        <v>589.77900000000011</v>
      </c>
      <c r="G36" s="864">
        <f t="shared" si="17"/>
        <v>1769.3370000000004</v>
      </c>
      <c r="H36" s="864">
        <f t="shared" si="18"/>
        <v>16342.770174180692</v>
      </c>
      <c r="I36" s="864">
        <f>(('Table 3 Levels 1&amp;2'!AL40-D36)+('Table 4 Level 3'!P38-F36))*C36</f>
        <v>1815.8633526867434</v>
      </c>
      <c r="J36" s="864">
        <f t="shared" si="19"/>
        <v>-41</v>
      </c>
      <c r="K36" s="865">
        <f t="shared" si="20"/>
        <v>16301.770174180692</v>
      </c>
      <c r="L36" s="865">
        <f>'[9]Oct midyear adj_LA virtual'!$M38</f>
        <v>-5740.4614273781681</v>
      </c>
      <c r="M36" s="866">
        <f t="shared" si="21"/>
        <v>10561.308746802524</v>
      </c>
      <c r="N36" s="866">
        <f t="shared" si="22"/>
        <v>880</v>
      </c>
      <c r="O36" s="867">
        <f>'[8]FY2012-13 Initial'!$K40*90%</f>
        <v>2749.5</v>
      </c>
      <c r="P36" s="868">
        <f t="shared" si="23"/>
        <v>8248.5</v>
      </c>
      <c r="Q36" s="868">
        <f t="shared" si="24"/>
        <v>-21</v>
      </c>
      <c r="R36" s="868">
        <f t="shared" si="25"/>
        <v>8227.5</v>
      </c>
      <c r="S36" s="867">
        <f>'[9]Oct midyear adj_LA virtual'!$P38</f>
        <v>-2740.5</v>
      </c>
      <c r="T36" s="892">
        <f t="shared" si="26"/>
        <v>5487</v>
      </c>
      <c r="U36" s="892">
        <f t="shared" si="27"/>
        <v>457</v>
      </c>
      <c r="V36" s="869">
        <f t="shared" si="28"/>
        <v>16048.308746802524</v>
      </c>
      <c r="W36" s="869">
        <f t="shared" si="29"/>
        <v>1337</v>
      </c>
    </row>
    <row r="37" spans="1:23" s="572" customFormat="1" ht="17.25" customHeight="1">
      <c r="A37" s="103">
        <v>34</v>
      </c>
      <c r="B37" s="834" t="s">
        <v>135</v>
      </c>
      <c r="C37" s="862">
        <f>'Table 8 2.1.12 MFP Funded'!U37</f>
        <v>12</v>
      </c>
      <c r="D37" s="863">
        <f>'Table 3 Levels 1&amp;2'!AL41*90%</f>
        <v>5259.5677989261658</v>
      </c>
      <c r="E37" s="863">
        <f t="shared" si="16"/>
        <v>63114.813587113989</v>
      </c>
      <c r="F37" s="864">
        <f>'Table 4 Level 3'!P39*90%</f>
        <v>579.69900000000018</v>
      </c>
      <c r="G37" s="864">
        <f t="shared" si="17"/>
        <v>6956.3880000000026</v>
      </c>
      <c r="H37" s="864">
        <f t="shared" si="18"/>
        <v>70071.201587113988</v>
      </c>
      <c r="I37" s="864">
        <f>(('Table 3 Levels 1&amp;2'!AL41-D37)+('Table 4 Level 3'!P39-F37))*C37</f>
        <v>7785.6890652348866</v>
      </c>
      <c r="J37" s="864">
        <f t="shared" si="19"/>
        <v>-175</v>
      </c>
      <c r="K37" s="865">
        <f t="shared" si="20"/>
        <v>69896.201587113988</v>
      </c>
      <c r="L37" s="865">
        <f>'[9]Oct midyear adj_LA virtual'!$M39</f>
        <v>0</v>
      </c>
      <c r="M37" s="866">
        <f t="shared" si="21"/>
        <v>69896.201587113988</v>
      </c>
      <c r="N37" s="866">
        <f t="shared" si="22"/>
        <v>5825</v>
      </c>
      <c r="O37" s="867">
        <f>'[8]FY2012-13 Initial'!$K41*90%</f>
        <v>2503.8000000000002</v>
      </c>
      <c r="P37" s="868">
        <f t="shared" si="23"/>
        <v>30045.600000000002</v>
      </c>
      <c r="Q37" s="868">
        <f t="shared" si="24"/>
        <v>-75</v>
      </c>
      <c r="R37" s="868">
        <f t="shared" si="25"/>
        <v>29970.600000000002</v>
      </c>
      <c r="S37" s="867">
        <f>'[9]Oct midyear adj_LA virtual'!$P39</f>
        <v>0</v>
      </c>
      <c r="T37" s="892">
        <f t="shared" si="26"/>
        <v>29970.600000000002</v>
      </c>
      <c r="U37" s="892">
        <f t="shared" si="27"/>
        <v>2498</v>
      </c>
      <c r="V37" s="869">
        <f t="shared" si="28"/>
        <v>99866.801587113994</v>
      </c>
      <c r="W37" s="869">
        <f t="shared" si="29"/>
        <v>8323</v>
      </c>
    </row>
    <row r="38" spans="1:23" s="572" customFormat="1" ht="17.25" customHeight="1">
      <c r="A38" s="104">
        <v>35</v>
      </c>
      <c r="B38" s="835" t="s">
        <v>136</v>
      </c>
      <c r="C38" s="870">
        <f>'Table 8 2.1.12 MFP Funded'!U38</f>
        <v>11</v>
      </c>
      <c r="D38" s="871">
        <f>'Table 3 Levels 1&amp;2'!AL42*90%</f>
        <v>4347.8670071392762</v>
      </c>
      <c r="E38" s="871">
        <f t="shared" si="16"/>
        <v>47826.537078532041</v>
      </c>
      <c r="F38" s="872">
        <f>'Table 4 Level 3'!P40*90%</f>
        <v>484.16400000000004</v>
      </c>
      <c r="G38" s="872">
        <f t="shared" si="17"/>
        <v>5325.8040000000001</v>
      </c>
      <c r="H38" s="872">
        <f t="shared" si="18"/>
        <v>53152.341078532045</v>
      </c>
      <c r="I38" s="872">
        <f>(('Table 3 Levels 1&amp;2'!AL42-D38)+('Table 4 Level 3'!P40-F38))*C38</f>
        <v>5905.8156753924468</v>
      </c>
      <c r="J38" s="872">
        <f t="shared" si="19"/>
        <v>-133</v>
      </c>
      <c r="K38" s="873">
        <f t="shared" si="20"/>
        <v>53019.341078532045</v>
      </c>
      <c r="L38" s="873">
        <f>'[9]Oct midyear adj_LA virtual'!$M40</f>
        <v>0</v>
      </c>
      <c r="M38" s="874">
        <f t="shared" si="21"/>
        <v>53019.341078532045</v>
      </c>
      <c r="N38" s="874">
        <f t="shared" si="22"/>
        <v>4418</v>
      </c>
      <c r="O38" s="875">
        <f>'[8]FY2012-13 Initial'!$K42*90%</f>
        <v>2857.5</v>
      </c>
      <c r="P38" s="876">
        <f t="shared" si="23"/>
        <v>31432.5</v>
      </c>
      <c r="Q38" s="876">
        <f t="shared" si="24"/>
        <v>-79</v>
      </c>
      <c r="R38" s="876">
        <f t="shared" si="25"/>
        <v>31353.5</v>
      </c>
      <c r="S38" s="875">
        <f>'[9]Oct midyear adj_LA virtual'!$P40</f>
        <v>0</v>
      </c>
      <c r="T38" s="893">
        <f t="shared" si="26"/>
        <v>31353.5</v>
      </c>
      <c r="U38" s="893">
        <f t="shared" si="27"/>
        <v>2613</v>
      </c>
      <c r="V38" s="877">
        <f t="shared" si="28"/>
        <v>84372.841078532045</v>
      </c>
      <c r="W38" s="877">
        <f t="shared" si="29"/>
        <v>7031</v>
      </c>
    </row>
    <row r="39" spans="1:23" s="572" customFormat="1" ht="17.25" customHeight="1">
      <c r="A39" s="103">
        <v>36</v>
      </c>
      <c r="B39" s="834" t="s">
        <v>137</v>
      </c>
      <c r="C39" s="854">
        <f>'Table 8 2.1.12 MFP Funded'!U39</f>
        <v>76</v>
      </c>
      <c r="D39" s="855">
        <f>'Table 3 Levels 1&amp;2'!AL43*90%</f>
        <v>3144.1153943887466</v>
      </c>
      <c r="E39" s="855">
        <f t="shared" si="16"/>
        <v>238952.76997354475</v>
      </c>
      <c r="F39" s="856">
        <f>'Table 5B1_RSD_Orleans'!F78*90%</f>
        <v>671.43020547945218</v>
      </c>
      <c r="G39" s="856">
        <f t="shared" si="17"/>
        <v>51028.695616438366</v>
      </c>
      <c r="H39" s="856">
        <f t="shared" si="18"/>
        <v>289981.4655899831</v>
      </c>
      <c r="I39" s="856">
        <f>('Table 3 Levels 1&amp;2'!AL43-'Table 5C2 - LA Virtual Admy'!D39+'Table 5B1_RSD_Orleans'!F78-F39)*'Table 5C2 - LA Virtual Admy'!C39</f>
        <v>32220.162843331429</v>
      </c>
      <c r="J39" s="856">
        <f t="shared" si="19"/>
        <v>-725</v>
      </c>
      <c r="K39" s="857">
        <f t="shared" si="20"/>
        <v>289256.4655899831</v>
      </c>
      <c r="L39" s="857">
        <f>'[9]Oct midyear adj_LA virtual'!$M41</f>
        <v>-3598.2545918539108</v>
      </c>
      <c r="M39" s="858">
        <f t="shared" si="21"/>
        <v>285658.21099812922</v>
      </c>
      <c r="N39" s="858">
        <f t="shared" si="22"/>
        <v>23805</v>
      </c>
      <c r="O39" s="859">
        <f>'[8]FY2012-13 Initial'!$K43*90%</f>
        <v>4306.5</v>
      </c>
      <c r="P39" s="860">
        <f t="shared" si="23"/>
        <v>327294</v>
      </c>
      <c r="Q39" s="860">
        <f t="shared" si="24"/>
        <v>-818</v>
      </c>
      <c r="R39" s="860">
        <f t="shared" si="25"/>
        <v>326476</v>
      </c>
      <c r="S39" s="859">
        <f>'[9]Oct midyear adj_LA virtual'!$P41</f>
        <v>-4365.9000000000005</v>
      </c>
      <c r="T39" s="891">
        <f t="shared" si="26"/>
        <v>322110.09999999998</v>
      </c>
      <c r="U39" s="891">
        <f t="shared" si="27"/>
        <v>26843</v>
      </c>
      <c r="V39" s="861">
        <f t="shared" si="28"/>
        <v>607768.31099812919</v>
      </c>
      <c r="W39" s="861">
        <f t="shared" si="29"/>
        <v>50648</v>
      </c>
    </row>
    <row r="40" spans="1:23" s="572" customFormat="1" ht="17.25" customHeight="1">
      <c r="A40" s="103">
        <v>37</v>
      </c>
      <c r="B40" s="834" t="s">
        <v>138</v>
      </c>
      <c r="C40" s="862">
        <f>'Table 8 2.1.12 MFP Funded'!U40</f>
        <v>23</v>
      </c>
      <c r="D40" s="863">
        <f>'Table 3 Levels 1&amp;2'!AL44*90%</f>
        <v>4935.8723484670099</v>
      </c>
      <c r="E40" s="863">
        <f t="shared" si="16"/>
        <v>113525.06401474123</v>
      </c>
      <c r="F40" s="864">
        <f>'Table 4 Level 3'!P42*90%</f>
        <v>588.24900000000002</v>
      </c>
      <c r="G40" s="864">
        <f t="shared" si="17"/>
        <v>13529.727000000001</v>
      </c>
      <c r="H40" s="864">
        <f t="shared" si="18"/>
        <v>127054.79101474123</v>
      </c>
      <c r="I40" s="864">
        <f>(('Table 3 Levels 1&amp;2'!AL44-D40)+('Table 4 Level 3'!P42-F40))*C40</f>
        <v>14117.19900163791</v>
      </c>
      <c r="J40" s="864">
        <f t="shared" si="19"/>
        <v>-318</v>
      </c>
      <c r="K40" s="865">
        <f t="shared" si="20"/>
        <v>126736.79101474123</v>
      </c>
      <c r="L40" s="865">
        <f>'[9]Oct midyear adj_LA virtual'!$M42</f>
        <v>0</v>
      </c>
      <c r="M40" s="866">
        <f t="shared" si="21"/>
        <v>126736.79101474123</v>
      </c>
      <c r="N40" s="866">
        <f t="shared" si="22"/>
        <v>10561</v>
      </c>
      <c r="O40" s="867">
        <f>'[8]FY2012-13 Initial'!$K44*90%</f>
        <v>2800.8</v>
      </c>
      <c r="P40" s="868">
        <f t="shared" si="23"/>
        <v>64418.400000000001</v>
      </c>
      <c r="Q40" s="868">
        <f t="shared" si="24"/>
        <v>-161</v>
      </c>
      <c r="R40" s="868">
        <f t="shared" si="25"/>
        <v>64257.4</v>
      </c>
      <c r="S40" s="867">
        <f>'[9]Oct midyear adj_LA virtual'!$P42</f>
        <v>0</v>
      </c>
      <c r="T40" s="892">
        <f t="shared" si="26"/>
        <v>64257.4</v>
      </c>
      <c r="U40" s="892">
        <f t="shared" si="27"/>
        <v>5355</v>
      </c>
      <c r="V40" s="869">
        <f t="shared" si="28"/>
        <v>190994.19101474123</v>
      </c>
      <c r="W40" s="869">
        <f t="shared" si="29"/>
        <v>15916</v>
      </c>
    </row>
    <row r="41" spans="1:23" s="572" customFormat="1" ht="17.25" customHeight="1">
      <c r="A41" s="103">
        <v>38</v>
      </c>
      <c r="B41" s="834" t="s">
        <v>139</v>
      </c>
      <c r="C41" s="862">
        <f>'Table 8 2.1.12 MFP Funded'!U41</f>
        <v>4</v>
      </c>
      <c r="D41" s="863">
        <f>'Table 3 Levels 1&amp;2'!AL45*90%</f>
        <v>1972.5673828125002</v>
      </c>
      <c r="E41" s="863">
        <f t="shared" si="16"/>
        <v>7890.2695312500009</v>
      </c>
      <c r="F41" s="864">
        <f>'Table 4 Level 3'!P43*90%</f>
        <v>746.92800000000011</v>
      </c>
      <c r="G41" s="864">
        <f t="shared" si="17"/>
        <v>2987.7120000000004</v>
      </c>
      <c r="H41" s="864">
        <f t="shared" si="18"/>
        <v>10877.981531250001</v>
      </c>
      <c r="I41" s="864">
        <f>(('Table 3 Levels 1&amp;2'!AL45-D41)+('Table 4 Level 3'!P43-F41))*C41</f>
        <v>1208.6646145833329</v>
      </c>
      <c r="J41" s="864">
        <f t="shared" si="19"/>
        <v>-27</v>
      </c>
      <c r="K41" s="865">
        <f t="shared" si="20"/>
        <v>10850.981531250001</v>
      </c>
      <c r="L41" s="865">
        <f>'[9]Oct midyear adj_LA virtual'!$M43</f>
        <v>0</v>
      </c>
      <c r="M41" s="866">
        <f t="shared" si="21"/>
        <v>10850.981531250001</v>
      </c>
      <c r="N41" s="866">
        <f t="shared" si="22"/>
        <v>904</v>
      </c>
      <c r="O41" s="867">
        <f>'[8]FY2012-13 Initial'!$K45*90%</f>
        <v>8793.9</v>
      </c>
      <c r="P41" s="868">
        <f t="shared" si="23"/>
        <v>35175.599999999999</v>
      </c>
      <c r="Q41" s="868">
        <f t="shared" si="24"/>
        <v>-88</v>
      </c>
      <c r="R41" s="868">
        <f t="shared" si="25"/>
        <v>35087.599999999999</v>
      </c>
      <c r="S41" s="867">
        <f>'[9]Oct midyear adj_LA virtual'!$P43</f>
        <v>0</v>
      </c>
      <c r="T41" s="892">
        <f t="shared" si="26"/>
        <v>35087.599999999999</v>
      </c>
      <c r="U41" s="892">
        <f t="shared" si="27"/>
        <v>2924</v>
      </c>
      <c r="V41" s="869">
        <f t="shared" si="28"/>
        <v>45938.581531249998</v>
      </c>
      <c r="W41" s="869">
        <f t="shared" si="29"/>
        <v>3828</v>
      </c>
    </row>
    <row r="42" spans="1:23" s="572" customFormat="1" ht="17.25" customHeight="1">
      <c r="A42" s="103">
        <v>39</v>
      </c>
      <c r="B42" s="834" t="s">
        <v>140</v>
      </c>
      <c r="C42" s="862">
        <f>'Table 8 2.1.12 MFP Funded'!U42</f>
        <v>7</v>
      </c>
      <c r="D42" s="863">
        <f>'Table 3 Levels 1&amp;2'!AL46*90%</f>
        <v>3317.5698297226927</v>
      </c>
      <c r="E42" s="863">
        <f t="shared" si="16"/>
        <v>23222.98880805885</v>
      </c>
      <c r="F42" s="864">
        <f>'Table 5B2_RSD_LA'!F21*90%</f>
        <v>701.69015738498797</v>
      </c>
      <c r="G42" s="864">
        <f t="shared" si="17"/>
        <v>4911.8311016949156</v>
      </c>
      <c r="H42" s="864">
        <f t="shared" si="18"/>
        <v>28134.819909753765</v>
      </c>
      <c r="I42" s="864">
        <f>(('Table 3 Levels 1&amp;2'!AL46-D42)+('Table 4 Level 3'!P44-F42))*C42</f>
        <v>3126.0911010837508</v>
      </c>
      <c r="J42" s="864">
        <f t="shared" si="19"/>
        <v>-70</v>
      </c>
      <c r="K42" s="865">
        <f t="shared" si="20"/>
        <v>28064.819909753765</v>
      </c>
      <c r="L42" s="865">
        <f>'[9]Oct midyear adj_LA virtual'!$M44</f>
        <v>0</v>
      </c>
      <c r="M42" s="866">
        <f t="shared" si="21"/>
        <v>28064.819909753765</v>
      </c>
      <c r="N42" s="866">
        <f t="shared" si="22"/>
        <v>2339</v>
      </c>
      <c r="O42" s="867">
        <f>'[8]FY2012-13 Initial'!$K46*90%</f>
        <v>3771</v>
      </c>
      <c r="P42" s="868">
        <f t="shared" si="23"/>
        <v>26397</v>
      </c>
      <c r="Q42" s="868">
        <f t="shared" si="24"/>
        <v>-66</v>
      </c>
      <c r="R42" s="868">
        <f t="shared" si="25"/>
        <v>26331</v>
      </c>
      <c r="S42" s="867">
        <f>'[9]Oct midyear adj_LA virtual'!$P44</f>
        <v>0</v>
      </c>
      <c r="T42" s="892">
        <f t="shared" si="26"/>
        <v>26331</v>
      </c>
      <c r="U42" s="892">
        <f t="shared" si="27"/>
        <v>2194</v>
      </c>
      <c r="V42" s="869">
        <f t="shared" si="28"/>
        <v>54395.819909753765</v>
      </c>
      <c r="W42" s="869">
        <f t="shared" si="29"/>
        <v>4533</v>
      </c>
    </row>
    <row r="43" spans="1:23" s="572" customFormat="1" ht="17.25" customHeight="1">
      <c r="A43" s="104">
        <v>40</v>
      </c>
      <c r="B43" s="835" t="s">
        <v>141</v>
      </c>
      <c r="C43" s="870">
        <f>'Table 8 2.1.12 MFP Funded'!U43</f>
        <v>31</v>
      </c>
      <c r="D43" s="871">
        <f>'Table 3 Levels 1&amp;2'!AL47*90%</f>
        <v>4391.1166793568664</v>
      </c>
      <c r="E43" s="871">
        <f t="shared" si="16"/>
        <v>136124.61706006285</v>
      </c>
      <c r="F43" s="872">
        <f>'Table 4 Level 3'!P45*90%</f>
        <v>630.24300000000005</v>
      </c>
      <c r="G43" s="872">
        <f t="shared" si="17"/>
        <v>19537.533000000003</v>
      </c>
      <c r="H43" s="872">
        <f t="shared" si="18"/>
        <v>155662.15006006285</v>
      </c>
      <c r="I43" s="872">
        <f>(('Table 3 Levels 1&amp;2'!AL47-D43)+('Table 4 Level 3'!P45-F43))*C43</f>
        <v>17295.79445111809</v>
      </c>
      <c r="J43" s="872">
        <f t="shared" si="19"/>
        <v>-389</v>
      </c>
      <c r="K43" s="873">
        <f t="shared" si="20"/>
        <v>155273.15006006285</v>
      </c>
      <c r="L43" s="873">
        <f>'[9]Oct midyear adj_LA virtual'!$M45</f>
        <v>0</v>
      </c>
      <c r="M43" s="874">
        <f t="shared" si="21"/>
        <v>155273.15006006285</v>
      </c>
      <c r="N43" s="874">
        <f t="shared" si="22"/>
        <v>12939</v>
      </c>
      <c r="O43" s="875">
        <f>'[8]FY2012-13 Initial'!$K47*90%</f>
        <v>2598.3000000000002</v>
      </c>
      <c r="P43" s="876">
        <f t="shared" si="23"/>
        <v>80547.3</v>
      </c>
      <c r="Q43" s="876">
        <f t="shared" si="24"/>
        <v>-201</v>
      </c>
      <c r="R43" s="876">
        <f t="shared" si="25"/>
        <v>80346.3</v>
      </c>
      <c r="S43" s="875">
        <f>'[9]Oct midyear adj_LA virtual'!$P45</f>
        <v>0</v>
      </c>
      <c r="T43" s="893">
        <f t="shared" si="26"/>
        <v>80346.3</v>
      </c>
      <c r="U43" s="893">
        <f t="shared" si="27"/>
        <v>6696</v>
      </c>
      <c r="V43" s="877">
        <f t="shared" si="28"/>
        <v>235619.45006006287</v>
      </c>
      <c r="W43" s="877">
        <f t="shared" si="29"/>
        <v>19635</v>
      </c>
    </row>
    <row r="44" spans="1:23" s="572" customFormat="1" ht="17.25" customHeight="1">
      <c r="A44" s="103">
        <v>41</v>
      </c>
      <c r="B44" s="834" t="s">
        <v>142</v>
      </c>
      <c r="C44" s="854">
        <f>'Table 8 2.1.12 MFP Funded'!U44</f>
        <v>2</v>
      </c>
      <c r="D44" s="855">
        <f>'Table 3 Levels 1&amp;2'!AL48*90%</f>
        <v>1447.587313432836</v>
      </c>
      <c r="E44" s="855">
        <f t="shared" si="16"/>
        <v>2895.1746268656721</v>
      </c>
      <c r="F44" s="856">
        <f>'Table 4 Level 3'!P46*90%</f>
        <v>797.59800000000007</v>
      </c>
      <c r="G44" s="856">
        <f t="shared" si="17"/>
        <v>1595.1960000000001</v>
      </c>
      <c r="H44" s="856">
        <f t="shared" si="18"/>
        <v>4490.3706268656724</v>
      </c>
      <c r="I44" s="856">
        <f>(('Table 3 Levels 1&amp;2'!AL48-D44)+('Table 4 Level 3'!P46-F44))*C44</f>
        <v>498.93006965174095</v>
      </c>
      <c r="J44" s="856">
        <f t="shared" si="19"/>
        <v>-11</v>
      </c>
      <c r="K44" s="857">
        <f t="shared" si="20"/>
        <v>4479.3706268656724</v>
      </c>
      <c r="L44" s="857">
        <f>'[9]Oct midyear adj_LA virtual'!$M46</f>
        <v>0</v>
      </c>
      <c r="M44" s="858">
        <f t="shared" si="21"/>
        <v>4479.3706268656724</v>
      </c>
      <c r="N44" s="858">
        <f t="shared" si="22"/>
        <v>373</v>
      </c>
      <c r="O44" s="859">
        <f>'[8]FY2012-13 Initial'!$K48*90%</f>
        <v>11223</v>
      </c>
      <c r="P44" s="860">
        <f t="shared" si="23"/>
        <v>22446</v>
      </c>
      <c r="Q44" s="860">
        <f t="shared" si="24"/>
        <v>-56</v>
      </c>
      <c r="R44" s="860">
        <f t="shared" si="25"/>
        <v>22390</v>
      </c>
      <c r="S44" s="859">
        <f>'[9]Oct midyear adj_LA virtual'!$P46</f>
        <v>0</v>
      </c>
      <c r="T44" s="891">
        <f t="shared" si="26"/>
        <v>22390</v>
      </c>
      <c r="U44" s="891">
        <f t="shared" si="27"/>
        <v>1866</v>
      </c>
      <c r="V44" s="861">
        <f t="shared" si="28"/>
        <v>26869.370626865672</v>
      </c>
      <c r="W44" s="861">
        <f t="shared" si="29"/>
        <v>2239</v>
      </c>
    </row>
    <row r="45" spans="1:23" s="572" customFormat="1" ht="17.25" customHeight="1">
      <c r="A45" s="103">
        <v>42</v>
      </c>
      <c r="B45" s="834" t="s">
        <v>143</v>
      </c>
      <c r="C45" s="862">
        <f>'Table 8 2.1.12 MFP Funded'!U45</f>
        <v>11</v>
      </c>
      <c r="D45" s="863">
        <f>'Table 3 Levels 1&amp;2'!AL49*90%</f>
        <v>4734.27430018215</v>
      </c>
      <c r="E45" s="863">
        <f t="shared" si="16"/>
        <v>52077.017302003653</v>
      </c>
      <c r="F45" s="864">
        <f>'Table 4 Level 3'!P47*90%</f>
        <v>480.85199999999998</v>
      </c>
      <c r="G45" s="864">
        <f t="shared" si="17"/>
        <v>5289.3719999999994</v>
      </c>
      <c r="H45" s="864">
        <f t="shared" si="18"/>
        <v>57366.389302003648</v>
      </c>
      <c r="I45" s="864">
        <f>(('Table 3 Levels 1&amp;2'!AL49-D45)+('Table 4 Level 3'!P47-F45))*C45</f>
        <v>6374.0432557781796</v>
      </c>
      <c r="J45" s="864">
        <f t="shared" si="19"/>
        <v>-143</v>
      </c>
      <c r="K45" s="865">
        <f t="shared" si="20"/>
        <v>57223.389302003648</v>
      </c>
      <c r="L45" s="865">
        <f>'[9]Oct midyear adj_LA virtual'!$M47</f>
        <v>0</v>
      </c>
      <c r="M45" s="866">
        <f t="shared" si="21"/>
        <v>57223.389302003648</v>
      </c>
      <c r="N45" s="866">
        <f t="shared" si="22"/>
        <v>4769</v>
      </c>
      <c r="O45" s="867">
        <f>'[8]FY2012-13 Initial'!$K49*90%</f>
        <v>2117.7000000000003</v>
      </c>
      <c r="P45" s="868">
        <f t="shared" si="23"/>
        <v>23294.700000000004</v>
      </c>
      <c r="Q45" s="868">
        <f t="shared" si="24"/>
        <v>-58</v>
      </c>
      <c r="R45" s="868">
        <f t="shared" si="25"/>
        <v>23236.700000000004</v>
      </c>
      <c r="S45" s="867">
        <f>'[9]Oct midyear adj_LA virtual'!$P47</f>
        <v>0</v>
      </c>
      <c r="T45" s="892">
        <f t="shared" si="26"/>
        <v>23236.700000000004</v>
      </c>
      <c r="U45" s="892">
        <f t="shared" si="27"/>
        <v>1936</v>
      </c>
      <c r="V45" s="869">
        <f t="shared" si="28"/>
        <v>80460.089302003646</v>
      </c>
      <c r="W45" s="869">
        <f t="shared" si="29"/>
        <v>6705</v>
      </c>
    </row>
    <row r="46" spans="1:23" s="572" customFormat="1" ht="17.25" customHeight="1">
      <c r="A46" s="103">
        <v>43</v>
      </c>
      <c r="B46" s="834" t="s">
        <v>144</v>
      </c>
      <c r="C46" s="862">
        <f>'Table 8 2.1.12 MFP Funded'!U46</f>
        <v>15</v>
      </c>
      <c r="D46" s="863">
        <f>'Table 3 Levels 1&amp;2'!AL50*90%</f>
        <v>5028.6143094847857</v>
      </c>
      <c r="E46" s="863">
        <f t="shared" si="16"/>
        <v>75429.214642271792</v>
      </c>
      <c r="F46" s="864">
        <f>'Table 4 Level 3'!P48*90%</f>
        <v>517.14899999999989</v>
      </c>
      <c r="G46" s="864">
        <f t="shared" si="17"/>
        <v>7757.2349999999988</v>
      </c>
      <c r="H46" s="864">
        <f t="shared" si="18"/>
        <v>83186.449642271793</v>
      </c>
      <c r="I46" s="864">
        <f>(('Table 3 Levels 1&amp;2'!AL50-D46)+('Table 4 Level 3'!P48-F46))*C46</f>
        <v>9242.9388491413065</v>
      </c>
      <c r="J46" s="864">
        <f t="shared" si="19"/>
        <v>-208</v>
      </c>
      <c r="K46" s="865">
        <f t="shared" si="20"/>
        <v>82978.449642271793</v>
      </c>
      <c r="L46" s="865">
        <f>'[9]Oct midyear adj_LA virtual'!$M48</f>
        <v>0</v>
      </c>
      <c r="M46" s="866">
        <f t="shared" si="21"/>
        <v>82978.449642271793</v>
      </c>
      <c r="N46" s="866">
        <f t="shared" si="22"/>
        <v>6915</v>
      </c>
      <c r="O46" s="867">
        <f>'[8]FY2012-13 Initial'!$K50*90%</f>
        <v>5039.1000000000004</v>
      </c>
      <c r="P46" s="868">
        <f t="shared" si="23"/>
        <v>75586.5</v>
      </c>
      <c r="Q46" s="868">
        <f t="shared" si="24"/>
        <v>-189</v>
      </c>
      <c r="R46" s="868">
        <f t="shared" si="25"/>
        <v>75397.5</v>
      </c>
      <c r="S46" s="867">
        <f>'[9]Oct midyear adj_LA virtual'!$P48</f>
        <v>0</v>
      </c>
      <c r="T46" s="892">
        <f t="shared" si="26"/>
        <v>75397.5</v>
      </c>
      <c r="U46" s="892">
        <f t="shared" si="27"/>
        <v>6283</v>
      </c>
      <c r="V46" s="869">
        <f t="shared" si="28"/>
        <v>158375.94964227179</v>
      </c>
      <c r="W46" s="869">
        <f t="shared" si="29"/>
        <v>13198</v>
      </c>
    </row>
    <row r="47" spans="1:23" s="572" customFormat="1" ht="17.25" customHeight="1">
      <c r="A47" s="103">
        <v>44</v>
      </c>
      <c r="B47" s="834" t="s">
        <v>145</v>
      </c>
      <c r="C47" s="862">
        <f>'Table 8 2.1.12 MFP Funded'!U47</f>
        <v>5</v>
      </c>
      <c r="D47" s="863">
        <f>'Table 3 Levels 1&amp;2'!AL51*90%</f>
        <v>3701.8608832727095</v>
      </c>
      <c r="E47" s="863">
        <f t="shared" si="16"/>
        <v>18509.30441636355</v>
      </c>
      <c r="F47" s="864">
        <f>'Table 4 Level 3'!P49*90%</f>
        <v>596.84400000000005</v>
      </c>
      <c r="G47" s="864">
        <f t="shared" si="17"/>
        <v>2984.2200000000003</v>
      </c>
      <c r="H47" s="864">
        <f t="shared" si="18"/>
        <v>21493.524416363551</v>
      </c>
      <c r="I47" s="864">
        <f>(('Table 3 Levels 1&amp;2'!AL51-D47)+('Table 4 Level 3'!P49-F47))*C47</f>
        <v>2388.1693795959482</v>
      </c>
      <c r="J47" s="864">
        <f t="shared" si="19"/>
        <v>-54</v>
      </c>
      <c r="K47" s="865">
        <f t="shared" si="20"/>
        <v>21439.524416363551</v>
      </c>
      <c r="L47" s="865">
        <f>'[9]Oct midyear adj_LA virtual'!$M49</f>
        <v>0</v>
      </c>
      <c r="M47" s="866">
        <f t="shared" si="21"/>
        <v>21439.524416363551</v>
      </c>
      <c r="N47" s="866">
        <f t="shared" si="22"/>
        <v>1787</v>
      </c>
      <c r="O47" s="867">
        <f>'[8]FY2012-13 Initial'!$K51*90%</f>
        <v>4194.9000000000005</v>
      </c>
      <c r="P47" s="868">
        <f t="shared" si="23"/>
        <v>20974.500000000004</v>
      </c>
      <c r="Q47" s="868">
        <f t="shared" si="24"/>
        <v>-52</v>
      </c>
      <c r="R47" s="868">
        <f t="shared" si="25"/>
        <v>20922.500000000004</v>
      </c>
      <c r="S47" s="867">
        <f>'[9]Oct midyear adj_LA virtual'!$P49</f>
        <v>0</v>
      </c>
      <c r="T47" s="892">
        <f t="shared" si="26"/>
        <v>20922.500000000004</v>
      </c>
      <c r="U47" s="892">
        <f t="shared" si="27"/>
        <v>1744</v>
      </c>
      <c r="V47" s="869">
        <f t="shared" si="28"/>
        <v>42362.024416363551</v>
      </c>
      <c r="W47" s="869">
        <f t="shared" si="29"/>
        <v>3531</v>
      </c>
    </row>
    <row r="48" spans="1:23" s="572" customFormat="1" ht="17.25" customHeight="1">
      <c r="A48" s="104">
        <v>45</v>
      </c>
      <c r="B48" s="835" t="s">
        <v>146</v>
      </c>
      <c r="C48" s="870">
        <f>'Table 8 2.1.12 MFP Funded'!U48</f>
        <v>2</v>
      </c>
      <c r="D48" s="871">
        <f>'Table 3 Levels 1&amp;2'!AL52*90%</f>
        <v>2173.3631908348361</v>
      </c>
      <c r="E48" s="871">
        <f t="shared" si="16"/>
        <v>4346.7263816696723</v>
      </c>
      <c r="F48" s="872">
        <f>'Table 4 Level 3'!P50*90%</f>
        <v>678.56400000000019</v>
      </c>
      <c r="G48" s="872">
        <f t="shared" si="17"/>
        <v>1357.1280000000004</v>
      </c>
      <c r="H48" s="872">
        <f t="shared" si="18"/>
        <v>5703.8543816696729</v>
      </c>
      <c r="I48" s="872">
        <f>(('Table 3 Levels 1&amp;2'!AL52-D48)+('Table 4 Level 3'!P50-F48))*C48</f>
        <v>633.76159796329694</v>
      </c>
      <c r="J48" s="872">
        <f t="shared" si="19"/>
        <v>-14</v>
      </c>
      <c r="K48" s="873">
        <f t="shared" si="20"/>
        <v>5689.8543816696729</v>
      </c>
      <c r="L48" s="873">
        <f>'[9]Oct midyear adj_LA virtual'!$M50</f>
        <v>0</v>
      </c>
      <c r="M48" s="874">
        <f t="shared" si="21"/>
        <v>5689.8543816696729</v>
      </c>
      <c r="N48" s="874">
        <f t="shared" si="22"/>
        <v>474</v>
      </c>
      <c r="O48" s="875">
        <f>'[8]FY2012-13 Initial'!$K52*90%</f>
        <v>10485</v>
      </c>
      <c r="P48" s="876">
        <f t="shared" si="23"/>
        <v>20970</v>
      </c>
      <c r="Q48" s="876">
        <f t="shared" si="24"/>
        <v>-52</v>
      </c>
      <c r="R48" s="876">
        <f t="shared" si="25"/>
        <v>20918</v>
      </c>
      <c r="S48" s="875">
        <f>'[9]Oct midyear adj_LA virtual'!$P50</f>
        <v>0</v>
      </c>
      <c r="T48" s="893">
        <f t="shared" si="26"/>
        <v>20918</v>
      </c>
      <c r="U48" s="893">
        <f t="shared" si="27"/>
        <v>1743</v>
      </c>
      <c r="V48" s="877">
        <f t="shared" si="28"/>
        <v>26607.854381669673</v>
      </c>
      <c r="W48" s="877">
        <f t="shared" si="29"/>
        <v>2217</v>
      </c>
    </row>
    <row r="49" spans="1:23" s="572" customFormat="1" ht="17.25" customHeight="1">
      <c r="A49" s="103">
        <v>46</v>
      </c>
      <c r="B49" s="834" t="s">
        <v>147</v>
      </c>
      <c r="C49" s="854">
        <f>'Table 8 2.1.12 MFP Funded'!U49</f>
        <v>7</v>
      </c>
      <c r="D49" s="855">
        <f>'Table 3 Levels 1&amp;2'!AL53*90%</f>
        <v>5188.5283066922939</v>
      </c>
      <c r="E49" s="855">
        <f t="shared" si="16"/>
        <v>36319.698146846058</v>
      </c>
      <c r="F49" s="856">
        <f>'Table 4 Level 3'!P51*90%</f>
        <v>655.25400000000002</v>
      </c>
      <c r="G49" s="856">
        <f t="shared" si="17"/>
        <v>4586.7780000000002</v>
      </c>
      <c r="H49" s="856">
        <f t="shared" si="18"/>
        <v>40906.476146846057</v>
      </c>
      <c r="I49" s="856">
        <f>(('Table 3 Levels 1&amp;2'!AL53-D49)+('Table 4 Level 3'!P51-F49))*C49</f>
        <v>4545.1640163162256</v>
      </c>
      <c r="J49" s="856">
        <f t="shared" si="19"/>
        <v>-102</v>
      </c>
      <c r="K49" s="857">
        <f t="shared" si="20"/>
        <v>40804.476146846057</v>
      </c>
      <c r="L49" s="857">
        <f>'[9]Oct midyear adj_LA virtual'!$M51</f>
        <v>0</v>
      </c>
      <c r="M49" s="858">
        <f t="shared" si="21"/>
        <v>40804.476146846057</v>
      </c>
      <c r="N49" s="858">
        <f t="shared" si="22"/>
        <v>3400</v>
      </c>
      <c r="O49" s="859">
        <f>'[8]FY2012-13 Initial'!$K53*90%</f>
        <v>1610.1000000000001</v>
      </c>
      <c r="P49" s="860">
        <f t="shared" si="23"/>
        <v>11270.7</v>
      </c>
      <c r="Q49" s="860">
        <f t="shared" si="24"/>
        <v>-28</v>
      </c>
      <c r="R49" s="860">
        <f t="shared" si="25"/>
        <v>11242.7</v>
      </c>
      <c r="S49" s="859">
        <f>'[9]Oct midyear adj_LA virtual'!$P51</f>
        <v>0</v>
      </c>
      <c r="T49" s="891">
        <f t="shared" si="26"/>
        <v>11242.7</v>
      </c>
      <c r="U49" s="891">
        <f t="shared" si="27"/>
        <v>937</v>
      </c>
      <c r="V49" s="861">
        <f t="shared" si="28"/>
        <v>52047.176146846061</v>
      </c>
      <c r="W49" s="861">
        <f t="shared" si="29"/>
        <v>4337</v>
      </c>
    </row>
    <row r="50" spans="1:23" s="572" customFormat="1" ht="17.25" customHeight="1">
      <c r="A50" s="103">
        <v>47</v>
      </c>
      <c r="B50" s="834" t="s">
        <v>148</v>
      </c>
      <c r="C50" s="862">
        <f>'Table 8 2.1.12 MFP Funded'!U50</f>
        <v>3</v>
      </c>
      <c r="D50" s="863">
        <f>'Table 3 Levels 1&amp;2'!AL54*90%</f>
        <v>2867.5540873050163</v>
      </c>
      <c r="E50" s="863">
        <f t="shared" si="16"/>
        <v>8602.6622619150494</v>
      </c>
      <c r="F50" s="864">
        <f>'Table 4 Level 3'!P52*90%</f>
        <v>819.68399999999997</v>
      </c>
      <c r="G50" s="864">
        <f t="shared" si="17"/>
        <v>2459.0519999999997</v>
      </c>
      <c r="H50" s="864">
        <f t="shared" si="18"/>
        <v>11061.714261915049</v>
      </c>
      <c r="I50" s="864">
        <f>(('Table 3 Levels 1&amp;2'!AL54-D50)+('Table 4 Level 3'!P52-F50))*C50</f>
        <v>1229.0793624350054</v>
      </c>
      <c r="J50" s="864">
        <f t="shared" si="19"/>
        <v>-28</v>
      </c>
      <c r="K50" s="865">
        <f t="shared" si="20"/>
        <v>11033.714261915049</v>
      </c>
      <c r="L50" s="865">
        <f>'[9]Oct midyear adj_LA virtual'!$M52</f>
        <v>0</v>
      </c>
      <c r="M50" s="866">
        <f t="shared" si="21"/>
        <v>11033.714261915049</v>
      </c>
      <c r="N50" s="866">
        <f t="shared" si="22"/>
        <v>919</v>
      </c>
      <c r="O50" s="867">
        <f>'[8]FY2012-13 Initial'!$K54*90%</f>
        <v>8952.3000000000011</v>
      </c>
      <c r="P50" s="868">
        <f t="shared" si="23"/>
        <v>26856.9</v>
      </c>
      <c r="Q50" s="868">
        <f t="shared" si="24"/>
        <v>-67</v>
      </c>
      <c r="R50" s="868">
        <f t="shared" si="25"/>
        <v>26789.9</v>
      </c>
      <c r="S50" s="867">
        <f>'[9]Oct midyear adj_LA virtual'!$P52</f>
        <v>0</v>
      </c>
      <c r="T50" s="892">
        <f t="shared" si="26"/>
        <v>26789.9</v>
      </c>
      <c r="U50" s="892">
        <f t="shared" si="27"/>
        <v>2232</v>
      </c>
      <c r="V50" s="869">
        <f t="shared" si="28"/>
        <v>37823.614261915049</v>
      </c>
      <c r="W50" s="869">
        <f t="shared" si="29"/>
        <v>3151</v>
      </c>
    </row>
    <row r="51" spans="1:23" s="572" customFormat="1" ht="17.25" customHeight="1">
      <c r="A51" s="103">
        <v>48</v>
      </c>
      <c r="B51" s="834" t="s">
        <v>222</v>
      </c>
      <c r="C51" s="862">
        <f>'Table 8 2.1.12 MFP Funded'!U51</f>
        <v>13</v>
      </c>
      <c r="D51" s="863">
        <f>'Table 3 Levels 1&amp;2'!AL55*90%</f>
        <v>3834.4384976522451</v>
      </c>
      <c r="E51" s="863">
        <f t="shared" si="16"/>
        <v>49847.700469479183</v>
      </c>
      <c r="F51" s="864">
        <f>'Table 4 Level 3'!P53*90%</f>
        <v>783.96300000000008</v>
      </c>
      <c r="G51" s="864">
        <f t="shared" si="17"/>
        <v>10191.519</v>
      </c>
      <c r="H51" s="864">
        <f t="shared" si="18"/>
        <v>60039.219469479183</v>
      </c>
      <c r="I51" s="864">
        <f>(('Table 3 Levels 1&amp;2'!AL55-D51)+('Table 4 Level 3'!P53-F51))*C51</f>
        <v>6671.024385497687</v>
      </c>
      <c r="J51" s="864">
        <f t="shared" si="19"/>
        <v>-150</v>
      </c>
      <c r="K51" s="865">
        <f t="shared" si="20"/>
        <v>59889.219469479183</v>
      </c>
      <c r="L51" s="865">
        <f>'[9]Oct midyear adj_LA virtual'!$M53</f>
        <v>0</v>
      </c>
      <c r="M51" s="866">
        <f t="shared" si="21"/>
        <v>59889.219469479183</v>
      </c>
      <c r="N51" s="866">
        <f t="shared" si="22"/>
        <v>4991</v>
      </c>
      <c r="O51" s="867">
        <f>'[8]FY2012-13 Initial'!$K55*90%</f>
        <v>4792.5</v>
      </c>
      <c r="P51" s="868">
        <f t="shared" si="23"/>
        <v>62302.5</v>
      </c>
      <c r="Q51" s="868">
        <f t="shared" si="24"/>
        <v>-156</v>
      </c>
      <c r="R51" s="868">
        <f t="shared" si="25"/>
        <v>62146.5</v>
      </c>
      <c r="S51" s="867">
        <f>'[9]Oct midyear adj_LA virtual'!$P53</f>
        <v>0</v>
      </c>
      <c r="T51" s="892">
        <f t="shared" si="26"/>
        <v>62146.5</v>
      </c>
      <c r="U51" s="892">
        <f t="shared" si="27"/>
        <v>5179</v>
      </c>
      <c r="V51" s="869">
        <f t="shared" si="28"/>
        <v>122035.71946947918</v>
      </c>
      <c r="W51" s="869">
        <f t="shared" si="29"/>
        <v>10170</v>
      </c>
    </row>
    <row r="52" spans="1:23" s="572" customFormat="1" ht="17.25" customHeight="1">
      <c r="A52" s="103">
        <v>49</v>
      </c>
      <c r="B52" s="834" t="s">
        <v>149</v>
      </c>
      <c r="C52" s="862">
        <f>'Table 8 2.1.12 MFP Funded'!U52</f>
        <v>50</v>
      </c>
      <c r="D52" s="863">
        <f>'Table 3 Levels 1&amp;2'!AL56*90%</f>
        <v>4320.19549305694</v>
      </c>
      <c r="E52" s="863">
        <f t="shared" si="16"/>
        <v>216009.774652847</v>
      </c>
      <c r="F52" s="864">
        <f>'Table 4 Level 3'!P54*90%</f>
        <v>516.99599999999998</v>
      </c>
      <c r="G52" s="864">
        <f t="shared" si="17"/>
        <v>25849.8</v>
      </c>
      <c r="H52" s="864">
        <f t="shared" si="18"/>
        <v>241859.57465284699</v>
      </c>
      <c r="I52" s="864">
        <f>(('Table 3 Levels 1&amp;2'!AL56-D52)+('Table 4 Level 3'!P54-F52))*C52</f>
        <v>26873.286072538554</v>
      </c>
      <c r="J52" s="864">
        <f t="shared" si="19"/>
        <v>-605</v>
      </c>
      <c r="K52" s="865">
        <f t="shared" si="20"/>
        <v>241254.57465284699</v>
      </c>
      <c r="L52" s="865">
        <f>'[9]Oct midyear adj_LA virtual'!$M54</f>
        <v>0</v>
      </c>
      <c r="M52" s="866">
        <f t="shared" si="21"/>
        <v>241254.57465284699</v>
      </c>
      <c r="N52" s="866">
        <f t="shared" si="22"/>
        <v>20105</v>
      </c>
      <c r="O52" s="867">
        <f>'[8]FY2012-13 Initial'!$K56*90%</f>
        <v>2093.4</v>
      </c>
      <c r="P52" s="868">
        <f t="shared" si="23"/>
        <v>104670</v>
      </c>
      <c r="Q52" s="868">
        <f t="shared" si="24"/>
        <v>-262</v>
      </c>
      <c r="R52" s="868">
        <f t="shared" si="25"/>
        <v>104408</v>
      </c>
      <c r="S52" s="867">
        <f>'[9]Oct midyear adj_LA virtual'!$P54</f>
        <v>0</v>
      </c>
      <c r="T52" s="892">
        <f t="shared" si="26"/>
        <v>104408</v>
      </c>
      <c r="U52" s="892">
        <f t="shared" si="27"/>
        <v>8701</v>
      </c>
      <c r="V52" s="869">
        <f t="shared" si="28"/>
        <v>345662.57465284702</v>
      </c>
      <c r="W52" s="869">
        <f t="shared" si="29"/>
        <v>28806</v>
      </c>
    </row>
    <row r="53" spans="1:23" s="572" customFormat="1" ht="17.25" customHeight="1">
      <c r="A53" s="104">
        <v>50</v>
      </c>
      <c r="B53" s="835" t="s">
        <v>150</v>
      </c>
      <c r="C53" s="870">
        <f>'Table 8 2.1.12 MFP Funded'!U53</f>
        <v>7</v>
      </c>
      <c r="D53" s="871">
        <f>'Table 3 Levels 1&amp;2'!AL57*90%</f>
        <v>4553.5713789775837</v>
      </c>
      <c r="E53" s="871">
        <f t="shared" si="16"/>
        <v>31874.999652843086</v>
      </c>
      <c r="F53" s="872">
        <f>'Table 4 Level 3'!P55*90%</f>
        <v>571.01400000000001</v>
      </c>
      <c r="G53" s="872">
        <f t="shared" si="17"/>
        <v>3997.098</v>
      </c>
      <c r="H53" s="872">
        <f t="shared" si="18"/>
        <v>35872.097652843084</v>
      </c>
      <c r="I53" s="872">
        <f>(('Table 3 Levels 1&amp;2'!AL57-D53)+('Table 4 Level 3'!P55-F53))*C53</f>
        <v>3985.7886280936737</v>
      </c>
      <c r="J53" s="872">
        <f t="shared" si="19"/>
        <v>-90</v>
      </c>
      <c r="K53" s="873">
        <f t="shared" si="20"/>
        <v>35782.097652843084</v>
      </c>
      <c r="L53" s="873">
        <f>'[9]Oct midyear adj_LA virtual'!$M55</f>
        <v>0</v>
      </c>
      <c r="M53" s="874">
        <f t="shared" si="21"/>
        <v>35782.097652843084</v>
      </c>
      <c r="N53" s="874">
        <f t="shared" si="22"/>
        <v>2982</v>
      </c>
      <c r="O53" s="875">
        <f>'[8]FY2012-13 Initial'!$K57*90%</f>
        <v>2316.6</v>
      </c>
      <c r="P53" s="876">
        <f t="shared" si="23"/>
        <v>16216.199999999999</v>
      </c>
      <c r="Q53" s="876">
        <f t="shared" si="24"/>
        <v>-41</v>
      </c>
      <c r="R53" s="876">
        <f t="shared" si="25"/>
        <v>16175.199999999999</v>
      </c>
      <c r="S53" s="875">
        <f>'[9]Oct midyear adj_LA virtual'!$P55</f>
        <v>0</v>
      </c>
      <c r="T53" s="893">
        <f t="shared" si="26"/>
        <v>16175.199999999999</v>
      </c>
      <c r="U53" s="893">
        <f t="shared" si="27"/>
        <v>1348</v>
      </c>
      <c r="V53" s="877">
        <f t="shared" si="28"/>
        <v>51957.297652843081</v>
      </c>
      <c r="W53" s="877">
        <f t="shared" si="29"/>
        <v>4330</v>
      </c>
    </row>
    <row r="54" spans="1:23" s="572" customFormat="1" ht="17.25" customHeight="1">
      <c r="A54" s="103">
        <v>51</v>
      </c>
      <c r="B54" s="834" t="s">
        <v>151</v>
      </c>
      <c r="C54" s="854">
        <f>'Table 8 2.1.12 MFP Funded'!U54</f>
        <v>7</v>
      </c>
      <c r="D54" s="855">
        <f>'Table 3 Levels 1&amp;2'!AL58*90%</f>
        <v>3945.6429404417722</v>
      </c>
      <c r="E54" s="855">
        <f t="shared" si="16"/>
        <v>27619.500583092406</v>
      </c>
      <c r="F54" s="856">
        <f>'Table 4 Level 3'!P56*90%</f>
        <v>635.99400000000003</v>
      </c>
      <c r="G54" s="856">
        <f t="shared" si="17"/>
        <v>4451.9580000000005</v>
      </c>
      <c r="H54" s="856">
        <f t="shared" si="18"/>
        <v>32071.458583092404</v>
      </c>
      <c r="I54" s="856">
        <f>(('Table 3 Levels 1&amp;2'!AL58-D54)+('Table 4 Level 3'!P56-F54))*C54</f>
        <v>3563.4953981213785</v>
      </c>
      <c r="J54" s="856">
        <f t="shared" si="19"/>
        <v>-80</v>
      </c>
      <c r="K54" s="857">
        <f t="shared" si="20"/>
        <v>31991.458583092404</v>
      </c>
      <c r="L54" s="857">
        <f>'[9]Oct midyear adj_LA virtual'!$M56</f>
        <v>0</v>
      </c>
      <c r="M54" s="858">
        <f t="shared" si="21"/>
        <v>31991.458583092404</v>
      </c>
      <c r="N54" s="858">
        <f t="shared" si="22"/>
        <v>2666</v>
      </c>
      <c r="O54" s="859">
        <f>'[8]FY2012-13 Initial'!$K58*90%</f>
        <v>3548.7000000000003</v>
      </c>
      <c r="P54" s="860">
        <f t="shared" si="23"/>
        <v>24840.9</v>
      </c>
      <c r="Q54" s="860">
        <f t="shared" si="24"/>
        <v>-62</v>
      </c>
      <c r="R54" s="860">
        <f t="shared" si="25"/>
        <v>24778.9</v>
      </c>
      <c r="S54" s="859">
        <f>'[9]Oct midyear adj_LA virtual'!$P56</f>
        <v>0</v>
      </c>
      <c r="T54" s="891">
        <f t="shared" si="26"/>
        <v>24778.9</v>
      </c>
      <c r="U54" s="891">
        <f t="shared" si="27"/>
        <v>2065</v>
      </c>
      <c r="V54" s="861">
        <f t="shared" si="28"/>
        <v>56770.358583092406</v>
      </c>
      <c r="W54" s="861">
        <f t="shared" si="29"/>
        <v>4731</v>
      </c>
    </row>
    <row r="55" spans="1:23" s="572" customFormat="1" ht="17.25" customHeight="1">
      <c r="A55" s="103">
        <v>52</v>
      </c>
      <c r="B55" s="834" t="s">
        <v>152</v>
      </c>
      <c r="C55" s="862">
        <f>'Table 8 2.1.12 MFP Funded'!U55</f>
        <v>70</v>
      </c>
      <c r="D55" s="863">
        <f>'Table 3 Levels 1&amp;2'!AL59*90%</f>
        <v>4428.0628148689884</v>
      </c>
      <c r="E55" s="863">
        <f t="shared" si="16"/>
        <v>309964.39704082918</v>
      </c>
      <c r="F55" s="864">
        <f>'Table 4 Level 3'!P57*90%</f>
        <v>592.53300000000002</v>
      </c>
      <c r="G55" s="864">
        <f t="shared" si="17"/>
        <v>41477.31</v>
      </c>
      <c r="H55" s="864">
        <f t="shared" si="18"/>
        <v>351441.70704082918</v>
      </c>
      <c r="I55" s="864">
        <f>(('Table 3 Levels 1&amp;2'!AL59-D55)+('Table 4 Level 3'!P57-F55))*C55</f>
        <v>39049.078560092086</v>
      </c>
      <c r="J55" s="864">
        <f t="shared" si="19"/>
        <v>-879</v>
      </c>
      <c r="K55" s="865">
        <f t="shared" si="20"/>
        <v>350562.70704082918</v>
      </c>
      <c r="L55" s="865">
        <f>'[9]Oct midyear adj_LA virtual'!$M57</f>
        <v>-5080.1043534373293</v>
      </c>
      <c r="M55" s="866">
        <f t="shared" si="21"/>
        <v>345482.60268739186</v>
      </c>
      <c r="N55" s="866">
        <f t="shared" si="22"/>
        <v>28790</v>
      </c>
      <c r="O55" s="867">
        <f>'[8]FY2012-13 Initial'!$K59*90%</f>
        <v>4275</v>
      </c>
      <c r="P55" s="868">
        <f t="shared" si="23"/>
        <v>299250</v>
      </c>
      <c r="Q55" s="868">
        <f t="shared" si="24"/>
        <v>-748</v>
      </c>
      <c r="R55" s="868">
        <f t="shared" si="25"/>
        <v>298502</v>
      </c>
      <c r="S55" s="867">
        <f>'[9]Oct midyear adj_LA virtual'!$P57</f>
        <v>-4339.8</v>
      </c>
      <c r="T55" s="892">
        <f t="shared" si="26"/>
        <v>294162.2</v>
      </c>
      <c r="U55" s="892">
        <f t="shared" si="27"/>
        <v>24514</v>
      </c>
      <c r="V55" s="869">
        <f t="shared" si="28"/>
        <v>639644.80268739187</v>
      </c>
      <c r="W55" s="869">
        <f t="shared" si="29"/>
        <v>53304</v>
      </c>
    </row>
    <row r="56" spans="1:23" s="572" customFormat="1" ht="17.25" customHeight="1">
      <c r="A56" s="103">
        <v>53</v>
      </c>
      <c r="B56" s="834" t="s">
        <v>153</v>
      </c>
      <c r="C56" s="862">
        <f>'Table 8 2.1.12 MFP Funded'!U56</f>
        <v>53</v>
      </c>
      <c r="D56" s="863">
        <f>'Table 3 Levels 1&amp;2'!AL60*90%</f>
        <v>4305.8447883690851</v>
      </c>
      <c r="E56" s="863">
        <f t="shared" si="16"/>
        <v>228209.77378356151</v>
      </c>
      <c r="F56" s="864">
        <f>'Table 4 Level 3'!P58*90%</f>
        <v>620.76600000000008</v>
      </c>
      <c r="G56" s="864">
        <f t="shared" si="17"/>
        <v>32900.598000000005</v>
      </c>
      <c r="H56" s="864">
        <f t="shared" si="18"/>
        <v>261110.37178356151</v>
      </c>
      <c r="I56" s="864">
        <f>(('Table 3 Levels 1&amp;2'!AL60-D56)+('Table 4 Level 3'!P58-F56))*C56</f>
        <v>29012.26353150684</v>
      </c>
      <c r="J56" s="864">
        <f t="shared" si="19"/>
        <v>-653</v>
      </c>
      <c r="K56" s="865">
        <f t="shared" si="20"/>
        <v>260457.37178356151</v>
      </c>
      <c r="L56" s="865">
        <f>'[9]Oct midyear adj_LA virtual'!$M58</f>
        <v>0</v>
      </c>
      <c r="M56" s="866">
        <f t="shared" si="21"/>
        <v>260457.37178356151</v>
      </c>
      <c r="N56" s="866">
        <f t="shared" si="22"/>
        <v>21705</v>
      </c>
      <c r="O56" s="867">
        <f>'[8]FY2012-13 Initial'!$K60*90%</f>
        <v>1721.7</v>
      </c>
      <c r="P56" s="868">
        <f t="shared" si="23"/>
        <v>91250.1</v>
      </c>
      <c r="Q56" s="868">
        <f t="shared" si="24"/>
        <v>-228</v>
      </c>
      <c r="R56" s="868">
        <f t="shared" si="25"/>
        <v>91022.1</v>
      </c>
      <c r="S56" s="867">
        <f>'[9]Oct midyear adj_LA virtual'!$P58</f>
        <v>0</v>
      </c>
      <c r="T56" s="892">
        <f t="shared" si="26"/>
        <v>91022.1</v>
      </c>
      <c r="U56" s="892">
        <f t="shared" si="27"/>
        <v>7585</v>
      </c>
      <c r="V56" s="869">
        <f t="shared" si="28"/>
        <v>351479.47178356152</v>
      </c>
      <c r="W56" s="869">
        <f t="shared" si="29"/>
        <v>29290</v>
      </c>
    </row>
    <row r="57" spans="1:23" s="572" customFormat="1" ht="17.25" customHeight="1">
      <c r="A57" s="103">
        <v>54</v>
      </c>
      <c r="B57" s="834" t="s">
        <v>154</v>
      </c>
      <c r="C57" s="862">
        <f>'Table 8 2.1.12 MFP Funded'!U57</f>
        <v>0</v>
      </c>
      <c r="D57" s="863">
        <f>'Table 3 Levels 1&amp;2'!AL61*90%</f>
        <v>5384.2999847828814</v>
      </c>
      <c r="E57" s="863">
        <f t="shared" si="16"/>
        <v>0</v>
      </c>
      <c r="F57" s="864">
        <f>'Table 4 Level 3'!P59*90%</f>
        <v>856.30500000000006</v>
      </c>
      <c r="G57" s="864">
        <f t="shared" si="17"/>
        <v>0</v>
      </c>
      <c r="H57" s="864">
        <f t="shared" si="18"/>
        <v>0</v>
      </c>
      <c r="I57" s="864">
        <f>(('Table 3 Levels 1&amp;2'!AL61-D57)+('Table 4 Level 3'!P59-F57))*C57</f>
        <v>0</v>
      </c>
      <c r="J57" s="864">
        <f t="shared" si="19"/>
        <v>0</v>
      </c>
      <c r="K57" s="865">
        <f t="shared" si="20"/>
        <v>0</v>
      </c>
      <c r="L57" s="865">
        <f>'[9]Oct midyear adj_LA virtual'!$M59</f>
        <v>0</v>
      </c>
      <c r="M57" s="866">
        <f t="shared" si="21"/>
        <v>0</v>
      </c>
      <c r="N57" s="866">
        <f t="shared" si="22"/>
        <v>0</v>
      </c>
      <c r="O57" s="867">
        <f>'[8]FY2012-13 Initial'!$K61*90%</f>
        <v>2937.6</v>
      </c>
      <c r="P57" s="868">
        <f t="shared" si="23"/>
        <v>0</v>
      </c>
      <c r="Q57" s="868">
        <f t="shared" si="24"/>
        <v>0</v>
      </c>
      <c r="R57" s="868">
        <f t="shared" si="25"/>
        <v>0</v>
      </c>
      <c r="S57" s="867">
        <f>'[9]Oct midyear adj_LA virtual'!$P59</f>
        <v>0</v>
      </c>
      <c r="T57" s="892">
        <f t="shared" si="26"/>
        <v>0</v>
      </c>
      <c r="U57" s="892">
        <f t="shared" si="27"/>
        <v>0</v>
      </c>
      <c r="V57" s="869">
        <f t="shared" si="28"/>
        <v>0</v>
      </c>
      <c r="W57" s="869">
        <f t="shared" si="29"/>
        <v>0</v>
      </c>
    </row>
    <row r="58" spans="1:23" s="572" customFormat="1" ht="17.25" customHeight="1">
      <c r="A58" s="104">
        <v>55</v>
      </c>
      <c r="B58" s="835" t="s">
        <v>155</v>
      </c>
      <c r="C58" s="870">
        <f>'Table 8 2.1.12 MFP Funded'!U58</f>
        <v>25</v>
      </c>
      <c r="D58" s="871">
        <f>'Table 3 Levels 1&amp;2'!AL62*90%</f>
        <v>3678.661570393685</v>
      </c>
      <c r="E58" s="871">
        <f t="shared" si="16"/>
        <v>91966.539259842131</v>
      </c>
      <c r="F58" s="872">
        <f>'Table 4 Level 3'!P60*90%</f>
        <v>715.62599999999998</v>
      </c>
      <c r="G58" s="872">
        <f t="shared" si="17"/>
        <v>17890.649999999998</v>
      </c>
      <c r="H58" s="872">
        <f t="shared" si="18"/>
        <v>109857.18925984213</v>
      </c>
      <c r="I58" s="872">
        <f>(('Table 3 Levels 1&amp;2'!AL62-D58)+('Table 4 Level 3'!P60-F58))*C58</f>
        <v>12206.35436220468</v>
      </c>
      <c r="J58" s="872">
        <f t="shared" si="19"/>
        <v>-275</v>
      </c>
      <c r="K58" s="873">
        <f t="shared" si="20"/>
        <v>109582.18925984213</v>
      </c>
      <c r="L58" s="873">
        <f>'[9]Oct midyear adj_LA virtual'!$M60</f>
        <v>0</v>
      </c>
      <c r="M58" s="874">
        <f t="shared" si="21"/>
        <v>109582.18925984213</v>
      </c>
      <c r="N58" s="874">
        <f t="shared" si="22"/>
        <v>9132</v>
      </c>
      <c r="O58" s="875">
        <f>'[8]FY2012-13 Initial'!$K62*90%</f>
        <v>2763.9</v>
      </c>
      <c r="P58" s="876">
        <f t="shared" si="23"/>
        <v>69097.5</v>
      </c>
      <c r="Q58" s="876">
        <f t="shared" si="24"/>
        <v>-173</v>
      </c>
      <c r="R58" s="876">
        <f t="shared" si="25"/>
        <v>68924.5</v>
      </c>
      <c r="S58" s="875">
        <f>'[9]Oct midyear adj_LA virtual'!$P60</f>
        <v>0</v>
      </c>
      <c r="T58" s="893">
        <f t="shared" si="26"/>
        <v>68924.5</v>
      </c>
      <c r="U58" s="893">
        <f t="shared" si="27"/>
        <v>5744</v>
      </c>
      <c r="V58" s="877">
        <f t="shared" si="28"/>
        <v>178506.68925984213</v>
      </c>
      <c r="W58" s="877">
        <f t="shared" si="29"/>
        <v>14876</v>
      </c>
    </row>
    <row r="59" spans="1:23" s="572" customFormat="1" ht="17.25" customHeight="1">
      <c r="A59" s="103">
        <v>56</v>
      </c>
      <c r="B59" s="834" t="s">
        <v>156</v>
      </c>
      <c r="C59" s="854">
        <f>'Table 8 2.1.12 MFP Funded'!U59</f>
        <v>4</v>
      </c>
      <c r="D59" s="855">
        <f>'Table 3 Levels 1&amp;2'!AL63*90%</f>
        <v>4547.0025848522419</v>
      </c>
      <c r="E59" s="855">
        <f t="shared" si="16"/>
        <v>18188.010339408967</v>
      </c>
      <c r="F59" s="856">
        <f>'Table 4 Level 3'!P61*90%</f>
        <v>553.19400000000007</v>
      </c>
      <c r="G59" s="856">
        <f t="shared" si="17"/>
        <v>2212.7760000000003</v>
      </c>
      <c r="H59" s="856">
        <f t="shared" si="18"/>
        <v>20400.786339408969</v>
      </c>
      <c r="I59" s="856">
        <f>(('Table 3 Levels 1&amp;2'!AL63-D59)+('Table 4 Level 3'!P61-F59))*C59</f>
        <v>2266.7540377121063</v>
      </c>
      <c r="J59" s="856">
        <f t="shared" si="19"/>
        <v>-51</v>
      </c>
      <c r="K59" s="857">
        <f t="shared" si="20"/>
        <v>20349.786339408969</v>
      </c>
      <c r="L59" s="857">
        <f>'[9]Oct midyear adj_LA virtual'!$M61</f>
        <v>0</v>
      </c>
      <c r="M59" s="858">
        <f t="shared" si="21"/>
        <v>20349.786339408969</v>
      </c>
      <c r="N59" s="858">
        <f t="shared" si="22"/>
        <v>1696</v>
      </c>
      <c r="O59" s="859">
        <f>'[8]FY2012-13 Initial'!$K63*90%</f>
        <v>2367</v>
      </c>
      <c r="P59" s="860">
        <f t="shared" si="23"/>
        <v>9468</v>
      </c>
      <c r="Q59" s="860">
        <f t="shared" si="24"/>
        <v>-24</v>
      </c>
      <c r="R59" s="860">
        <f t="shared" si="25"/>
        <v>9444</v>
      </c>
      <c r="S59" s="859">
        <f>'[9]Oct midyear adj_LA virtual'!$P61</f>
        <v>0</v>
      </c>
      <c r="T59" s="891">
        <f t="shared" si="26"/>
        <v>9444</v>
      </c>
      <c r="U59" s="891">
        <f t="shared" si="27"/>
        <v>787</v>
      </c>
      <c r="V59" s="861">
        <f t="shared" si="28"/>
        <v>29793.786339408969</v>
      </c>
      <c r="W59" s="861">
        <f t="shared" si="29"/>
        <v>2483</v>
      </c>
    </row>
    <row r="60" spans="1:23" s="572" customFormat="1" ht="17.25" customHeight="1">
      <c r="A60" s="103">
        <v>57</v>
      </c>
      <c r="B60" s="834" t="s">
        <v>157</v>
      </c>
      <c r="C60" s="862">
        <f>'Table 8 2.1.12 MFP Funded'!U60</f>
        <v>9</v>
      </c>
      <c r="D60" s="863">
        <f>'Table 3 Levels 1&amp;2'!AL64*90%</f>
        <v>3950.447686234284</v>
      </c>
      <c r="E60" s="863">
        <f t="shared" si="16"/>
        <v>35554.029176108554</v>
      </c>
      <c r="F60" s="864">
        <f>'Table 4 Level 3'!P62*90%</f>
        <v>688.05899999999997</v>
      </c>
      <c r="G60" s="864">
        <f t="shared" si="17"/>
        <v>6192.5309999999999</v>
      </c>
      <c r="H60" s="864">
        <f t="shared" si="18"/>
        <v>41746.560176108556</v>
      </c>
      <c r="I60" s="864">
        <f>(('Table 3 Levels 1&amp;2'!AL64-D60)+('Table 4 Level 3'!P62-F60))*C60</f>
        <v>4638.5066862342828</v>
      </c>
      <c r="J60" s="864">
        <f t="shared" si="19"/>
        <v>-104</v>
      </c>
      <c r="K60" s="865">
        <f t="shared" si="20"/>
        <v>41642.560176108556</v>
      </c>
      <c r="L60" s="865">
        <f>'[9]Oct midyear adj_LA virtual'!$M62</f>
        <v>0</v>
      </c>
      <c r="M60" s="866">
        <f t="shared" si="21"/>
        <v>41642.560176108556</v>
      </c>
      <c r="N60" s="866">
        <f t="shared" si="22"/>
        <v>3470</v>
      </c>
      <c r="O60" s="867">
        <f>'[8]FY2012-13 Initial'!$K64*90%</f>
        <v>2747.7000000000003</v>
      </c>
      <c r="P60" s="868">
        <f t="shared" si="23"/>
        <v>24729.300000000003</v>
      </c>
      <c r="Q60" s="868">
        <f t="shared" si="24"/>
        <v>-62</v>
      </c>
      <c r="R60" s="868">
        <f t="shared" si="25"/>
        <v>24667.300000000003</v>
      </c>
      <c r="S60" s="867">
        <f>'[9]Oct midyear adj_LA virtual'!$P62</f>
        <v>0</v>
      </c>
      <c r="T60" s="892">
        <f t="shared" si="26"/>
        <v>24667.300000000003</v>
      </c>
      <c r="U60" s="892">
        <f t="shared" si="27"/>
        <v>2056</v>
      </c>
      <c r="V60" s="869">
        <f t="shared" si="28"/>
        <v>66309.860176108559</v>
      </c>
      <c r="W60" s="869">
        <f t="shared" si="29"/>
        <v>5526</v>
      </c>
    </row>
    <row r="61" spans="1:23" s="572" customFormat="1" ht="17.25" customHeight="1">
      <c r="A61" s="103">
        <v>58</v>
      </c>
      <c r="B61" s="834" t="s">
        <v>158</v>
      </c>
      <c r="C61" s="862">
        <f>'Table 8 2.1.12 MFP Funded'!U61</f>
        <v>43</v>
      </c>
      <c r="D61" s="863">
        <f>'Table 3 Levels 1&amp;2'!AL65*90%</f>
        <v>4793.299299641707</v>
      </c>
      <c r="E61" s="863">
        <f t="shared" si="16"/>
        <v>206111.86988459341</v>
      </c>
      <c r="F61" s="864">
        <f>'Table 4 Level 3'!P63*90%</f>
        <v>627.33600000000001</v>
      </c>
      <c r="G61" s="864">
        <f t="shared" si="17"/>
        <v>26975.448</v>
      </c>
      <c r="H61" s="864">
        <f t="shared" si="18"/>
        <v>233087.31788459342</v>
      </c>
      <c r="I61" s="864">
        <f>(('Table 3 Levels 1&amp;2'!AL65-D61)+('Table 4 Level 3'!P63-F61))*C61</f>
        <v>25898.590876065915</v>
      </c>
      <c r="J61" s="864">
        <f t="shared" si="19"/>
        <v>-583</v>
      </c>
      <c r="K61" s="865">
        <f t="shared" si="20"/>
        <v>232504.31788459342</v>
      </c>
      <c r="L61" s="865">
        <f>'[9]Oct midyear adj_LA virtual'!$M63</f>
        <v>0</v>
      </c>
      <c r="M61" s="866">
        <f t="shared" si="21"/>
        <v>232504.31788459342</v>
      </c>
      <c r="N61" s="866">
        <f t="shared" si="22"/>
        <v>19375</v>
      </c>
      <c r="O61" s="867">
        <f>'[8]FY2012-13 Initial'!$K65*90%</f>
        <v>1725.3</v>
      </c>
      <c r="P61" s="868">
        <f t="shared" si="23"/>
        <v>74187.899999999994</v>
      </c>
      <c r="Q61" s="868">
        <f t="shared" si="24"/>
        <v>-185</v>
      </c>
      <c r="R61" s="868">
        <f t="shared" si="25"/>
        <v>74002.899999999994</v>
      </c>
      <c r="S61" s="867">
        <f>'[9]Oct midyear adj_LA virtual'!$P63</f>
        <v>0</v>
      </c>
      <c r="T61" s="892">
        <f t="shared" si="26"/>
        <v>74002.899999999994</v>
      </c>
      <c r="U61" s="892">
        <f t="shared" si="27"/>
        <v>6167</v>
      </c>
      <c r="V61" s="869">
        <f t="shared" si="28"/>
        <v>306507.21788459341</v>
      </c>
      <c r="W61" s="869">
        <f t="shared" si="29"/>
        <v>25542</v>
      </c>
    </row>
    <row r="62" spans="1:23" s="572" customFormat="1" ht="17.25" customHeight="1">
      <c r="A62" s="103">
        <v>59</v>
      </c>
      <c r="B62" s="834" t="s">
        <v>159</v>
      </c>
      <c r="C62" s="862">
        <f>'Table 8 2.1.12 MFP Funded'!U62</f>
        <v>9</v>
      </c>
      <c r="D62" s="863">
        <f>'Table 3 Levels 1&amp;2'!AL66*90%</f>
        <v>5695.6467258433941</v>
      </c>
      <c r="E62" s="863">
        <f t="shared" si="16"/>
        <v>51260.820532590544</v>
      </c>
      <c r="F62" s="864">
        <f>'Table 4 Level 3'!P64*90%</f>
        <v>620.56799999999998</v>
      </c>
      <c r="G62" s="864">
        <f t="shared" si="17"/>
        <v>5585.1120000000001</v>
      </c>
      <c r="H62" s="864">
        <f t="shared" si="18"/>
        <v>56845.932532590545</v>
      </c>
      <c r="I62" s="864">
        <f>(('Table 3 Levels 1&amp;2'!AL66-D62)+('Table 4 Level 3'!P64-F62))*C62</f>
        <v>6316.2147258433961</v>
      </c>
      <c r="J62" s="864">
        <f t="shared" si="19"/>
        <v>-142</v>
      </c>
      <c r="K62" s="865">
        <f t="shared" si="20"/>
        <v>56703.932532590545</v>
      </c>
      <c r="L62" s="865">
        <f>'[9]Oct midyear adj_LA virtual'!$M64</f>
        <v>0</v>
      </c>
      <c r="M62" s="866">
        <f t="shared" si="21"/>
        <v>56703.932532590545</v>
      </c>
      <c r="N62" s="866">
        <f t="shared" si="22"/>
        <v>4725</v>
      </c>
      <c r="O62" s="867">
        <f>'[8]FY2012-13 Initial'!$K66*90%</f>
        <v>1397.7</v>
      </c>
      <c r="P62" s="868">
        <f t="shared" si="23"/>
        <v>12579.300000000001</v>
      </c>
      <c r="Q62" s="868">
        <f t="shared" si="24"/>
        <v>-31</v>
      </c>
      <c r="R62" s="868">
        <f t="shared" si="25"/>
        <v>12548.300000000001</v>
      </c>
      <c r="S62" s="867">
        <f>'[9]Oct midyear adj_LA virtual'!$P64</f>
        <v>0</v>
      </c>
      <c r="T62" s="892">
        <f t="shared" si="26"/>
        <v>12548.300000000001</v>
      </c>
      <c r="U62" s="892">
        <f t="shared" si="27"/>
        <v>1046</v>
      </c>
      <c r="V62" s="869">
        <f t="shared" si="28"/>
        <v>69252.23253259054</v>
      </c>
      <c r="W62" s="869">
        <f t="shared" si="29"/>
        <v>5771</v>
      </c>
    </row>
    <row r="63" spans="1:23" s="572" customFormat="1" ht="17.25" customHeight="1">
      <c r="A63" s="104">
        <v>60</v>
      </c>
      <c r="B63" s="835" t="s">
        <v>160</v>
      </c>
      <c r="C63" s="870">
        <f>'Table 8 2.1.12 MFP Funded'!U63</f>
        <v>17</v>
      </c>
      <c r="D63" s="871">
        <f>'Table 3 Levels 1&amp;2'!AL67*90%</f>
        <v>4342.6550907564415</v>
      </c>
      <c r="E63" s="871">
        <f t="shared" si="16"/>
        <v>73825.136542859502</v>
      </c>
      <c r="F63" s="872">
        <f>'Table 4 Level 3'!P65*90%</f>
        <v>534.63599999999997</v>
      </c>
      <c r="G63" s="872">
        <f t="shared" si="17"/>
        <v>9088.8119999999999</v>
      </c>
      <c r="H63" s="872">
        <f t="shared" si="18"/>
        <v>82913.948542859507</v>
      </c>
      <c r="I63" s="872">
        <f>(('Table 3 Levels 1&amp;2'!AL67-D63)+('Table 4 Level 3'!P65-F63))*C63</f>
        <v>9212.6609492066018</v>
      </c>
      <c r="J63" s="872">
        <f t="shared" si="19"/>
        <v>-207</v>
      </c>
      <c r="K63" s="873">
        <f t="shared" si="20"/>
        <v>82706.948542859507</v>
      </c>
      <c r="L63" s="873">
        <f>'[9]Oct midyear adj_LA virtual'!$M65</f>
        <v>0</v>
      </c>
      <c r="M63" s="874">
        <f t="shared" si="21"/>
        <v>82706.948542859507</v>
      </c>
      <c r="N63" s="874">
        <f t="shared" si="22"/>
        <v>6892</v>
      </c>
      <c r="O63" s="875">
        <f>'[8]FY2012-13 Initial'!$K67*90%</f>
        <v>3418.2000000000003</v>
      </c>
      <c r="P63" s="876">
        <f t="shared" si="23"/>
        <v>58109.4</v>
      </c>
      <c r="Q63" s="876">
        <f t="shared" si="24"/>
        <v>-145</v>
      </c>
      <c r="R63" s="876">
        <f t="shared" si="25"/>
        <v>57964.4</v>
      </c>
      <c r="S63" s="875">
        <f>'[9]Oct midyear adj_LA virtual'!$P65</f>
        <v>0</v>
      </c>
      <c r="T63" s="893">
        <f t="shared" si="26"/>
        <v>57964.4</v>
      </c>
      <c r="U63" s="893">
        <f t="shared" si="27"/>
        <v>4830</v>
      </c>
      <c r="V63" s="877">
        <f t="shared" si="28"/>
        <v>140671.34854285952</v>
      </c>
      <c r="W63" s="877">
        <f t="shared" si="29"/>
        <v>11722</v>
      </c>
    </row>
    <row r="64" spans="1:23" s="572" customFormat="1" ht="17.25" customHeight="1">
      <c r="A64" s="103">
        <v>61</v>
      </c>
      <c r="B64" s="834" t="s">
        <v>161</v>
      </c>
      <c r="C64" s="854">
        <f>'Table 8 2.1.12 MFP Funded'!U64</f>
        <v>16</v>
      </c>
      <c r="D64" s="855">
        <f>'Table 3 Levels 1&amp;2'!AL68*90%</f>
        <v>2756.9799328126755</v>
      </c>
      <c r="E64" s="855">
        <f t="shared" si="16"/>
        <v>44111.678925002809</v>
      </c>
      <c r="F64" s="856">
        <f>'Table 4 Level 3'!P66*90%</f>
        <v>750.33899999999994</v>
      </c>
      <c r="G64" s="856">
        <f t="shared" si="17"/>
        <v>12005.423999999999</v>
      </c>
      <c r="H64" s="856">
        <f t="shared" si="18"/>
        <v>56117.102925002808</v>
      </c>
      <c r="I64" s="856">
        <f>(('Table 3 Levels 1&amp;2'!AL68-D64)+('Table 4 Level 3'!P66-F64))*C64</f>
        <v>6235.2336583336419</v>
      </c>
      <c r="J64" s="856">
        <f t="shared" si="19"/>
        <v>-140</v>
      </c>
      <c r="K64" s="857">
        <f t="shared" si="20"/>
        <v>55977.102925002808</v>
      </c>
      <c r="L64" s="857">
        <f>'[9]Oct midyear adj_LA virtual'!$M66</f>
        <v>-3381.8045293498144</v>
      </c>
      <c r="M64" s="858">
        <f t="shared" si="21"/>
        <v>52595.298395652993</v>
      </c>
      <c r="N64" s="858">
        <f t="shared" si="22"/>
        <v>4383</v>
      </c>
      <c r="O64" s="859">
        <f>'[8]FY2012-13 Initial'!$K68*90%</f>
        <v>6054.3</v>
      </c>
      <c r="P64" s="860">
        <f t="shared" si="23"/>
        <v>96868.800000000003</v>
      </c>
      <c r="Q64" s="860">
        <f t="shared" si="24"/>
        <v>-242</v>
      </c>
      <c r="R64" s="860">
        <f t="shared" si="25"/>
        <v>96626.8</v>
      </c>
      <c r="S64" s="859">
        <f>'[9]Oct midyear adj_LA virtual'!$P66</f>
        <v>-5440.5</v>
      </c>
      <c r="T64" s="891">
        <f t="shared" si="26"/>
        <v>91186.3</v>
      </c>
      <c r="U64" s="891">
        <f t="shared" si="27"/>
        <v>7599</v>
      </c>
      <c r="V64" s="861">
        <f t="shared" si="28"/>
        <v>143781.59839565301</v>
      </c>
      <c r="W64" s="861">
        <f t="shared" si="29"/>
        <v>11982</v>
      </c>
    </row>
    <row r="65" spans="1:23" s="572" customFormat="1" ht="17.25" customHeight="1">
      <c r="A65" s="103">
        <v>62</v>
      </c>
      <c r="B65" s="834" t="s">
        <v>162</v>
      </c>
      <c r="C65" s="862">
        <f>'Table 8 2.1.12 MFP Funded'!U65</f>
        <v>1</v>
      </c>
      <c r="D65" s="863">
        <f>'Table 3 Levels 1&amp;2'!AL69*90%</f>
        <v>5008.1809372827001</v>
      </c>
      <c r="E65" s="863">
        <f t="shared" si="16"/>
        <v>5008.1809372827001</v>
      </c>
      <c r="F65" s="864">
        <f>'Table 4 Level 3'!P67*90%</f>
        <v>464.47200000000004</v>
      </c>
      <c r="G65" s="864">
        <f t="shared" si="17"/>
        <v>464.47200000000004</v>
      </c>
      <c r="H65" s="864">
        <f t="shared" si="18"/>
        <v>5472.6529372826999</v>
      </c>
      <c r="I65" s="864">
        <f>(('Table 3 Levels 1&amp;2'!AL69-D65)+('Table 4 Level 3'!P67-F65))*C65</f>
        <v>608.07254858696683</v>
      </c>
      <c r="J65" s="864">
        <f t="shared" si="19"/>
        <v>-14</v>
      </c>
      <c r="K65" s="865">
        <f t="shared" si="20"/>
        <v>5458.6529372826999</v>
      </c>
      <c r="L65" s="865">
        <f>'[9]Oct midyear adj_LA virtual'!$M67</f>
        <v>0</v>
      </c>
      <c r="M65" s="866">
        <f t="shared" si="21"/>
        <v>5458.6529372826999</v>
      </c>
      <c r="N65" s="866">
        <f t="shared" si="22"/>
        <v>455</v>
      </c>
      <c r="O65" s="867">
        <f>'[8]FY2012-13 Initial'!$K69*90%</f>
        <v>1510.2</v>
      </c>
      <c r="P65" s="868">
        <f t="shared" si="23"/>
        <v>1510.2</v>
      </c>
      <c r="Q65" s="868">
        <f t="shared" si="24"/>
        <v>-4</v>
      </c>
      <c r="R65" s="868">
        <f t="shared" si="25"/>
        <v>1506.2</v>
      </c>
      <c r="S65" s="867">
        <f>'[9]Oct midyear adj_LA virtual'!$P67</f>
        <v>0</v>
      </c>
      <c r="T65" s="892">
        <f t="shared" si="26"/>
        <v>1506.2</v>
      </c>
      <c r="U65" s="892">
        <f t="shared" si="27"/>
        <v>126</v>
      </c>
      <c r="V65" s="869">
        <f t="shared" si="28"/>
        <v>6964.8529372826997</v>
      </c>
      <c r="W65" s="869">
        <f t="shared" si="29"/>
        <v>581</v>
      </c>
    </row>
    <row r="66" spans="1:23" s="572" customFormat="1" ht="17.25" customHeight="1">
      <c r="A66" s="103">
        <v>63</v>
      </c>
      <c r="B66" s="834" t="s">
        <v>163</v>
      </c>
      <c r="C66" s="862">
        <f>'Table 8 2.1.12 MFP Funded'!U66</f>
        <v>0</v>
      </c>
      <c r="D66" s="863">
        <f>'Table 3 Levels 1&amp;2'!AL70*90%</f>
        <v>3972.7597802972887</v>
      </c>
      <c r="E66" s="863">
        <f t="shared" si="16"/>
        <v>0</v>
      </c>
      <c r="F66" s="864">
        <f>'Table 4 Level 3'!P68*90%</f>
        <v>681.11099999999999</v>
      </c>
      <c r="G66" s="864">
        <f t="shared" si="17"/>
        <v>0</v>
      </c>
      <c r="H66" s="864">
        <f t="shared" si="18"/>
        <v>0</v>
      </c>
      <c r="I66" s="864">
        <f>(('Table 3 Levels 1&amp;2'!AL70-D66)+('Table 4 Level 3'!P68-F66))*C66</f>
        <v>0</v>
      </c>
      <c r="J66" s="864">
        <f t="shared" si="19"/>
        <v>0</v>
      </c>
      <c r="K66" s="865">
        <f t="shared" si="20"/>
        <v>0</v>
      </c>
      <c r="L66" s="865">
        <f>'[9]Oct midyear adj_LA virtual'!$M68</f>
        <v>0</v>
      </c>
      <c r="M66" s="866">
        <f t="shared" si="21"/>
        <v>0</v>
      </c>
      <c r="N66" s="866">
        <f t="shared" si="22"/>
        <v>0</v>
      </c>
      <c r="O66" s="867">
        <f>'[8]FY2012-13 Initial'!$K70*90%</f>
        <v>5871.6</v>
      </c>
      <c r="P66" s="868">
        <f t="shared" si="23"/>
        <v>0</v>
      </c>
      <c r="Q66" s="868">
        <f t="shared" si="24"/>
        <v>0</v>
      </c>
      <c r="R66" s="868">
        <f t="shared" si="25"/>
        <v>0</v>
      </c>
      <c r="S66" s="867">
        <f>'[9]Oct midyear adj_LA virtual'!$P68</f>
        <v>0</v>
      </c>
      <c r="T66" s="892">
        <f t="shared" si="26"/>
        <v>0</v>
      </c>
      <c r="U66" s="892">
        <f t="shared" si="27"/>
        <v>0</v>
      </c>
      <c r="V66" s="869">
        <f t="shared" si="28"/>
        <v>0</v>
      </c>
      <c r="W66" s="869">
        <f t="shared" si="29"/>
        <v>0</v>
      </c>
    </row>
    <row r="67" spans="1:23" s="572" customFormat="1" ht="17.25" customHeight="1">
      <c r="A67" s="103">
        <v>64</v>
      </c>
      <c r="B67" s="834" t="s">
        <v>164</v>
      </c>
      <c r="C67" s="862">
        <f>'Table 8 2.1.12 MFP Funded'!U67</f>
        <v>2</v>
      </c>
      <c r="D67" s="863">
        <f>'Table 3 Levels 1&amp;2'!AL71*90%</f>
        <v>5283.9437230731628</v>
      </c>
      <c r="E67" s="863">
        <f t="shared" si="16"/>
        <v>10567.887446146326</v>
      </c>
      <c r="F67" s="864">
        <f>'Table 4 Level 3'!P69*90%</f>
        <v>533.39400000000001</v>
      </c>
      <c r="G67" s="864">
        <f t="shared" si="17"/>
        <v>1066.788</v>
      </c>
      <c r="H67" s="864">
        <f t="shared" si="18"/>
        <v>11634.675446146326</v>
      </c>
      <c r="I67" s="864">
        <f>(('Table 3 Levels 1&amp;2'!AL71-D67)+('Table 4 Level 3'!P69-F67))*C67</f>
        <v>1292.7417162384797</v>
      </c>
      <c r="J67" s="864">
        <f t="shared" si="19"/>
        <v>-29</v>
      </c>
      <c r="K67" s="865">
        <f t="shared" si="20"/>
        <v>11605.675446146326</v>
      </c>
      <c r="L67" s="865">
        <f>'[9]Oct midyear adj_LA virtual'!$M69</f>
        <v>0</v>
      </c>
      <c r="M67" s="866">
        <f t="shared" si="21"/>
        <v>11605.675446146326</v>
      </c>
      <c r="N67" s="866">
        <f t="shared" si="22"/>
        <v>967</v>
      </c>
      <c r="O67" s="867">
        <f>'[8]FY2012-13 Initial'!$K71*90%</f>
        <v>2392.2000000000003</v>
      </c>
      <c r="P67" s="868">
        <f t="shared" si="23"/>
        <v>4784.4000000000005</v>
      </c>
      <c r="Q67" s="868">
        <f t="shared" si="24"/>
        <v>-12</v>
      </c>
      <c r="R67" s="868">
        <f t="shared" si="25"/>
        <v>4772.4000000000005</v>
      </c>
      <c r="S67" s="867">
        <f>'[9]Oct midyear adj_LA virtual'!$P69</f>
        <v>0</v>
      </c>
      <c r="T67" s="892">
        <f t="shared" si="26"/>
        <v>4772.4000000000005</v>
      </c>
      <c r="U67" s="892">
        <f t="shared" si="27"/>
        <v>398</v>
      </c>
      <c r="V67" s="869">
        <f t="shared" si="28"/>
        <v>16378.075446146326</v>
      </c>
      <c r="W67" s="869">
        <f t="shared" si="29"/>
        <v>1365</v>
      </c>
    </row>
    <row r="68" spans="1:23" s="572" customFormat="1" ht="17.25" customHeight="1">
      <c r="A68" s="104">
        <v>65</v>
      </c>
      <c r="B68" s="835" t="s">
        <v>165</v>
      </c>
      <c r="C68" s="870">
        <f>'Table 8 2.1.12 MFP Funded'!U68</f>
        <v>5</v>
      </c>
      <c r="D68" s="871">
        <f>'Table 3 Levels 1&amp;2'!AL72*90%</f>
        <v>4141.9842256187912</v>
      </c>
      <c r="E68" s="871">
        <f t="shared" si="16"/>
        <v>20709.921128093956</v>
      </c>
      <c r="F68" s="872">
        <f>'Table 4 Level 3'!P70*90%</f>
        <v>746.20799999999997</v>
      </c>
      <c r="G68" s="872">
        <f t="shared" si="17"/>
        <v>3731.04</v>
      </c>
      <c r="H68" s="872">
        <f t="shared" si="18"/>
        <v>24440.961128093957</v>
      </c>
      <c r="I68" s="872">
        <f>(('Table 3 Levels 1&amp;2'!AL72-D68)+('Table 4 Level 3'!P70-F68))*C68</f>
        <v>2715.6623475659935</v>
      </c>
      <c r="J68" s="872">
        <f t="shared" si="19"/>
        <v>-61</v>
      </c>
      <c r="K68" s="873">
        <f t="shared" si="20"/>
        <v>24379.961128093957</v>
      </c>
      <c r="L68" s="873">
        <f>'[9]Oct midyear adj_LA virtual'!$M70</f>
        <v>0</v>
      </c>
      <c r="M68" s="874">
        <f t="shared" si="21"/>
        <v>24379.961128093957</v>
      </c>
      <c r="N68" s="874">
        <f t="shared" si="22"/>
        <v>2032</v>
      </c>
      <c r="O68" s="875">
        <f>'[8]FY2012-13 Initial'!$K72*90%</f>
        <v>4167.9000000000005</v>
      </c>
      <c r="P68" s="876">
        <f t="shared" si="23"/>
        <v>20839.500000000004</v>
      </c>
      <c r="Q68" s="876">
        <f t="shared" si="24"/>
        <v>-52</v>
      </c>
      <c r="R68" s="876">
        <f t="shared" si="25"/>
        <v>20787.500000000004</v>
      </c>
      <c r="S68" s="875">
        <f>'[9]Oct midyear adj_LA virtual'!$P70</f>
        <v>0</v>
      </c>
      <c r="T68" s="893">
        <f t="shared" si="26"/>
        <v>20787.500000000004</v>
      </c>
      <c r="U68" s="893">
        <f t="shared" si="27"/>
        <v>1732</v>
      </c>
      <c r="V68" s="877">
        <f t="shared" si="28"/>
        <v>45167.461128093957</v>
      </c>
      <c r="W68" s="877">
        <f t="shared" si="29"/>
        <v>3764</v>
      </c>
    </row>
    <row r="69" spans="1:23" s="572" customFormat="1" ht="17.25" customHeight="1">
      <c r="A69" s="103">
        <v>66</v>
      </c>
      <c r="B69" s="834" t="s">
        <v>166</v>
      </c>
      <c r="C69" s="854">
        <f>'Table 8 2.1.12 MFP Funded'!U69</f>
        <v>4</v>
      </c>
      <c r="D69" s="855">
        <f>'Table 3 Levels 1&amp;2'!AL73*90%</f>
        <v>5619.5021024235066</v>
      </c>
      <c r="E69" s="855">
        <f t="shared" ref="E69:E72" si="30">C69*D69</f>
        <v>22478.008409694026</v>
      </c>
      <c r="F69" s="856">
        <f>'Table 4 Level 3'!P71*90%</f>
        <v>657.05399999999997</v>
      </c>
      <c r="G69" s="856">
        <f t="shared" ref="G69:G72" si="31">F69*C69</f>
        <v>2628.2159999999999</v>
      </c>
      <c r="H69" s="856">
        <f t="shared" ref="H69:H72" si="32">E69+G69</f>
        <v>25106.224409694027</v>
      </c>
      <c r="I69" s="856">
        <f>(('Table 3 Levels 1&amp;2'!AL73-D69)+('Table 4 Level 3'!P71-F69))*C69</f>
        <v>2789.580489966002</v>
      </c>
      <c r="J69" s="856">
        <f t="shared" ref="J69:J72" si="33">ROUND(-0.25%*H69,0)</f>
        <v>-63</v>
      </c>
      <c r="K69" s="857">
        <f t="shared" ref="K69:K72" si="34">H69+J69</f>
        <v>25043.224409694027</v>
      </c>
      <c r="L69" s="857">
        <f>'[9]Oct midyear adj_LA virtual'!$M71</f>
        <v>0</v>
      </c>
      <c r="M69" s="858">
        <f t="shared" ref="M69:M72" si="35">SUM(K69:L69)</f>
        <v>25043.224409694027</v>
      </c>
      <c r="N69" s="858">
        <f t="shared" ref="N69:N72" si="36">ROUND(M69/12,0)</f>
        <v>2087</v>
      </c>
      <c r="O69" s="859">
        <f>'[8]FY2012-13 Initial'!$K73*90%</f>
        <v>3098.7000000000003</v>
      </c>
      <c r="P69" s="860">
        <f t="shared" ref="P69:P72" si="37">O69*C69</f>
        <v>12394.800000000001</v>
      </c>
      <c r="Q69" s="860">
        <f t="shared" ref="Q69:Q72" si="38">ROUND(P69*-0.25%,0)</f>
        <v>-31</v>
      </c>
      <c r="R69" s="860">
        <f t="shared" ref="R69:R72" si="39">SUM(P69:Q69)</f>
        <v>12363.800000000001</v>
      </c>
      <c r="S69" s="859">
        <f>'[9]Oct midyear adj_LA virtual'!$P71</f>
        <v>0</v>
      </c>
      <c r="T69" s="891">
        <f t="shared" ref="T69:T72" si="40">SUM(R69:S69)</f>
        <v>12363.800000000001</v>
      </c>
      <c r="U69" s="891">
        <f t="shared" ref="U69:U72" si="41">ROUND(T69/12,0)</f>
        <v>1030</v>
      </c>
      <c r="V69" s="861">
        <f t="shared" ref="V69:V72" si="42">T69+M69</f>
        <v>37407.02440969403</v>
      </c>
      <c r="W69" s="861">
        <f t="shared" ref="W69:W72" si="43">N69+U69</f>
        <v>3117</v>
      </c>
    </row>
    <row r="70" spans="1:23" s="572" customFormat="1" ht="17.25" customHeight="1">
      <c r="A70" s="103">
        <v>67</v>
      </c>
      <c r="B70" s="834" t="s">
        <v>33</v>
      </c>
      <c r="C70" s="862">
        <f>'Table 8 2.1.12 MFP Funded'!U70</f>
        <v>2</v>
      </c>
      <c r="D70" s="863">
        <f>'Table 3 Levels 1&amp;2'!AL74*90%</f>
        <v>4544.6840908962813</v>
      </c>
      <c r="E70" s="863">
        <f t="shared" si="30"/>
        <v>9089.3681817925626</v>
      </c>
      <c r="F70" s="864">
        <f>'Table 4 Level 3'!P72*90%</f>
        <v>644.04899999999998</v>
      </c>
      <c r="G70" s="864">
        <f t="shared" si="31"/>
        <v>1288.098</v>
      </c>
      <c r="H70" s="864">
        <f t="shared" si="32"/>
        <v>10377.466181792563</v>
      </c>
      <c r="I70" s="864">
        <f>(('Table 3 Levels 1&amp;2'!AL74-D70)+('Table 4 Level 3'!P72-F70))*C70</f>
        <v>1153.0517979769509</v>
      </c>
      <c r="J70" s="864">
        <f t="shared" si="33"/>
        <v>-26</v>
      </c>
      <c r="K70" s="865">
        <f t="shared" si="34"/>
        <v>10351.466181792563</v>
      </c>
      <c r="L70" s="865">
        <f>'[9]Oct midyear adj_LA virtual'!$M72</f>
        <v>0</v>
      </c>
      <c r="M70" s="866">
        <f t="shared" si="35"/>
        <v>10351.466181792563</v>
      </c>
      <c r="N70" s="866">
        <f t="shared" si="36"/>
        <v>863</v>
      </c>
      <c r="O70" s="867">
        <f>'[8]FY2012-13 Initial'!$K74*90%</f>
        <v>4051.8</v>
      </c>
      <c r="P70" s="868">
        <f t="shared" si="37"/>
        <v>8103.6</v>
      </c>
      <c r="Q70" s="868">
        <f t="shared" si="38"/>
        <v>-20</v>
      </c>
      <c r="R70" s="868">
        <f t="shared" si="39"/>
        <v>8083.6</v>
      </c>
      <c r="S70" s="867">
        <f>'[9]Oct midyear adj_LA virtual'!$P72</f>
        <v>0</v>
      </c>
      <c r="T70" s="892">
        <f t="shared" si="40"/>
        <v>8083.6</v>
      </c>
      <c r="U70" s="892">
        <f t="shared" si="41"/>
        <v>674</v>
      </c>
      <c r="V70" s="869">
        <f t="shared" si="42"/>
        <v>18435.066181792565</v>
      </c>
      <c r="W70" s="869">
        <f t="shared" si="43"/>
        <v>1537</v>
      </c>
    </row>
    <row r="71" spans="1:23" s="572" customFormat="1" ht="17.25" customHeight="1">
      <c r="A71" s="103">
        <v>68</v>
      </c>
      <c r="B71" s="834" t="s">
        <v>31</v>
      </c>
      <c r="C71" s="862">
        <f>'Table 8 2.1.12 MFP Funded'!U71</f>
        <v>4</v>
      </c>
      <c r="D71" s="863">
        <f>'Table 3 Levels 1&amp;2'!AL75*90%</f>
        <v>5275.5750725018061</v>
      </c>
      <c r="E71" s="863">
        <f t="shared" si="30"/>
        <v>21102.300290007224</v>
      </c>
      <c r="F71" s="864">
        <f>'Table 4 Level 3'!P73*90%</f>
        <v>718.83</v>
      </c>
      <c r="G71" s="864">
        <f t="shared" si="31"/>
        <v>2875.32</v>
      </c>
      <c r="H71" s="864">
        <f t="shared" si="32"/>
        <v>23977.620290007224</v>
      </c>
      <c r="I71" s="864">
        <f>(('Table 3 Levels 1&amp;2'!AL75-D71)+('Table 4 Level 3'!P73-F71))*C71</f>
        <v>2664.1800322230233</v>
      </c>
      <c r="J71" s="864">
        <f t="shared" si="33"/>
        <v>-60</v>
      </c>
      <c r="K71" s="865">
        <f t="shared" si="34"/>
        <v>23917.620290007224</v>
      </c>
      <c r="L71" s="865">
        <f>'[9]Oct midyear adj_LA virtual'!$M73</f>
        <v>0</v>
      </c>
      <c r="M71" s="866">
        <f t="shared" si="35"/>
        <v>23917.620290007224</v>
      </c>
      <c r="N71" s="866">
        <f t="shared" si="36"/>
        <v>1993</v>
      </c>
      <c r="O71" s="867">
        <f>'[8]FY2012-13 Initial'!$K75*90%</f>
        <v>2328.3000000000002</v>
      </c>
      <c r="P71" s="868">
        <f t="shared" si="37"/>
        <v>9313.2000000000007</v>
      </c>
      <c r="Q71" s="868">
        <f t="shared" si="38"/>
        <v>-23</v>
      </c>
      <c r="R71" s="868">
        <f t="shared" si="39"/>
        <v>9290.2000000000007</v>
      </c>
      <c r="S71" s="867">
        <f>'[9]Oct midyear adj_LA virtual'!$P73</f>
        <v>0</v>
      </c>
      <c r="T71" s="892">
        <f t="shared" si="40"/>
        <v>9290.2000000000007</v>
      </c>
      <c r="U71" s="892">
        <f t="shared" si="41"/>
        <v>774</v>
      </c>
      <c r="V71" s="869">
        <f t="shared" si="42"/>
        <v>33207.820290007221</v>
      </c>
      <c r="W71" s="869">
        <f t="shared" si="43"/>
        <v>2767</v>
      </c>
    </row>
    <row r="72" spans="1:23" s="572" customFormat="1" ht="17.25" customHeight="1">
      <c r="A72" s="103">
        <v>69</v>
      </c>
      <c r="B72" s="834" t="s">
        <v>235</v>
      </c>
      <c r="C72" s="862">
        <f>'Table 8 2.1.12 MFP Funded'!U72</f>
        <v>10</v>
      </c>
      <c r="D72" s="863">
        <f>'Table 3 Levels 1&amp;2'!AL76*90%</f>
        <v>4957.5057556670963</v>
      </c>
      <c r="E72" s="863">
        <f t="shared" si="30"/>
        <v>49575.057556670959</v>
      </c>
      <c r="F72" s="864">
        <f>'Table 4 Level 3'!P74*90%</f>
        <v>635.10299999999995</v>
      </c>
      <c r="G72" s="864">
        <f t="shared" si="31"/>
        <v>6351.03</v>
      </c>
      <c r="H72" s="864">
        <f t="shared" si="32"/>
        <v>55926.087556670958</v>
      </c>
      <c r="I72" s="864">
        <f>(('Table 3 Levels 1&amp;2'!AL76-D72)+('Table 4 Level 3'!P74-F72))*C72</f>
        <v>6214.009728518995</v>
      </c>
      <c r="J72" s="864">
        <f t="shared" si="33"/>
        <v>-140</v>
      </c>
      <c r="K72" s="865">
        <f t="shared" si="34"/>
        <v>55786.087556670958</v>
      </c>
      <c r="L72" s="865">
        <f>'[9]Oct midyear adj_LA virtual'!$M74</f>
        <v>0</v>
      </c>
      <c r="M72" s="866">
        <f t="shared" si="35"/>
        <v>55786.087556670958</v>
      </c>
      <c r="N72" s="866">
        <f t="shared" si="36"/>
        <v>4649</v>
      </c>
      <c r="O72" s="867">
        <f>'[8]FY2012-13 Initial'!$K76*90%</f>
        <v>2909.7000000000003</v>
      </c>
      <c r="P72" s="868">
        <f t="shared" si="37"/>
        <v>29097.000000000004</v>
      </c>
      <c r="Q72" s="868">
        <f t="shared" si="38"/>
        <v>-73</v>
      </c>
      <c r="R72" s="868">
        <f t="shared" si="39"/>
        <v>29024.000000000004</v>
      </c>
      <c r="S72" s="867">
        <f>'[9]Oct midyear adj_LA virtual'!$P74</f>
        <v>0</v>
      </c>
      <c r="T72" s="892">
        <f t="shared" si="40"/>
        <v>29024.000000000004</v>
      </c>
      <c r="U72" s="892">
        <f t="shared" si="41"/>
        <v>2419</v>
      </c>
      <c r="V72" s="869">
        <f t="shared" si="42"/>
        <v>84810.087556670958</v>
      </c>
      <c r="W72" s="869">
        <f t="shared" si="43"/>
        <v>7068</v>
      </c>
    </row>
    <row r="73" spans="1:23" s="884" customFormat="1" ht="24" customHeight="1">
      <c r="A73" s="878"/>
      <c r="B73" s="836" t="s">
        <v>716</v>
      </c>
      <c r="C73" s="879">
        <f>SUM(C4:C72)</f>
        <v>1242</v>
      </c>
      <c r="D73" s="880"/>
      <c r="E73" s="880">
        <f t="shared" ref="E73:N73" si="44">SUM(E4:E72)</f>
        <v>4847097.5814927956</v>
      </c>
      <c r="F73" s="881"/>
      <c r="G73" s="881">
        <f t="shared" si="44"/>
        <v>788076.91607298038</v>
      </c>
      <c r="H73" s="881">
        <f t="shared" si="44"/>
        <v>5635174.4975657761</v>
      </c>
      <c r="I73" s="881">
        <f t="shared" si="44"/>
        <v>626130.4997295303</v>
      </c>
      <c r="J73" s="881">
        <f t="shared" si="44"/>
        <v>-14088</v>
      </c>
      <c r="K73" s="882">
        <f t="shared" si="44"/>
        <v>5621086.4975657761</v>
      </c>
      <c r="L73" s="882">
        <f t="shared" si="44"/>
        <v>-40618.220291947844</v>
      </c>
      <c r="M73" s="883">
        <f t="shared" si="44"/>
        <v>5580468.2772738282</v>
      </c>
      <c r="N73" s="883">
        <f t="shared" si="44"/>
        <v>465039</v>
      </c>
      <c r="O73" s="837"/>
      <c r="P73" s="838">
        <f>SUM(P4:P72)</f>
        <v>4693332.6000000006</v>
      </c>
      <c r="Q73" s="838">
        <f t="shared" ref="Q73:W73" si="45">SUM(Q4:Q72)</f>
        <v>-11734</v>
      </c>
      <c r="R73" s="838">
        <f t="shared" si="45"/>
        <v>4681598.6000000006</v>
      </c>
      <c r="S73" s="838">
        <f t="shared" si="45"/>
        <v>-32909.4</v>
      </c>
      <c r="T73" s="894">
        <f t="shared" si="45"/>
        <v>4648689.2000000011</v>
      </c>
      <c r="U73" s="894">
        <f t="shared" si="45"/>
        <v>387393</v>
      </c>
      <c r="V73" s="838">
        <f t="shared" si="45"/>
        <v>10229157.477273829</v>
      </c>
      <c r="W73" s="838">
        <f t="shared" si="45"/>
        <v>852432</v>
      </c>
    </row>
    <row r="74" spans="1:23" s="844" customFormat="1" ht="10.5" customHeight="1">
      <c r="A74" s="853"/>
      <c r="B74" s="852"/>
      <c r="C74" s="840"/>
      <c r="D74" s="841"/>
      <c r="E74" s="841"/>
      <c r="F74" s="841"/>
      <c r="G74" s="841"/>
      <c r="H74" s="841"/>
      <c r="I74" s="841"/>
      <c r="J74" s="841"/>
      <c r="K74" s="841"/>
      <c r="L74" s="841"/>
      <c r="M74" s="841"/>
      <c r="N74" s="841"/>
      <c r="O74" s="842"/>
      <c r="P74" s="842"/>
      <c r="Q74" s="843"/>
      <c r="R74" s="843"/>
      <c r="S74" s="843"/>
      <c r="T74" s="842"/>
      <c r="U74" s="842"/>
      <c r="V74" s="842"/>
      <c r="W74" s="842"/>
    </row>
    <row r="75" spans="1:23" s="572" customFormat="1" ht="18.75" customHeight="1">
      <c r="A75" s="853"/>
      <c r="B75" s="889" t="s">
        <v>719</v>
      </c>
      <c r="C75" s="568"/>
      <c r="D75" s="569"/>
      <c r="E75" s="569"/>
      <c r="F75" s="571"/>
      <c r="G75" s="571"/>
      <c r="H75" s="571"/>
      <c r="I75" s="571"/>
      <c r="J75" s="571">
        <f>-J73</f>
        <v>14088</v>
      </c>
      <c r="K75" s="745">
        <f>J75</f>
        <v>14088</v>
      </c>
      <c r="L75" s="745"/>
      <c r="M75" s="744">
        <f>K75</f>
        <v>14088</v>
      </c>
      <c r="N75" s="744"/>
      <c r="O75" s="570"/>
      <c r="P75" s="600"/>
      <c r="Q75" s="600">
        <f>-Q73</f>
        <v>11734</v>
      </c>
      <c r="R75" s="600">
        <f>Q75</f>
        <v>11734</v>
      </c>
      <c r="S75" s="600"/>
      <c r="T75" s="895">
        <f>Q75</f>
        <v>11734</v>
      </c>
      <c r="U75" s="895"/>
      <c r="V75" s="601">
        <f t="shared" ref="V75" si="46">T75+M75</f>
        <v>25822</v>
      </c>
      <c r="W75" s="601"/>
    </row>
    <row r="76" spans="1:23" s="844" customFormat="1" ht="10.5" customHeight="1">
      <c r="A76" s="853"/>
      <c r="B76" s="852"/>
      <c r="C76" s="840"/>
      <c r="D76" s="841"/>
      <c r="E76" s="841"/>
      <c r="F76" s="841"/>
      <c r="G76" s="841"/>
      <c r="H76" s="841"/>
      <c r="I76" s="841"/>
      <c r="J76" s="841"/>
      <c r="K76" s="841"/>
      <c r="L76" s="841"/>
      <c r="M76" s="841"/>
      <c r="N76" s="841"/>
      <c r="O76" s="842"/>
      <c r="P76" s="842"/>
      <c r="Q76" s="843"/>
      <c r="R76" s="843"/>
      <c r="S76" s="843"/>
      <c r="T76" s="842"/>
      <c r="U76" s="842"/>
      <c r="V76" s="842"/>
      <c r="W76" s="842"/>
    </row>
    <row r="77" spans="1:23" s="888" customFormat="1" ht="33.75" customHeight="1">
      <c r="A77" s="885"/>
      <c r="B77" s="845" t="s">
        <v>717</v>
      </c>
      <c r="C77" s="886">
        <f>SUM(C73:C76)</f>
        <v>1242</v>
      </c>
      <c r="D77" s="887"/>
      <c r="E77" s="887">
        <f t="shared" ref="E77:V77" si="47">SUM(E73:E76)</f>
        <v>4847097.5814927956</v>
      </c>
      <c r="F77" s="846"/>
      <c r="G77" s="846">
        <f t="shared" si="47"/>
        <v>788076.91607298038</v>
      </c>
      <c r="H77" s="846">
        <f t="shared" si="47"/>
        <v>5635174.4975657761</v>
      </c>
      <c r="I77" s="846"/>
      <c r="J77" s="846">
        <f t="shared" si="47"/>
        <v>0</v>
      </c>
      <c r="K77" s="847">
        <f t="shared" si="47"/>
        <v>5635174.4975657761</v>
      </c>
      <c r="L77" s="847">
        <f t="shared" si="47"/>
        <v>-40618.220291947844</v>
      </c>
      <c r="M77" s="848">
        <f t="shared" si="47"/>
        <v>5594556.2772738282</v>
      </c>
      <c r="N77" s="848"/>
      <c r="O77" s="849"/>
      <c r="P77" s="850">
        <f t="shared" si="47"/>
        <v>4693332.6000000006</v>
      </c>
      <c r="Q77" s="850">
        <f t="shared" si="47"/>
        <v>0</v>
      </c>
      <c r="R77" s="850">
        <f t="shared" si="47"/>
        <v>4693332.6000000006</v>
      </c>
      <c r="S77" s="850">
        <f t="shared" si="47"/>
        <v>-32909.4</v>
      </c>
      <c r="T77" s="896">
        <f t="shared" si="47"/>
        <v>4660423.2000000011</v>
      </c>
      <c r="U77" s="896"/>
      <c r="V77" s="851">
        <f t="shared" si="47"/>
        <v>10254979.477273829</v>
      </c>
      <c r="W77" s="851"/>
    </row>
    <row r="78" spans="1:23" ht="12.75" customHeight="1">
      <c r="B78" s="573"/>
      <c r="C78" s="574"/>
      <c r="D78" s="575"/>
      <c r="E78" s="574"/>
      <c r="F78" s="574"/>
      <c r="G78" s="574"/>
      <c r="H78" s="576"/>
      <c r="I78" s="576"/>
      <c r="J78" s="576"/>
      <c r="K78" s="576"/>
      <c r="L78" s="576"/>
      <c r="M78" s="576"/>
      <c r="N78" s="576"/>
    </row>
    <row r="79" spans="1:23" ht="25.5" customHeight="1">
      <c r="C79" s="1860"/>
      <c r="D79" s="1860"/>
      <c r="E79" s="1860"/>
      <c r="F79" s="1860"/>
      <c r="G79" s="1860"/>
      <c r="H79" s="1860"/>
      <c r="I79" s="1860"/>
      <c r="J79" s="1860"/>
      <c r="K79" s="1860"/>
      <c r="L79" s="1860"/>
      <c r="M79" s="1860"/>
      <c r="N79" s="1860"/>
    </row>
    <row r="80" spans="1:23" s="787" customFormat="1" ht="0.75" customHeight="1">
      <c r="C80" s="785"/>
      <c r="D80" s="786"/>
      <c r="E80" s="786"/>
      <c r="F80" s="786"/>
      <c r="G80" s="786">
        <f>(G77/90%)*10%</f>
        <v>87564.101785886713</v>
      </c>
      <c r="H80" s="786"/>
      <c r="I80" s="786"/>
      <c r="J80" s="786"/>
    </row>
    <row r="81" spans="2:14" s="787" customFormat="1" ht="62.25" customHeight="1">
      <c r="C81" s="1835"/>
      <c r="D81" s="1835"/>
      <c r="E81" s="1835"/>
      <c r="F81" s="1835"/>
      <c r="G81" s="1835"/>
      <c r="H81" s="1835"/>
      <c r="I81" s="1835"/>
      <c r="J81" s="1835"/>
      <c r="K81" s="1835"/>
      <c r="L81" s="1835"/>
      <c r="M81" s="1835"/>
      <c r="N81" s="1835"/>
    </row>
    <row r="82" spans="2:14" ht="28.5" customHeight="1">
      <c r="C82" s="577"/>
    </row>
    <row r="83" spans="2:14" ht="28.5" customHeight="1">
      <c r="B83" s="578"/>
    </row>
  </sheetData>
  <mergeCells count="25">
    <mergeCell ref="V1:V2"/>
    <mergeCell ref="W1:W2"/>
    <mergeCell ref="B1:B2"/>
    <mergeCell ref="C1:C2"/>
    <mergeCell ref="E1:E2"/>
    <mergeCell ref="F1:F2"/>
    <mergeCell ref="G1:G2"/>
    <mergeCell ref="H1:H2"/>
    <mergeCell ref="J1:J2"/>
    <mergeCell ref="K1:K2"/>
    <mergeCell ref="O1:O2"/>
    <mergeCell ref="P1:P2"/>
    <mergeCell ref="Q1:Q2"/>
    <mergeCell ref="R1:R2"/>
    <mergeCell ref="S1:S2"/>
    <mergeCell ref="A1:A2"/>
    <mergeCell ref="D1:D2"/>
    <mergeCell ref="U1:U2"/>
    <mergeCell ref="C79:N79"/>
    <mergeCell ref="C81:N81"/>
    <mergeCell ref="L1:L2"/>
    <mergeCell ref="M1:M2"/>
    <mergeCell ref="N1:N2"/>
    <mergeCell ref="T1:T2"/>
    <mergeCell ref="I1:I2"/>
  </mergeCells>
  <printOptions horizontalCentered="1"/>
  <pageMargins left="0.2" right="0.32" top="0.86" bottom="0.25" header="0.24" footer="0.25"/>
  <pageSetup paperSize="5" scale="59" firstPageNumber="66" orientation="portrait" useFirstPageNumber="1" r:id="rId1"/>
  <headerFooter alignWithMargins="0">
    <oddHeader>&amp;L&amp;"Arial,Bold"&amp;20Table 5C-2: FY2012-13 Budget Letter 
Type 2 Charter School Allocation (Louisiana Virtual Charter Academy) (July 2012)</oddHeader>
    <oddFooter>&amp;R&amp;P</oddFooter>
  </headerFooter>
  <colBreaks count="2" manualBreakCount="2">
    <brk id="9" max="78" man="1"/>
    <brk id="14" max="78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dimension ref="A1:W83"/>
  <sheetViews>
    <sheetView view="pageBreakPreview" zoomScale="70" zoomScaleNormal="85" zoomScaleSheetLayoutView="70" workbookViewId="0">
      <pane ySplit="3" topLeftCell="A4" activePane="bottomLeft" state="frozen"/>
      <selection activeCell="A8" sqref="A8:A9"/>
      <selection pane="bottomLeft" sqref="A1:A2"/>
    </sheetView>
  </sheetViews>
  <sheetFormatPr defaultRowHeight="60.75" customHeight="1"/>
  <cols>
    <col min="1" max="1" width="3.42578125" style="563" bestFit="1" customWidth="1"/>
    <col min="2" max="2" width="33.28515625" style="563" customWidth="1"/>
    <col min="3" max="3" width="13.5703125" style="563" customWidth="1"/>
    <col min="4" max="4" width="13.42578125" style="563" customWidth="1"/>
    <col min="5" max="5" width="16.140625" style="576" customWidth="1"/>
    <col min="6" max="6" width="16.28515625" style="576" customWidth="1"/>
    <col min="7" max="7" width="15.5703125" style="576" customWidth="1"/>
    <col min="8" max="9" width="18.42578125" style="563" customWidth="1"/>
    <col min="10" max="10" width="16.28515625" style="563" customWidth="1"/>
    <col min="11" max="11" width="18.5703125" style="563" customWidth="1"/>
    <col min="12" max="12" width="17.5703125" style="563" customWidth="1"/>
    <col min="13" max="13" width="17.5703125" style="563" bestFit="1" customWidth="1"/>
    <col min="14" max="14" width="15.28515625" style="563" bestFit="1" customWidth="1"/>
    <col min="15" max="15" width="11.7109375" style="563" customWidth="1"/>
    <col min="16" max="16" width="17.85546875" style="563" customWidth="1"/>
    <col min="17" max="17" width="12.7109375" style="563" bestFit="1" customWidth="1"/>
    <col min="18" max="18" width="15.7109375" style="563" customWidth="1"/>
    <col min="19" max="19" width="14.28515625" style="563" customWidth="1"/>
    <col min="20" max="20" width="15.5703125" style="563" customWidth="1"/>
    <col min="21" max="21" width="13" style="563" customWidth="1"/>
    <col min="22" max="22" width="15.7109375" style="563" customWidth="1"/>
    <col min="23" max="23" width="14.140625" style="563" customWidth="1"/>
    <col min="24" max="16384" width="9.140625" style="563"/>
  </cols>
  <sheetData>
    <row r="1" spans="1:23" ht="60.75" customHeight="1">
      <c r="A1" s="1856" t="s">
        <v>639</v>
      </c>
      <c r="B1" s="1856" t="s">
        <v>1257</v>
      </c>
      <c r="C1" s="1867" t="s">
        <v>718</v>
      </c>
      <c r="D1" s="1670" t="s">
        <v>714</v>
      </c>
      <c r="E1" s="1863" t="s">
        <v>1406</v>
      </c>
      <c r="F1" s="1868" t="s">
        <v>1245</v>
      </c>
      <c r="G1" s="1833" t="s">
        <v>715</v>
      </c>
      <c r="H1" s="1863" t="s">
        <v>1419</v>
      </c>
      <c r="I1" s="1864" t="s">
        <v>1297</v>
      </c>
      <c r="J1" s="1737" t="s">
        <v>635</v>
      </c>
      <c r="K1" s="1863" t="s">
        <v>1420</v>
      </c>
      <c r="L1" s="1861" t="s">
        <v>1197</v>
      </c>
      <c r="M1" s="1863" t="s">
        <v>636</v>
      </c>
      <c r="N1" s="1864" t="s">
        <v>1424</v>
      </c>
      <c r="O1" s="1762" t="s">
        <v>1308</v>
      </c>
      <c r="P1" s="1762" t="s">
        <v>1401</v>
      </c>
      <c r="Q1" s="1869" t="s">
        <v>638</v>
      </c>
      <c r="R1" s="1866" t="s">
        <v>1421</v>
      </c>
      <c r="S1" s="1861" t="s">
        <v>1197</v>
      </c>
      <c r="T1" s="1870" t="s">
        <v>1394</v>
      </c>
      <c r="U1" s="1858" t="s">
        <v>1418</v>
      </c>
      <c r="V1" s="1823" t="s">
        <v>1422</v>
      </c>
      <c r="W1" s="1823" t="s">
        <v>1423</v>
      </c>
    </row>
    <row r="2" spans="1:23" ht="79.5" customHeight="1">
      <c r="A2" s="1857"/>
      <c r="B2" s="1857"/>
      <c r="C2" s="1867"/>
      <c r="D2" s="1672"/>
      <c r="E2" s="1863"/>
      <c r="F2" s="1868"/>
      <c r="G2" s="1834"/>
      <c r="H2" s="1863"/>
      <c r="I2" s="1865"/>
      <c r="J2" s="1672"/>
      <c r="K2" s="1863"/>
      <c r="L2" s="1862"/>
      <c r="M2" s="1863"/>
      <c r="N2" s="1865"/>
      <c r="O2" s="1763"/>
      <c r="P2" s="1763"/>
      <c r="Q2" s="1763"/>
      <c r="R2" s="1859"/>
      <c r="S2" s="1862"/>
      <c r="T2" s="1871"/>
      <c r="U2" s="1859"/>
      <c r="V2" s="1824"/>
      <c r="W2" s="1824"/>
    </row>
    <row r="3" spans="1:23" s="567" customFormat="1" ht="16.5" customHeight="1">
      <c r="A3" s="564"/>
      <c r="B3" s="564"/>
      <c r="C3" s="565">
        <v>1</v>
      </c>
      <c r="D3" s="566">
        <f>C3+1</f>
        <v>2</v>
      </c>
      <c r="E3" s="566">
        <f>D3+1</f>
        <v>3</v>
      </c>
      <c r="F3" s="566">
        <f>E3+1</f>
        <v>4</v>
      </c>
      <c r="G3" s="566">
        <f>F3+1</f>
        <v>5</v>
      </c>
      <c r="H3" s="566">
        <f t="shared" ref="H3" si="0">G3+1</f>
        <v>6</v>
      </c>
      <c r="I3" s="566">
        <f t="shared" ref="I3" si="1">H3+1</f>
        <v>7</v>
      </c>
      <c r="J3" s="566">
        <f t="shared" ref="J3" si="2">I3+1</f>
        <v>8</v>
      </c>
      <c r="K3" s="566">
        <f t="shared" ref="K3" si="3">J3+1</f>
        <v>9</v>
      </c>
      <c r="L3" s="566">
        <f t="shared" ref="L3" si="4">K3+1</f>
        <v>10</v>
      </c>
      <c r="M3" s="566">
        <f t="shared" ref="M3" si="5">L3+1</f>
        <v>11</v>
      </c>
      <c r="N3" s="566">
        <f t="shared" ref="N3" si="6">M3+1</f>
        <v>12</v>
      </c>
      <c r="O3" s="566">
        <f t="shared" ref="O3" si="7">N3+1</f>
        <v>13</v>
      </c>
      <c r="P3" s="566">
        <f t="shared" ref="P3" si="8">O3+1</f>
        <v>14</v>
      </c>
      <c r="Q3" s="566">
        <f t="shared" ref="Q3" si="9">P3+1</f>
        <v>15</v>
      </c>
      <c r="R3" s="566">
        <f t="shared" ref="R3" si="10">Q3+1</f>
        <v>16</v>
      </c>
      <c r="S3" s="566">
        <f t="shared" ref="S3" si="11">R3+1</f>
        <v>17</v>
      </c>
      <c r="T3" s="566">
        <f t="shared" ref="T3" si="12">S3+1</f>
        <v>18</v>
      </c>
      <c r="U3" s="566">
        <f t="shared" ref="U3" si="13">T3+1</f>
        <v>19</v>
      </c>
      <c r="V3" s="566">
        <f t="shared" ref="V3" si="14">U3+1</f>
        <v>20</v>
      </c>
      <c r="W3" s="566">
        <f t="shared" ref="W3" si="15">V3+1</f>
        <v>21</v>
      </c>
    </row>
    <row r="4" spans="1:23" s="572" customFormat="1" ht="16.5" customHeight="1">
      <c r="A4" s="103">
        <v>1</v>
      </c>
      <c r="B4" s="834" t="s">
        <v>102</v>
      </c>
      <c r="C4" s="854">
        <f>'Table 8 2.1.12 MFP Funded'!W4</f>
        <v>10</v>
      </c>
      <c r="D4" s="855">
        <f>'Table 3 Levels 1&amp;2'!AL8*90%</f>
        <v>4159.6358236950919</v>
      </c>
      <c r="E4" s="855">
        <f>C4*D4</f>
        <v>41596.358236950917</v>
      </c>
      <c r="F4" s="856">
        <f>'Table 4 Level 3'!P6*90%</f>
        <v>699.73200000000008</v>
      </c>
      <c r="G4" s="856">
        <f>F4*C4</f>
        <v>6997.3200000000006</v>
      </c>
      <c r="H4" s="856">
        <f>E4+G4</f>
        <v>48593.678236950916</v>
      </c>
      <c r="I4" s="856">
        <f>(('Table 3 Levels 1&amp;2'!AL8-D4)+('Table 4 Level 3'!P6-F4))*C4</f>
        <v>5399.2975818834329</v>
      </c>
      <c r="J4" s="856">
        <f>ROUND(-0.25%*H4,0)</f>
        <v>-121</v>
      </c>
      <c r="K4" s="857">
        <f>H4+J4</f>
        <v>48472.678236950916</v>
      </c>
      <c r="L4" s="857">
        <v>0</v>
      </c>
      <c r="M4" s="858">
        <f>SUM(K4:L4)</f>
        <v>48472.678236950916</v>
      </c>
      <c r="N4" s="858">
        <f>ROUND(M4/12,0)</f>
        <v>4039</v>
      </c>
      <c r="O4" s="860">
        <f>'[8]FY2012-13 Initial'!$K8*90%</f>
        <v>1884.6000000000001</v>
      </c>
      <c r="P4" s="860">
        <f>O4*C4</f>
        <v>18846</v>
      </c>
      <c r="Q4" s="860">
        <f>ROUND(P4*-0.25%,0)</f>
        <v>-47</v>
      </c>
      <c r="R4" s="860">
        <f>SUM(P4:Q4)</f>
        <v>18799</v>
      </c>
      <c r="S4" s="859">
        <v>0</v>
      </c>
      <c r="T4" s="891">
        <f>SUM(R4:S4)</f>
        <v>18799</v>
      </c>
      <c r="U4" s="891">
        <f>ROUND(T4/12,0)</f>
        <v>1567</v>
      </c>
      <c r="V4" s="861">
        <f>T4+M4</f>
        <v>67271.678236950916</v>
      </c>
      <c r="W4" s="861">
        <f>N4+U4</f>
        <v>5606</v>
      </c>
    </row>
    <row r="5" spans="1:23" s="572" customFormat="1" ht="16.5" customHeight="1">
      <c r="A5" s="103">
        <v>2</v>
      </c>
      <c r="B5" s="834" t="s">
        <v>103</v>
      </c>
      <c r="C5" s="862">
        <f>'Table 8 2.1.12 MFP Funded'!W5</f>
        <v>2</v>
      </c>
      <c r="D5" s="863">
        <f>'Table 3 Levels 1&amp;2'!AL9*90%</f>
        <v>5518.6516499094341</v>
      </c>
      <c r="E5" s="863">
        <f t="shared" ref="E5:E68" si="16">C5*D5</f>
        <v>11037.303299818868</v>
      </c>
      <c r="F5" s="864">
        <f>'Table 4 Level 3'!P7*90%</f>
        <v>758.08800000000008</v>
      </c>
      <c r="G5" s="864">
        <f t="shared" ref="G5:G68" si="17">F5*C5</f>
        <v>1516.1760000000002</v>
      </c>
      <c r="H5" s="864">
        <f t="shared" ref="H5:H68" si="18">E5+G5</f>
        <v>12553.479299818868</v>
      </c>
      <c r="I5" s="864">
        <f>(('Table 3 Levels 1&amp;2'!AL9-D5)+('Table 4 Level 3'!P7-F5))*C5</f>
        <v>1394.8310333132067</v>
      </c>
      <c r="J5" s="864">
        <f t="shared" ref="J5:J68" si="19">ROUND(-0.25%*H5,0)</f>
        <v>-31</v>
      </c>
      <c r="K5" s="865">
        <f t="shared" ref="K5:K68" si="20">H5+J5</f>
        <v>12522.479299818868</v>
      </c>
      <c r="L5" s="865">
        <v>0</v>
      </c>
      <c r="M5" s="866">
        <f t="shared" ref="M5:M68" si="21">SUM(K5:L5)</f>
        <v>12522.479299818868</v>
      </c>
      <c r="N5" s="866">
        <f t="shared" ref="N5:N68" si="22">ROUND(M5/12,0)</f>
        <v>1044</v>
      </c>
      <c r="O5" s="868">
        <f>'[8]FY2012-13 Initial'!$K9*90%</f>
        <v>2298.6</v>
      </c>
      <c r="P5" s="868">
        <f t="shared" ref="P5:P68" si="23">O5*C5</f>
        <v>4597.2</v>
      </c>
      <c r="Q5" s="868">
        <f t="shared" ref="Q5:Q68" si="24">ROUND(P5*-0.25%,0)</f>
        <v>-11</v>
      </c>
      <c r="R5" s="868">
        <f t="shared" ref="R5:R68" si="25">SUM(P5:Q5)</f>
        <v>4586.2</v>
      </c>
      <c r="S5" s="867">
        <v>0</v>
      </c>
      <c r="T5" s="892">
        <f t="shared" ref="T5:T68" si="26">SUM(R5:S5)</f>
        <v>4586.2</v>
      </c>
      <c r="U5" s="892">
        <f t="shared" ref="U5:U68" si="27">ROUND(T5/12,0)</f>
        <v>382</v>
      </c>
      <c r="V5" s="869">
        <f t="shared" ref="V5:V68" si="28">T5+M5</f>
        <v>17108.679299818868</v>
      </c>
      <c r="W5" s="869">
        <f t="shared" ref="W5:W68" si="29">N5+U5</f>
        <v>1426</v>
      </c>
    </row>
    <row r="6" spans="1:23" s="572" customFormat="1" ht="16.5" customHeight="1">
      <c r="A6" s="103">
        <v>3</v>
      </c>
      <c r="B6" s="834" t="s">
        <v>104</v>
      </c>
      <c r="C6" s="862">
        <f>'Table 8 2.1.12 MFP Funded'!W6</f>
        <v>11</v>
      </c>
      <c r="D6" s="863">
        <f>'Table 3 Levels 1&amp;2'!AL10*90%</f>
        <v>3893.8845916853975</v>
      </c>
      <c r="E6" s="863">
        <f t="shared" si="16"/>
        <v>42832.730508539375</v>
      </c>
      <c r="F6" s="864">
        <f>'Table 4 Level 3'!P8*90%</f>
        <v>537.15600000000006</v>
      </c>
      <c r="G6" s="864">
        <f t="shared" si="17"/>
        <v>5908.7160000000003</v>
      </c>
      <c r="H6" s="864">
        <f t="shared" si="18"/>
        <v>48741.446508539375</v>
      </c>
      <c r="I6" s="864">
        <f>(('Table 3 Levels 1&amp;2'!AL10-D6)+('Table 4 Level 3'!P8-F6))*C6</f>
        <v>5415.7162787265979</v>
      </c>
      <c r="J6" s="864">
        <f t="shared" si="19"/>
        <v>-122</v>
      </c>
      <c r="K6" s="865">
        <f t="shared" si="20"/>
        <v>48619.446508539375</v>
      </c>
      <c r="L6" s="865">
        <v>0</v>
      </c>
      <c r="M6" s="866">
        <f t="shared" si="21"/>
        <v>48619.446508539375</v>
      </c>
      <c r="N6" s="866">
        <f t="shared" si="22"/>
        <v>4052</v>
      </c>
      <c r="O6" s="868">
        <f>'[8]FY2012-13 Initial'!$K10*90%</f>
        <v>4495.5</v>
      </c>
      <c r="P6" s="868">
        <f t="shared" si="23"/>
        <v>49450.5</v>
      </c>
      <c r="Q6" s="868">
        <f t="shared" si="24"/>
        <v>-124</v>
      </c>
      <c r="R6" s="868">
        <f t="shared" si="25"/>
        <v>49326.5</v>
      </c>
      <c r="S6" s="867">
        <v>0</v>
      </c>
      <c r="T6" s="892">
        <f t="shared" si="26"/>
        <v>49326.5</v>
      </c>
      <c r="U6" s="892">
        <f t="shared" si="27"/>
        <v>4111</v>
      </c>
      <c r="V6" s="869">
        <f t="shared" si="28"/>
        <v>97945.946508539375</v>
      </c>
      <c r="W6" s="869">
        <f t="shared" si="29"/>
        <v>8163</v>
      </c>
    </row>
    <row r="7" spans="1:23" s="572" customFormat="1" ht="16.5" customHeight="1">
      <c r="A7" s="103">
        <v>4</v>
      </c>
      <c r="B7" s="834" t="s">
        <v>105</v>
      </c>
      <c r="C7" s="862">
        <f>'Table 8 2.1.12 MFP Funded'!W7</f>
        <v>5</v>
      </c>
      <c r="D7" s="863">
        <f>'Table 3 Levels 1&amp;2'!AL11*90%</f>
        <v>5459.6393687097907</v>
      </c>
      <c r="E7" s="863">
        <f t="shared" si="16"/>
        <v>27298.196843548954</v>
      </c>
      <c r="F7" s="864">
        <f>'Table 4 Level 3'!P9*90%</f>
        <v>527.18399999999997</v>
      </c>
      <c r="G7" s="864">
        <f t="shared" si="17"/>
        <v>2635.92</v>
      </c>
      <c r="H7" s="864">
        <f t="shared" si="18"/>
        <v>29934.116843548953</v>
      </c>
      <c r="I7" s="864">
        <f>(('Table 3 Levels 1&amp;2'!AL11-D7)+('Table 4 Level 3'!P9-F7))*C7</f>
        <v>3326.0129826165485</v>
      </c>
      <c r="J7" s="864">
        <f t="shared" si="19"/>
        <v>-75</v>
      </c>
      <c r="K7" s="865">
        <f t="shared" si="20"/>
        <v>29859.116843548953</v>
      </c>
      <c r="L7" s="865">
        <v>0</v>
      </c>
      <c r="M7" s="866">
        <f t="shared" si="21"/>
        <v>29859.116843548953</v>
      </c>
      <c r="N7" s="866">
        <f t="shared" si="22"/>
        <v>2488</v>
      </c>
      <c r="O7" s="868">
        <f>'[8]FY2012-13 Initial'!$K11*90%</f>
        <v>3024.9</v>
      </c>
      <c r="P7" s="868">
        <f t="shared" si="23"/>
        <v>15124.5</v>
      </c>
      <c r="Q7" s="868">
        <f t="shared" si="24"/>
        <v>-38</v>
      </c>
      <c r="R7" s="868">
        <f t="shared" si="25"/>
        <v>15086.5</v>
      </c>
      <c r="S7" s="867">
        <v>0</v>
      </c>
      <c r="T7" s="892">
        <f t="shared" si="26"/>
        <v>15086.5</v>
      </c>
      <c r="U7" s="892">
        <f t="shared" si="27"/>
        <v>1257</v>
      </c>
      <c r="V7" s="869">
        <f t="shared" si="28"/>
        <v>44945.616843548953</v>
      </c>
      <c r="W7" s="869">
        <f t="shared" si="29"/>
        <v>3745</v>
      </c>
    </row>
    <row r="8" spans="1:23" s="572" customFormat="1" ht="16.5" customHeight="1">
      <c r="A8" s="104">
        <v>5</v>
      </c>
      <c r="B8" s="835" t="s">
        <v>106</v>
      </c>
      <c r="C8" s="870">
        <f>'Table 8 2.1.12 MFP Funded'!W8</f>
        <v>4</v>
      </c>
      <c r="D8" s="871">
        <f>'Table 3 Levels 1&amp;2'!AL12*90%</f>
        <v>4325.5913519000778</v>
      </c>
      <c r="E8" s="871">
        <f t="shared" si="16"/>
        <v>17302.365407600311</v>
      </c>
      <c r="F8" s="872">
        <f>'Table 4 Level 3'!P10*90%</f>
        <v>500.31899999999996</v>
      </c>
      <c r="G8" s="872">
        <f t="shared" si="17"/>
        <v>2001.2759999999998</v>
      </c>
      <c r="H8" s="872">
        <f t="shared" si="18"/>
        <v>19303.641407600313</v>
      </c>
      <c r="I8" s="872">
        <f>(('Table 3 Levels 1&amp;2'!AL12-D8)+('Table 4 Level 3'!P10-F8))*C8</f>
        <v>2144.8490452889223</v>
      </c>
      <c r="J8" s="872">
        <f t="shared" si="19"/>
        <v>-48</v>
      </c>
      <c r="K8" s="873">
        <f t="shared" si="20"/>
        <v>19255.641407600313</v>
      </c>
      <c r="L8" s="873">
        <v>0</v>
      </c>
      <c r="M8" s="874">
        <f t="shared" si="21"/>
        <v>19255.641407600313</v>
      </c>
      <c r="N8" s="874">
        <f t="shared" si="22"/>
        <v>1605</v>
      </c>
      <c r="O8" s="876">
        <f>'[8]FY2012-13 Initial'!$K12*90%</f>
        <v>1031.4000000000001</v>
      </c>
      <c r="P8" s="876">
        <f t="shared" si="23"/>
        <v>4125.6000000000004</v>
      </c>
      <c r="Q8" s="876">
        <f t="shared" si="24"/>
        <v>-10</v>
      </c>
      <c r="R8" s="876">
        <f t="shared" si="25"/>
        <v>4115.6000000000004</v>
      </c>
      <c r="S8" s="875">
        <v>0</v>
      </c>
      <c r="T8" s="893">
        <f t="shared" si="26"/>
        <v>4115.6000000000004</v>
      </c>
      <c r="U8" s="893">
        <f t="shared" si="27"/>
        <v>343</v>
      </c>
      <c r="V8" s="877">
        <f t="shared" si="28"/>
        <v>23371.241407600312</v>
      </c>
      <c r="W8" s="877">
        <f t="shared" si="29"/>
        <v>1948</v>
      </c>
    </row>
    <row r="9" spans="1:23" s="572" customFormat="1" ht="16.5" customHeight="1">
      <c r="A9" s="103">
        <v>6</v>
      </c>
      <c r="B9" s="834" t="s">
        <v>107</v>
      </c>
      <c r="C9" s="854">
        <f>'Table 8 2.1.12 MFP Funded'!W9</f>
        <v>4</v>
      </c>
      <c r="D9" s="855">
        <f>'Table 3 Levels 1&amp;2'!AL13*90%</f>
        <v>4984.2791890695735</v>
      </c>
      <c r="E9" s="855">
        <f t="shared" si="16"/>
        <v>19937.116756278294</v>
      </c>
      <c r="F9" s="856">
        <f>'Table 4 Level 3'!P11*90%</f>
        <v>490.9319999999999</v>
      </c>
      <c r="G9" s="856">
        <f t="shared" si="17"/>
        <v>1963.7279999999996</v>
      </c>
      <c r="H9" s="856">
        <f t="shared" si="18"/>
        <v>21900.844756278293</v>
      </c>
      <c r="I9" s="856">
        <f>(('Table 3 Levels 1&amp;2'!AL13-D9)+('Table 4 Level 3'!P11-F9))*C9</f>
        <v>2433.4271951420315</v>
      </c>
      <c r="J9" s="856">
        <f t="shared" si="19"/>
        <v>-55</v>
      </c>
      <c r="K9" s="857">
        <f t="shared" si="20"/>
        <v>21845.844756278293</v>
      </c>
      <c r="L9" s="857">
        <v>0</v>
      </c>
      <c r="M9" s="858">
        <f t="shared" si="21"/>
        <v>21845.844756278293</v>
      </c>
      <c r="N9" s="858">
        <f t="shared" si="22"/>
        <v>1820</v>
      </c>
      <c r="O9" s="860">
        <f>'[8]FY2012-13 Initial'!$K13*90%</f>
        <v>3087.9</v>
      </c>
      <c r="P9" s="860">
        <f t="shared" si="23"/>
        <v>12351.6</v>
      </c>
      <c r="Q9" s="860">
        <f t="shared" si="24"/>
        <v>-31</v>
      </c>
      <c r="R9" s="860">
        <f t="shared" si="25"/>
        <v>12320.6</v>
      </c>
      <c r="S9" s="859">
        <v>0</v>
      </c>
      <c r="T9" s="891">
        <f t="shared" si="26"/>
        <v>12320.6</v>
      </c>
      <c r="U9" s="891">
        <f t="shared" si="27"/>
        <v>1027</v>
      </c>
      <c r="V9" s="861">
        <f t="shared" si="28"/>
        <v>34166.444756278295</v>
      </c>
      <c r="W9" s="861">
        <f t="shared" si="29"/>
        <v>2847</v>
      </c>
    </row>
    <row r="10" spans="1:23" s="572" customFormat="1" ht="16.5" customHeight="1">
      <c r="A10" s="103">
        <v>7</v>
      </c>
      <c r="B10" s="834" t="s">
        <v>108</v>
      </c>
      <c r="C10" s="862">
        <f>'Table 8 2.1.12 MFP Funded'!W10</f>
        <v>6</v>
      </c>
      <c r="D10" s="863">
        <f>'Table 3 Levels 1&amp;2'!AL14*90%</f>
        <v>1389.2141118124437</v>
      </c>
      <c r="E10" s="863">
        <f t="shared" si="16"/>
        <v>8335.284670874662</v>
      </c>
      <c r="F10" s="864">
        <f>'Table 4 Level 3'!P12*90%</f>
        <v>681.22799999999984</v>
      </c>
      <c r="G10" s="864">
        <f t="shared" si="17"/>
        <v>4087.367999999999</v>
      </c>
      <c r="H10" s="864">
        <f t="shared" si="18"/>
        <v>12422.652670874661</v>
      </c>
      <c r="I10" s="864">
        <f>(('Table 3 Levels 1&amp;2'!AL14-D10)+('Table 4 Level 3'!P12-F10))*C10</f>
        <v>1380.2947412082963</v>
      </c>
      <c r="J10" s="864">
        <f t="shared" si="19"/>
        <v>-31</v>
      </c>
      <c r="K10" s="865">
        <f t="shared" si="20"/>
        <v>12391.652670874661</v>
      </c>
      <c r="L10" s="865">
        <v>0</v>
      </c>
      <c r="M10" s="866">
        <f t="shared" si="21"/>
        <v>12391.652670874661</v>
      </c>
      <c r="N10" s="866">
        <f t="shared" si="22"/>
        <v>1033</v>
      </c>
      <c r="O10" s="868">
        <f>'[8]FY2012-13 Initial'!$K14*90%</f>
        <v>11676.6</v>
      </c>
      <c r="P10" s="868">
        <f t="shared" si="23"/>
        <v>70059.600000000006</v>
      </c>
      <c r="Q10" s="868">
        <f t="shared" si="24"/>
        <v>-175</v>
      </c>
      <c r="R10" s="868">
        <f t="shared" si="25"/>
        <v>69884.600000000006</v>
      </c>
      <c r="S10" s="867">
        <v>0</v>
      </c>
      <c r="T10" s="892">
        <f t="shared" si="26"/>
        <v>69884.600000000006</v>
      </c>
      <c r="U10" s="892">
        <f t="shared" si="27"/>
        <v>5824</v>
      </c>
      <c r="V10" s="869">
        <f t="shared" si="28"/>
        <v>82276.252670874674</v>
      </c>
      <c r="W10" s="869">
        <f t="shared" si="29"/>
        <v>6857</v>
      </c>
    </row>
    <row r="11" spans="1:23" s="572" customFormat="1" ht="16.5" customHeight="1">
      <c r="A11" s="103">
        <v>8</v>
      </c>
      <c r="B11" s="834" t="s">
        <v>109</v>
      </c>
      <c r="C11" s="862">
        <f>'Table 8 2.1.12 MFP Funded'!W11</f>
        <v>22</v>
      </c>
      <c r="D11" s="863">
        <f>'Table 3 Levels 1&amp;2'!AL15*90%</f>
        <v>3630.13799147193</v>
      </c>
      <c r="E11" s="863">
        <f t="shared" si="16"/>
        <v>79863.035812382455</v>
      </c>
      <c r="F11" s="864">
        <f>'Table 4 Level 3'!P13*90%</f>
        <v>653.18399999999997</v>
      </c>
      <c r="G11" s="864">
        <f t="shared" si="17"/>
        <v>14370.047999999999</v>
      </c>
      <c r="H11" s="864">
        <f t="shared" si="18"/>
        <v>94233.083812382451</v>
      </c>
      <c r="I11" s="864">
        <f>(('Table 3 Levels 1&amp;2'!AL15-D11)+('Table 4 Level 3'!P13-F11))*C11</f>
        <v>10470.342645820274</v>
      </c>
      <c r="J11" s="864">
        <f t="shared" si="19"/>
        <v>-236</v>
      </c>
      <c r="K11" s="865">
        <f t="shared" si="20"/>
        <v>93997.083812382451</v>
      </c>
      <c r="L11" s="865">
        <v>0</v>
      </c>
      <c r="M11" s="866">
        <f t="shared" si="21"/>
        <v>93997.083812382451</v>
      </c>
      <c r="N11" s="866">
        <f t="shared" si="22"/>
        <v>7833</v>
      </c>
      <c r="O11" s="868">
        <f>'[8]FY2012-13 Initial'!$K15*90%</f>
        <v>3810.6</v>
      </c>
      <c r="P11" s="868">
        <f t="shared" si="23"/>
        <v>83833.2</v>
      </c>
      <c r="Q11" s="868">
        <f t="shared" si="24"/>
        <v>-210</v>
      </c>
      <c r="R11" s="868">
        <f t="shared" si="25"/>
        <v>83623.199999999997</v>
      </c>
      <c r="S11" s="867">
        <v>0</v>
      </c>
      <c r="T11" s="892">
        <f t="shared" si="26"/>
        <v>83623.199999999997</v>
      </c>
      <c r="U11" s="892">
        <f t="shared" si="27"/>
        <v>6969</v>
      </c>
      <c r="V11" s="869">
        <f t="shared" si="28"/>
        <v>177620.28381238243</v>
      </c>
      <c r="W11" s="869">
        <f t="shared" si="29"/>
        <v>14802</v>
      </c>
    </row>
    <row r="12" spans="1:23" s="572" customFormat="1" ht="16.5" customHeight="1">
      <c r="A12" s="103">
        <v>9</v>
      </c>
      <c r="B12" s="834" t="s">
        <v>110</v>
      </c>
      <c r="C12" s="862">
        <f>'Table 8 2.1.12 MFP Funded'!W12</f>
        <v>38</v>
      </c>
      <c r="D12" s="863">
        <f>'Table 3 Levels 1&amp;2'!AL16*90%</f>
        <v>3841.4895544712613</v>
      </c>
      <c r="E12" s="863">
        <f t="shared" si="16"/>
        <v>145976.60306990793</v>
      </c>
      <c r="F12" s="864">
        <f>'Table 4 Level 3'!P14*90%</f>
        <v>670.28399999999999</v>
      </c>
      <c r="G12" s="864">
        <f t="shared" si="17"/>
        <v>25470.792000000001</v>
      </c>
      <c r="H12" s="864">
        <f t="shared" si="18"/>
        <v>171447.39506990794</v>
      </c>
      <c r="I12" s="864">
        <f>(('Table 3 Levels 1&amp;2'!AL16-D12)+('Table 4 Level 3'!P14-F12))*C12</f>
        <v>19049.710563323108</v>
      </c>
      <c r="J12" s="864">
        <f t="shared" si="19"/>
        <v>-429</v>
      </c>
      <c r="K12" s="865">
        <f t="shared" si="20"/>
        <v>171018.39506990794</v>
      </c>
      <c r="L12" s="865">
        <v>0</v>
      </c>
      <c r="M12" s="866">
        <f t="shared" si="21"/>
        <v>171018.39506990794</v>
      </c>
      <c r="N12" s="866">
        <f t="shared" si="22"/>
        <v>14252</v>
      </c>
      <c r="O12" s="868">
        <f>'[8]FY2012-13 Initial'!$K16*90%</f>
        <v>4085.1</v>
      </c>
      <c r="P12" s="868">
        <f t="shared" si="23"/>
        <v>155233.79999999999</v>
      </c>
      <c r="Q12" s="868">
        <f t="shared" si="24"/>
        <v>-388</v>
      </c>
      <c r="R12" s="868">
        <f t="shared" si="25"/>
        <v>154845.79999999999</v>
      </c>
      <c r="S12" s="867">
        <v>0</v>
      </c>
      <c r="T12" s="892">
        <f t="shared" si="26"/>
        <v>154845.79999999999</v>
      </c>
      <c r="U12" s="892">
        <f t="shared" si="27"/>
        <v>12904</v>
      </c>
      <c r="V12" s="869">
        <f t="shared" si="28"/>
        <v>325864.19506990793</v>
      </c>
      <c r="W12" s="869">
        <f t="shared" si="29"/>
        <v>27156</v>
      </c>
    </row>
    <row r="13" spans="1:23" s="572" customFormat="1" ht="16.5" customHeight="1">
      <c r="A13" s="104">
        <v>10</v>
      </c>
      <c r="B13" s="835" t="s">
        <v>111</v>
      </c>
      <c r="C13" s="870">
        <f>'Table 8 2.1.12 MFP Funded'!W13</f>
        <v>24</v>
      </c>
      <c r="D13" s="871">
        <f>'Table 3 Levels 1&amp;2'!AL17*90%</f>
        <v>3870.0613236669196</v>
      </c>
      <c r="E13" s="871">
        <f t="shared" si="16"/>
        <v>92881.471768006071</v>
      </c>
      <c r="F13" s="872">
        <f>'Table 4 Level 3'!P15*90%</f>
        <v>547.2360000000001</v>
      </c>
      <c r="G13" s="872">
        <f t="shared" si="17"/>
        <v>13133.664000000002</v>
      </c>
      <c r="H13" s="872">
        <f t="shared" si="18"/>
        <v>106015.13576800608</v>
      </c>
      <c r="I13" s="872">
        <f>(('Table 3 Levels 1&amp;2'!AL17-D13)+('Table 4 Level 3'!P15-F13))*C13</f>
        <v>11779.459529778451</v>
      </c>
      <c r="J13" s="872">
        <f t="shared" si="19"/>
        <v>-265</v>
      </c>
      <c r="K13" s="873">
        <f t="shared" si="20"/>
        <v>105750.13576800608</v>
      </c>
      <c r="L13" s="873">
        <v>0</v>
      </c>
      <c r="M13" s="874">
        <f t="shared" si="21"/>
        <v>105750.13576800608</v>
      </c>
      <c r="N13" s="874">
        <f t="shared" si="22"/>
        <v>8813</v>
      </c>
      <c r="O13" s="876">
        <f>'[8]FY2012-13 Initial'!$K17*90%</f>
        <v>3880.8</v>
      </c>
      <c r="P13" s="876">
        <f t="shared" si="23"/>
        <v>93139.200000000012</v>
      </c>
      <c r="Q13" s="876">
        <f t="shared" si="24"/>
        <v>-233</v>
      </c>
      <c r="R13" s="876">
        <f t="shared" si="25"/>
        <v>92906.200000000012</v>
      </c>
      <c r="S13" s="875">
        <v>0</v>
      </c>
      <c r="T13" s="893">
        <f t="shared" si="26"/>
        <v>92906.200000000012</v>
      </c>
      <c r="U13" s="893">
        <f t="shared" si="27"/>
        <v>7742</v>
      </c>
      <c r="V13" s="877">
        <f t="shared" si="28"/>
        <v>198656.3357680061</v>
      </c>
      <c r="W13" s="877">
        <f t="shared" si="29"/>
        <v>16555</v>
      </c>
    </row>
    <row r="14" spans="1:23" s="572" customFormat="1" ht="16.5" customHeight="1">
      <c r="A14" s="103">
        <v>11</v>
      </c>
      <c r="B14" s="834" t="s">
        <v>112</v>
      </c>
      <c r="C14" s="854">
        <f>'Table 8 2.1.12 MFP Funded'!W14</f>
        <v>0</v>
      </c>
      <c r="D14" s="855">
        <f>'Table 3 Levels 1&amp;2'!AL18*90%</f>
        <v>6066.2154560317813</v>
      </c>
      <c r="E14" s="855">
        <f t="shared" si="16"/>
        <v>0</v>
      </c>
      <c r="F14" s="856">
        <f>'Table 4 Level 3'!P16*90%</f>
        <v>635.89499999999998</v>
      </c>
      <c r="G14" s="856">
        <f t="shared" si="17"/>
        <v>0</v>
      </c>
      <c r="H14" s="856">
        <f t="shared" si="18"/>
        <v>0</v>
      </c>
      <c r="I14" s="856">
        <f>(('Table 3 Levels 1&amp;2'!AL18-D14)+('Table 4 Level 3'!P16-F14))*C14</f>
        <v>0</v>
      </c>
      <c r="J14" s="856">
        <f t="shared" si="19"/>
        <v>0</v>
      </c>
      <c r="K14" s="857">
        <f t="shared" si="20"/>
        <v>0</v>
      </c>
      <c r="L14" s="857">
        <v>0</v>
      </c>
      <c r="M14" s="858">
        <f t="shared" si="21"/>
        <v>0</v>
      </c>
      <c r="N14" s="858">
        <f t="shared" si="22"/>
        <v>0</v>
      </c>
      <c r="O14" s="860">
        <f>'[8]FY2012-13 Initial'!$K18*90%</f>
        <v>2703.6</v>
      </c>
      <c r="P14" s="860">
        <f t="shared" si="23"/>
        <v>0</v>
      </c>
      <c r="Q14" s="860">
        <f t="shared" si="24"/>
        <v>0</v>
      </c>
      <c r="R14" s="860">
        <f t="shared" si="25"/>
        <v>0</v>
      </c>
      <c r="S14" s="859">
        <v>0</v>
      </c>
      <c r="T14" s="891">
        <f t="shared" si="26"/>
        <v>0</v>
      </c>
      <c r="U14" s="891">
        <f t="shared" si="27"/>
        <v>0</v>
      </c>
      <c r="V14" s="861">
        <f t="shared" si="28"/>
        <v>0</v>
      </c>
      <c r="W14" s="861">
        <f t="shared" si="29"/>
        <v>0</v>
      </c>
    </row>
    <row r="15" spans="1:23" s="572" customFormat="1" ht="16.5" customHeight="1">
      <c r="A15" s="103">
        <v>12</v>
      </c>
      <c r="B15" s="834" t="s">
        <v>113</v>
      </c>
      <c r="C15" s="862">
        <f>'Table 8 2.1.12 MFP Funded'!W15</f>
        <v>2</v>
      </c>
      <c r="D15" s="863">
        <f>'Table 3 Levels 1&amp;2'!AL19*90%</f>
        <v>1603.1589795918367</v>
      </c>
      <c r="E15" s="863">
        <f t="shared" si="16"/>
        <v>3206.3179591836733</v>
      </c>
      <c r="F15" s="864">
        <f>'Table 4 Level 3'!P17*90%</f>
        <v>956.97899999999993</v>
      </c>
      <c r="G15" s="864">
        <f t="shared" si="17"/>
        <v>1913.9579999999999</v>
      </c>
      <c r="H15" s="864">
        <f t="shared" si="18"/>
        <v>5120.275959183673</v>
      </c>
      <c r="I15" s="864">
        <f>(('Table 3 Levels 1&amp;2'!AL19-D15)+('Table 4 Level 3'!P17-F15))*C15</f>
        <v>568.91955102040833</v>
      </c>
      <c r="J15" s="864">
        <f t="shared" si="19"/>
        <v>-13</v>
      </c>
      <c r="K15" s="865">
        <f t="shared" si="20"/>
        <v>5107.275959183673</v>
      </c>
      <c r="L15" s="865">
        <v>0</v>
      </c>
      <c r="M15" s="866">
        <f t="shared" si="21"/>
        <v>5107.275959183673</v>
      </c>
      <c r="N15" s="866">
        <f t="shared" si="22"/>
        <v>426</v>
      </c>
      <c r="O15" s="868">
        <f>'[8]FY2012-13 Initial'!$K19*90%</f>
        <v>11195.1</v>
      </c>
      <c r="P15" s="868">
        <f t="shared" si="23"/>
        <v>22390.2</v>
      </c>
      <c r="Q15" s="868">
        <f t="shared" si="24"/>
        <v>-56</v>
      </c>
      <c r="R15" s="868">
        <f t="shared" si="25"/>
        <v>22334.2</v>
      </c>
      <c r="S15" s="867">
        <v>0</v>
      </c>
      <c r="T15" s="892">
        <f t="shared" si="26"/>
        <v>22334.2</v>
      </c>
      <c r="U15" s="892">
        <f t="shared" si="27"/>
        <v>1861</v>
      </c>
      <c r="V15" s="869">
        <f t="shared" si="28"/>
        <v>27441.475959183674</v>
      </c>
      <c r="W15" s="869">
        <f t="shared" si="29"/>
        <v>2287</v>
      </c>
    </row>
    <row r="16" spans="1:23" s="572" customFormat="1" ht="16.5" customHeight="1">
      <c r="A16" s="103">
        <v>13</v>
      </c>
      <c r="B16" s="834" t="s">
        <v>114</v>
      </c>
      <c r="C16" s="862">
        <f>'Table 8 2.1.12 MFP Funded'!W16</f>
        <v>5</v>
      </c>
      <c r="D16" s="863">
        <f>'Table 3 Levels 1&amp;2'!AL20*90%</f>
        <v>5512.9798713329819</v>
      </c>
      <c r="E16" s="863">
        <f t="shared" si="16"/>
        <v>27564.899356664908</v>
      </c>
      <c r="F16" s="864">
        <f>'Table 4 Level 3'!P18*90%</f>
        <v>674.48700000000008</v>
      </c>
      <c r="G16" s="864">
        <f t="shared" si="17"/>
        <v>3372.4350000000004</v>
      </c>
      <c r="H16" s="864">
        <f t="shared" si="18"/>
        <v>30937.334356664909</v>
      </c>
      <c r="I16" s="864">
        <f>(('Table 3 Levels 1&amp;2'!AL20-D16)+('Table 4 Level 3'!P18-F16))*C16</f>
        <v>3437.4815951849896</v>
      </c>
      <c r="J16" s="864">
        <f t="shared" si="19"/>
        <v>-77</v>
      </c>
      <c r="K16" s="865">
        <f t="shared" si="20"/>
        <v>30860.334356664909</v>
      </c>
      <c r="L16" s="865">
        <v>0</v>
      </c>
      <c r="M16" s="866">
        <f t="shared" si="21"/>
        <v>30860.334356664909</v>
      </c>
      <c r="N16" s="866">
        <f t="shared" si="22"/>
        <v>2572</v>
      </c>
      <c r="O16" s="868">
        <f>'[8]FY2012-13 Initial'!$K20*90%</f>
        <v>2266.2000000000003</v>
      </c>
      <c r="P16" s="868">
        <f t="shared" si="23"/>
        <v>11331.000000000002</v>
      </c>
      <c r="Q16" s="868">
        <f t="shared" si="24"/>
        <v>-28</v>
      </c>
      <c r="R16" s="868">
        <f t="shared" si="25"/>
        <v>11303.000000000002</v>
      </c>
      <c r="S16" s="867">
        <v>0</v>
      </c>
      <c r="T16" s="892">
        <f t="shared" si="26"/>
        <v>11303.000000000002</v>
      </c>
      <c r="U16" s="892">
        <f t="shared" si="27"/>
        <v>942</v>
      </c>
      <c r="V16" s="869">
        <f t="shared" si="28"/>
        <v>42163.334356664913</v>
      </c>
      <c r="W16" s="869">
        <f t="shared" si="29"/>
        <v>3514</v>
      </c>
    </row>
    <row r="17" spans="1:23" s="572" customFormat="1" ht="16.5" customHeight="1">
      <c r="A17" s="103">
        <v>14</v>
      </c>
      <c r="B17" s="834" t="s">
        <v>115</v>
      </c>
      <c r="C17" s="862">
        <f>'Table 8 2.1.12 MFP Funded'!W17</f>
        <v>7</v>
      </c>
      <c r="D17" s="863">
        <f>'Table 3 Levels 1&amp;2'!AL21*90%</f>
        <v>4750.2843294079676</v>
      </c>
      <c r="E17" s="863">
        <f t="shared" si="16"/>
        <v>33251.990305855776</v>
      </c>
      <c r="F17" s="864">
        <f>'Table 4 Level 3'!P19*90%</f>
        <v>728.98199999999997</v>
      </c>
      <c r="G17" s="864">
        <f t="shared" si="17"/>
        <v>5102.8739999999998</v>
      </c>
      <c r="H17" s="864">
        <f t="shared" si="18"/>
        <v>38354.864305855779</v>
      </c>
      <c r="I17" s="864">
        <f>(('Table 3 Levels 1&amp;2'!AL21-D17)+('Table 4 Level 3'!P19-F17))*C17</f>
        <v>4261.651589539526</v>
      </c>
      <c r="J17" s="864">
        <f t="shared" si="19"/>
        <v>-96</v>
      </c>
      <c r="K17" s="865">
        <f t="shared" si="20"/>
        <v>38258.864305855779</v>
      </c>
      <c r="L17" s="865">
        <v>0</v>
      </c>
      <c r="M17" s="866">
        <f t="shared" si="21"/>
        <v>38258.864305855779</v>
      </c>
      <c r="N17" s="866">
        <f t="shared" si="22"/>
        <v>3188</v>
      </c>
      <c r="O17" s="868">
        <f>'[8]FY2012-13 Initial'!$K21*90%</f>
        <v>3244.5</v>
      </c>
      <c r="P17" s="868">
        <f t="shared" si="23"/>
        <v>22711.5</v>
      </c>
      <c r="Q17" s="868">
        <f t="shared" si="24"/>
        <v>-57</v>
      </c>
      <c r="R17" s="868">
        <f t="shared" si="25"/>
        <v>22654.5</v>
      </c>
      <c r="S17" s="867">
        <v>0</v>
      </c>
      <c r="T17" s="892">
        <f t="shared" si="26"/>
        <v>22654.5</v>
      </c>
      <c r="U17" s="892">
        <f t="shared" si="27"/>
        <v>1888</v>
      </c>
      <c r="V17" s="869">
        <f t="shared" si="28"/>
        <v>60913.364305855779</v>
      </c>
      <c r="W17" s="869">
        <f t="shared" si="29"/>
        <v>5076</v>
      </c>
    </row>
    <row r="18" spans="1:23" s="572" customFormat="1" ht="16.5" customHeight="1">
      <c r="A18" s="104">
        <v>15</v>
      </c>
      <c r="B18" s="835" t="s">
        <v>116</v>
      </c>
      <c r="C18" s="870">
        <f>'Table 8 2.1.12 MFP Funded'!W18</f>
        <v>2</v>
      </c>
      <c r="D18" s="871">
        <f>'Table 3 Levels 1&amp;2'!AL22*90%</f>
        <v>4886.0858422961701</v>
      </c>
      <c r="E18" s="871">
        <f t="shared" si="16"/>
        <v>9772.1716845923402</v>
      </c>
      <c r="F18" s="872">
        <f>'Table 4 Level 3'!P20*90%</f>
        <v>498.41999999999996</v>
      </c>
      <c r="G18" s="872">
        <f t="shared" si="17"/>
        <v>996.83999999999992</v>
      </c>
      <c r="H18" s="872">
        <f t="shared" si="18"/>
        <v>10769.01168459234</v>
      </c>
      <c r="I18" s="872">
        <f>(('Table 3 Levels 1&amp;2'!AL22-D18)+('Table 4 Level 3'!P20-F18))*C18</f>
        <v>1196.5568538435925</v>
      </c>
      <c r="J18" s="872">
        <f t="shared" si="19"/>
        <v>-27</v>
      </c>
      <c r="K18" s="873">
        <f t="shared" si="20"/>
        <v>10742.01168459234</v>
      </c>
      <c r="L18" s="873">
        <v>0</v>
      </c>
      <c r="M18" s="874">
        <f t="shared" si="21"/>
        <v>10742.01168459234</v>
      </c>
      <c r="N18" s="874">
        <f t="shared" si="22"/>
        <v>895</v>
      </c>
      <c r="O18" s="876">
        <f>'[8]FY2012-13 Initial'!$K22*90%</f>
        <v>2352.6</v>
      </c>
      <c r="P18" s="876">
        <f t="shared" si="23"/>
        <v>4705.2</v>
      </c>
      <c r="Q18" s="876">
        <f t="shared" si="24"/>
        <v>-12</v>
      </c>
      <c r="R18" s="876">
        <f t="shared" si="25"/>
        <v>4693.2</v>
      </c>
      <c r="S18" s="875">
        <v>0</v>
      </c>
      <c r="T18" s="893">
        <f t="shared" si="26"/>
        <v>4693.2</v>
      </c>
      <c r="U18" s="893">
        <f t="shared" si="27"/>
        <v>391</v>
      </c>
      <c r="V18" s="877">
        <f t="shared" si="28"/>
        <v>15435.211684592341</v>
      </c>
      <c r="W18" s="877">
        <f t="shared" si="29"/>
        <v>1286</v>
      </c>
    </row>
    <row r="19" spans="1:23" s="572" customFormat="1" ht="16.5" customHeight="1">
      <c r="A19" s="103">
        <v>16</v>
      </c>
      <c r="B19" s="834" t="s">
        <v>117</v>
      </c>
      <c r="C19" s="854">
        <f>'Table 8 2.1.12 MFP Funded'!W19</f>
        <v>1</v>
      </c>
      <c r="D19" s="855">
        <f>'Table 3 Levels 1&amp;2'!AL23*90%</f>
        <v>1351.1223678713181</v>
      </c>
      <c r="E19" s="855">
        <f t="shared" si="16"/>
        <v>1351.1223678713181</v>
      </c>
      <c r="F19" s="856">
        <f>'Table 4 Level 3'!P21*90%</f>
        <v>618.05700000000002</v>
      </c>
      <c r="G19" s="856">
        <f t="shared" si="17"/>
        <v>618.05700000000002</v>
      </c>
      <c r="H19" s="856">
        <f t="shared" si="18"/>
        <v>1969.1793678713182</v>
      </c>
      <c r="I19" s="856">
        <f>(('Table 3 Levels 1&amp;2'!AL23-D19)+('Table 4 Level 3'!P21-F19))*C19</f>
        <v>218.79770754125752</v>
      </c>
      <c r="J19" s="856">
        <f t="shared" si="19"/>
        <v>-5</v>
      </c>
      <c r="K19" s="857">
        <f t="shared" si="20"/>
        <v>1964.1793678713182</v>
      </c>
      <c r="L19" s="857">
        <v>0</v>
      </c>
      <c r="M19" s="858">
        <f t="shared" si="21"/>
        <v>1964.1793678713182</v>
      </c>
      <c r="N19" s="858">
        <f t="shared" si="22"/>
        <v>164</v>
      </c>
      <c r="O19" s="860">
        <f>'[8]FY2012-13 Initial'!$K23*90%</f>
        <v>14405.4</v>
      </c>
      <c r="P19" s="860">
        <f t="shared" si="23"/>
        <v>14405.4</v>
      </c>
      <c r="Q19" s="860">
        <f t="shared" si="24"/>
        <v>-36</v>
      </c>
      <c r="R19" s="860">
        <f t="shared" si="25"/>
        <v>14369.4</v>
      </c>
      <c r="S19" s="859">
        <v>0</v>
      </c>
      <c r="T19" s="891">
        <f t="shared" si="26"/>
        <v>14369.4</v>
      </c>
      <c r="U19" s="891">
        <f t="shared" si="27"/>
        <v>1197</v>
      </c>
      <c r="V19" s="861">
        <f t="shared" si="28"/>
        <v>16333.579367871318</v>
      </c>
      <c r="W19" s="861">
        <f t="shared" si="29"/>
        <v>1361</v>
      </c>
    </row>
    <row r="20" spans="1:23" s="572" customFormat="1" ht="16.5" customHeight="1">
      <c r="A20" s="103">
        <v>17</v>
      </c>
      <c r="B20" s="834" t="s">
        <v>118</v>
      </c>
      <c r="C20" s="862">
        <f>'Table 8 2.1.12 MFP Funded'!W20</f>
        <v>40</v>
      </c>
      <c r="D20" s="863">
        <f>'Table 3 Levels 1&amp;2'!AL24*90%</f>
        <v>3047.914526811363</v>
      </c>
      <c r="E20" s="863">
        <f t="shared" si="16"/>
        <v>121916.58107245452</v>
      </c>
      <c r="F20" s="864">
        <f>'Table 5B2_RSD_LA'!F7*90%</f>
        <v>721.32986175126121</v>
      </c>
      <c r="G20" s="864">
        <f t="shared" si="17"/>
        <v>28853.194470050446</v>
      </c>
      <c r="H20" s="864">
        <f t="shared" si="18"/>
        <v>150769.77554250497</v>
      </c>
      <c r="I20" s="864">
        <f>(('Table 3 Levels 1&amp;2'!AL24-D20)+('Table 4 Level 3'!P22-F20))*C20</f>
        <v>16752.197282500543</v>
      </c>
      <c r="J20" s="864">
        <f t="shared" si="19"/>
        <v>-377</v>
      </c>
      <c r="K20" s="865">
        <f t="shared" si="20"/>
        <v>150392.77554250497</v>
      </c>
      <c r="L20" s="865">
        <v>0</v>
      </c>
      <c r="M20" s="866">
        <f t="shared" si="21"/>
        <v>150392.77554250497</v>
      </c>
      <c r="N20" s="866">
        <f t="shared" si="22"/>
        <v>12533</v>
      </c>
      <c r="O20" s="868">
        <f>'[8]FY2012-13 Initial'!$K24*90%</f>
        <v>5843.7</v>
      </c>
      <c r="P20" s="868">
        <f t="shared" si="23"/>
        <v>233748</v>
      </c>
      <c r="Q20" s="868">
        <f t="shared" si="24"/>
        <v>-584</v>
      </c>
      <c r="R20" s="868">
        <f t="shared" si="25"/>
        <v>233164</v>
      </c>
      <c r="S20" s="867">
        <v>0</v>
      </c>
      <c r="T20" s="892">
        <f t="shared" si="26"/>
        <v>233164</v>
      </c>
      <c r="U20" s="892">
        <f t="shared" si="27"/>
        <v>19430</v>
      </c>
      <c r="V20" s="869">
        <f t="shared" si="28"/>
        <v>383556.77554250497</v>
      </c>
      <c r="W20" s="869">
        <f t="shared" si="29"/>
        <v>31963</v>
      </c>
    </row>
    <row r="21" spans="1:23" s="572" customFormat="1" ht="16.5" customHeight="1">
      <c r="A21" s="103">
        <v>18</v>
      </c>
      <c r="B21" s="834" t="s">
        <v>119</v>
      </c>
      <c r="C21" s="862">
        <f>'Table 8 2.1.12 MFP Funded'!W21</f>
        <v>0</v>
      </c>
      <c r="D21" s="863">
        <f>'Table 3 Levels 1&amp;2'!AL25*90%</f>
        <v>5218.2538256908301</v>
      </c>
      <c r="E21" s="863">
        <f t="shared" si="16"/>
        <v>0</v>
      </c>
      <c r="F21" s="864">
        <f>'Table 4 Level 3'!P23*90%</f>
        <v>761.3549999999999</v>
      </c>
      <c r="G21" s="864">
        <f t="shared" si="17"/>
        <v>0</v>
      </c>
      <c r="H21" s="864">
        <f t="shared" si="18"/>
        <v>0</v>
      </c>
      <c r="I21" s="864">
        <f>(('Table 3 Levels 1&amp;2'!AL25-D21)+('Table 4 Level 3'!P23-F21))*C21</f>
        <v>0</v>
      </c>
      <c r="J21" s="864">
        <f t="shared" si="19"/>
        <v>0</v>
      </c>
      <c r="K21" s="865">
        <f t="shared" si="20"/>
        <v>0</v>
      </c>
      <c r="L21" s="865">
        <v>0</v>
      </c>
      <c r="M21" s="866">
        <f t="shared" si="21"/>
        <v>0</v>
      </c>
      <c r="N21" s="866">
        <f t="shared" si="22"/>
        <v>0</v>
      </c>
      <c r="O21" s="868">
        <f>'[8]FY2012-13 Initial'!$K25*90%</f>
        <v>1879.2</v>
      </c>
      <c r="P21" s="868">
        <f t="shared" si="23"/>
        <v>0</v>
      </c>
      <c r="Q21" s="868">
        <f t="shared" si="24"/>
        <v>0</v>
      </c>
      <c r="R21" s="868">
        <f t="shared" si="25"/>
        <v>0</v>
      </c>
      <c r="S21" s="867">
        <v>0</v>
      </c>
      <c r="T21" s="892">
        <f t="shared" si="26"/>
        <v>0</v>
      </c>
      <c r="U21" s="892">
        <f t="shared" si="27"/>
        <v>0</v>
      </c>
      <c r="V21" s="869">
        <f t="shared" si="28"/>
        <v>0</v>
      </c>
      <c r="W21" s="869">
        <f t="shared" si="29"/>
        <v>0</v>
      </c>
    </row>
    <row r="22" spans="1:23" s="572" customFormat="1" ht="16.5" customHeight="1">
      <c r="A22" s="103">
        <v>19</v>
      </c>
      <c r="B22" s="834" t="s">
        <v>120</v>
      </c>
      <c r="C22" s="862">
        <f>'Table 8 2.1.12 MFP Funded'!W22</f>
        <v>1</v>
      </c>
      <c r="D22" s="863">
        <f>'Table 3 Levels 1&amp;2'!AL26*90%</f>
        <v>4697.1911509085885</v>
      </c>
      <c r="E22" s="863">
        <f t="shared" si="16"/>
        <v>4697.1911509085885</v>
      </c>
      <c r="F22" s="864">
        <f>'Table 4 Level 3'!P24*90%</f>
        <v>814.88699999999994</v>
      </c>
      <c r="G22" s="864">
        <f t="shared" si="17"/>
        <v>814.88699999999994</v>
      </c>
      <c r="H22" s="864">
        <f t="shared" si="18"/>
        <v>5512.0781509085882</v>
      </c>
      <c r="I22" s="864">
        <f>(('Table 3 Levels 1&amp;2'!AL26-D22)+('Table 4 Level 3'!P24-F22))*C22</f>
        <v>612.45312787873206</v>
      </c>
      <c r="J22" s="864">
        <f t="shared" si="19"/>
        <v>-14</v>
      </c>
      <c r="K22" s="865">
        <f t="shared" si="20"/>
        <v>5498.0781509085882</v>
      </c>
      <c r="L22" s="865">
        <v>0</v>
      </c>
      <c r="M22" s="866">
        <f t="shared" si="21"/>
        <v>5498.0781509085882</v>
      </c>
      <c r="N22" s="866">
        <f t="shared" si="22"/>
        <v>458</v>
      </c>
      <c r="O22" s="868">
        <f>'[8]FY2012-13 Initial'!$K26*90%</f>
        <v>2047.5</v>
      </c>
      <c r="P22" s="868">
        <f t="shared" si="23"/>
        <v>2047.5</v>
      </c>
      <c r="Q22" s="868">
        <f t="shared" si="24"/>
        <v>-5</v>
      </c>
      <c r="R22" s="868">
        <f t="shared" si="25"/>
        <v>2042.5</v>
      </c>
      <c r="S22" s="867">
        <v>0</v>
      </c>
      <c r="T22" s="892">
        <f t="shared" si="26"/>
        <v>2042.5</v>
      </c>
      <c r="U22" s="892">
        <f t="shared" si="27"/>
        <v>170</v>
      </c>
      <c r="V22" s="869">
        <f t="shared" si="28"/>
        <v>7540.5781509085882</v>
      </c>
      <c r="W22" s="869">
        <f t="shared" si="29"/>
        <v>628</v>
      </c>
    </row>
    <row r="23" spans="1:23" s="572" customFormat="1" ht="16.5" customHeight="1">
      <c r="A23" s="104">
        <v>20</v>
      </c>
      <c r="B23" s="835" t="s">
        <v>121</v>
      </c>
      <c r="C23" s="870">
        <f>'Table 8 2.1.12 MFP Funded'!W23</f>
        <v>1</v>
      </c>
      <c r="D23" s="871">
        <f>'Table 3 Levels 1&amp;2'!AL27*90%</f>
        <v>4897.6019860479119</v>
      </c>
      <c r="E23" s="871">
        <f t="shared" si="16"/>
        <v>4897.6019860479119</v>
      </c>
      <c r="F23" s="872">
        <f>'Table 4 Level 3'!P25*90%</f>
        <v>527.553</v>
      </c>
      <c r="G23" s="872">
        <f t="shared" si="17"/>
        <v>527.553</v>
      </c>
      <c r="H23" s="872">
        <f t="shared" si="18"/>
        <v>5425.1549860479117</v>
      </c>
      <c r="I23" s="872">
        <f>(('Table 3 Levels 1&amp;2'!AL27-D23)+('Table 4 Level 3'!P25-F23))*C23</f>
        <v>602.79499844976795</v>
      </c>
      <c r="J23" s="872">
        <f t="shared" si="19"/>
        <v>-14</v>
      </c>
      <c r="K23" s="873">
        <f t="shared" si="20"/>
        <v>5411.1549860479117</v>
      </c>
      <c r="L23" s="873">
        <v>0</v>
      </c>
      <c r="M23" s="874">
        <f t="shared" si="21"/>
        <v>5411.1549860479117</v>
      </c>
      <c r="N23" s="874">
        <f t="shared" si="22"/>
        <v>451</v>
      </c>
      <c r="O23" s="876">
        <f>'[8]FY2012-13 Initial'!$K27*90%</f>
        <v>2077.2000000000003</v>
      </c>
      <c r="P23" s="876">
        <f t="shared" si="23"/>
        <v>2077.2000000000003</v>
      </c>
      <c r="Q23" s="876">
        <f t="shared" si="24"/>
        <v>-5</v>
      </c>
      <c r="R23" s="876">
        <f t="shared" si="25"/>
        <v>2072.2000000000003</v>
      </c>
      <c r="S23" s="875">
        <v>0</v>
      </c>
      <c r="T23" s="893">
        <f t="shared" si="26"/>
        <v>2072.2000000000003</v>
      </c>
      <c r="U23" s="893">
        <f t="shared" si="27"/>
        <v>173</v>
      </c>
      <c r="V23" s="877">
        <f t="shared" si="28"/>
        <v>7483.3549860479125</v>
      </c>
      <c r="W23" s="877">
        <f t="shared" si="29"/>
        <v>624</v>
      </c>
    </row>
    <row r="24" spans="1:23" s="572" customFormat="1" ht="16.5" customHeight="1">
      <c r="A24" s="103">
        <v>21</v>
      </c>
      <c r="B24" s="834" t="s">
        <v>122</v>
      </c>
      <c r="C24" s="854">
        <f>'Table 8 2.1.12 MFP Funded'!W24</f>
        <v>9</v>
      </c>
      <c r="D24" s="855">
        <f>'Table 3 Levels 1&amp;2'!AL28*90%</f>
        <v>5146.9020819823572</v>
      </c>
      <c r="E24" s="855">
        <f t="shared" si="16"/>
        <v>46322.118737841214</v>
      </c>
      <c r="F24" s="856">
        <f>'Table 4 Level 3'!P26*90%</f>
        <v>549.31500000000005</v>
      </c>
      <c r="G24" s="856">
        <f t="shared" si="17"/>
        <v>4943.8350000000009</v>
      </c>
      <c r="H24" s="856">
        <f t="shared" si="18"/>
        <v>51265.953737841213</v>
      </c>
      <c r="I24" s="856">
        <f>(('Table 3 Levels 1&amp;2'!AL28-D24)+('Table 4 Level 3'!P26-F24))*C24</f>
        <v>5696.2170819823523</v>
      </c>
      <c r="J24" s="856">
        <f t="shared" si="19"/>
        <v>-128</v>
      </c>
      <c r="K24" s="857">
        <f t="shared" si="20"/>
        <v>51137.953737841213</v>
      </c>
      <c r="L24" s="857">
        <v>0</v>
      </c>
      <c r="M24" s="858">
        <f t="shared" si="21"/>
        <v>51137.953737841213</v>
      </c>
      <c r="N24" s="858">
        <f t="shared" si="22"/>
        <v>4261</v>
      </c>
      <c r="O24" s="860">
        <f>'[8]FY2012-13 Initial'!$K28*90%</f>
        <v>2020.5</v>
      </c>
      <c r="P24" s="860">
        <f t="shared" si="23"/>
        <v>18184.5</v>
      </c>
      <c r="Q24" s="860">
        <f t="shared" si="24"/>
        <v>-45</v>
      </c>
      <c r="R24" s="860">
        <f t="shared" si="25"/>
        <v>18139.5</v>
      </c>
      <c r="S24" s="859">
        <v>0</v>
      </c>
      <c r="T24" s="891">
        <f t="shared" si="26"/>
        <v>18139.5</v>
      </c>
      <c r="U24" s="891">
        <f t="shared" si="27"/>
        <v>1512</v>
      </c>
      <c r="V24" s="861">
        <f t="shared" si="28"/>
        <v>69277.453737841221</v>
      </c>
      <c r="W24" s="861">
        <f t="shared" si="29"/>
        <v>5773</v>
      </c>
    </row>
    <row r="25" spans="1:23" s="572" customFormat="1" ht="16.5" customHeight="1">
      <c r="A25" s="103">
        <v>22</v>
      </c>
      <c r="B25" s="834" t="s">
        <v>123</v>
      </c>
      <c r="C25" s="862">
        <f>'Table 8 2.1.12 MFP Funded'!W25</f>
        <v>8</v>
      </c>
      <c r="D25" s="863">
        <f>'Table 3 Levels 1&amp;2'!AL29*90%</f>
        <v>5578.9470031501378</v>
      </c>
      <c r="E25" s="863">
        <f t="shared" si="16"/>
        <v>44631.576025201102</v>
      </c>
      <c r="F25" s="864">
        <f>'Table 4 Level 3'!P27*90%</f>
        <v>446.72400000000005</v>
      </c>
      <c r="G25" s="864">
        <f t="shared" si="17"/>
        <v>3573.7920000000004</v>
      </c>
      <c r="H25" s="864">
        <f t="shared" si="18"/>
        <v>48205.368025201104</v>
      </c>
      <c r="I25" s="864">
        <f>(('Table 3 Levels 1&amp;2'!AL29-D25)+('Table 4 Level 3'!P27-F25))*C25</f>
        <v>5356.1520028001214</v>
      </c>
      <c r="J25" s="864">
        <f t="shared" si="19"/>
        <v>-121</v>
      </c>
      <c r="K25" s="865">
        <f t="shared" si="20"/>
        <v>48084.368025201104</v>
      </c>
      <c r="L25" s="865">
        <v>0</v>
      </c>
      <c r="M25" s="866">
        <f t="shared" si="21"/>
        <v>48084.368025201104</v>
      </c>
      <c r="N25" s="866">
        <f t="shared" si="22"/>
        <v>4007</v>
      </c>
      <c r="O25" s="868">
        <f>'[8]FY2012-13 Initial'!$K29*90%</f>
        <v>1300.5</v>
      </c>
      <c r="P25" s="868">
        <f t="shared" si="23"/>
        <v>10404</v>
      </c>
      <c r="Q25" s="868">
        <f t="shared" si="24"/>
        <v>-26</v>
      </c>
      <c r="R25" s="868">
        <f t="shared" si="25"/>
        <v>10378</v>
      </c>
      <c r="S25" s="867">
        <v>0</v>
      </c>
      <c r="T25" s="892">
        <f t="shared" si="26"/>
        <v>10378</v>
      </c>
      <c r="U25" s="892">
        <f t="shared" si="27"/>
        <v>865</v>
      </c>
      <c r="V25" s="869">
        <f t="shared" si="28"/>
        <v>58462.368025201104</v>
      </c>
      <c r="W25" s="869">
        <f t="shared" si="29"/>
        <v>4872</v>
      </c>
    </row>
    <row r="26" spans="1:23" s="572" customFormat="1" ht="16.5" customHeight="1">
      <c r="A26" s="103">
        <v>23</v>
      </c>
      <c r="B26" s="834" t="s">
        <v>124</v>
      </c>
      <c r="C26" s="862">
        <f>'Table 8 2.1.12 MFP Funded'!W26</f>
        <v>11</v>
      </c>
      <c r="D26" s="863">
        <f>'Table 3 Levels 1&amp;2'!AL30*90%</f>
        <v>4328.1269368326184</v>
      </c>
      <c r="E26" s="863">
        <f t="shared" si="16"/>
        <v>47609.3963051588</v>
      </c>
      <c r="F26" s="864">
        <f>'Table 4 Level 3'!P28*90%</f>
        <v>619.72200000000009</v>
      </c>
      <c r="G26" s="864">
        <f t="shared" si="17"/>
        <v>6816.9420000000009</v>
      </c>
      <c r="H26" s="864">
        <f t="shared" si="18"/>
        <v>54426.338305158803</v>
      </c>
      <c r="I26" s="864">
        <f>(('Table 3 Levels 1&amp;2'!AL30-D26)+('Table 4 Level 3'!P28-F26))*C26</f>
        <v>6047.370922795415</v>
      </c>
      <c r="J26" s="864">
        <f t="shared" si="19"/>
        <v>-136</v>
      </c>
      <c r="K26" s="865">
        <f t="shared" si="20"/>
        <v>54290.338305158803</v>
      </c>
      <c r="L26" s="865">
        <v>0</v>
      </c>
      <c r="M26" s="866">
        <f t="shared" si="21"/>
        <v>54290.338305158803</v>
      </c>
      <c r="N26" s="866">
        <f t="shared" si="22"/>
        <v>4524</v>
      </c>
      <c r="O26" s="868">
        <f>'[8]FY2012-13 Initial'!$K30*90%</f>
        <v>2965.5</v>
      </c>
      <c r="P26" s="868">
        <f t="shared" si="23"/>
        <v>32620.5</v>
      </c>
      <c r="Q26" s="868">
        <f t="shared" si="24"/>
        <v>-82</v>
      </c>
      <c r="R26" s="868">
        <f t="shared" si="25"/>
        <v>32538.5</v>
      </c>
      <c r="S26" s="867">
        <v>0</v>
      </c>
      <c r="T26" s="892">
        <f t="shared" si="26"/>
        <v>32538.5</v>
      </c>
      <c r="U26" s="892">
        <f t="shared" si="27"/>
        <v>2712</v>
      </c>
      <c r="V26" s="869">
        <f t="shared" si="28"/>
        <v>86828.838305158803</v>
      </c>
      <c r="W26" s="869">
        <f t="shared" si="29"/>
        <v>7236</v>
      </c>
    </row>
    <row r="27" spans="1:23" s="572" customFormat="1" ht="16.5" customHeight="1">
      <c r="A27" s="103">
        <v>24</v>
      </c>
      <c r="B27" s="834" t="s">
        <v>125</v>
      </c>
      <c r="C27" s="862">
        <f>'Table 8 2.1.12 MFP Funded'!W27</f>
        <v>1</v>
      </c>
      <c r="D27" s="863">
        <f>'Table 3 Levels 1&amp;2'!AL31*90%</f>
        <v>2384.8008707300737</v>
      </c>
      <c r="E27" s="863">
        <f t="shared" si="16"/>
        <v>2384.8008707300737</v>
      </c>
      <c r="F27" s="864">
        <f>'Table 4 Level 3'!P29*90%</f>
        <v>768.82499999999993</v>
      </c>
      <c r="G27" s="864">
        <f t="shared" si="17"/>
        <v>768.82499999999993</v>
      </c>
      <c r="H27" s="864">
        <f t="shared" si="18"/>
        <v>3153.6258707300735</v>
      </c>
      <c r="I27" s="864">
        <f>(('Table 3 Levels 1&amp;2'!AL31-D27)+('Table 4 Level 3'!P29-F27))*C27</f>
        <v>350.40287452556345</v>
      </c>
      <c r="J27" s="864">
        <f t="shared" si="19"/>
        <v>-8</v>
      </c>
      <c r="K27" s="865">
        <f t="shared" si="20"/>
        <v>3145.6258707300735</v>
      </c>
      <c r="L27" s="865">
        <v>0</v>
      </c>
      <c r="M27" s="866">
        <f t="shared" si="21"/>
        <v>3145.6258707300735</v>
      </c>
      <c r="N27" s="866">
        <f t="shared" si="22"/>
        <v>262</v>
      </c>
      <c r="O27" s="868">
        <f>'[8]FY2012-13 Initial'!$K31*90%</f>
        <v>7892.1</v>
      </c>
      <c r="P27" s="868">
        <f t="shared" si="23"/>
        <v>7892.1</v>
      </c>
      <c r="Q27" s="868">
        <f t="shared" si="24"/>
        <v>-20</v>
      </c>
      <c r="R27" s="868">
        <f t="shared" si="25"/>
        <v>7872.1</v>
      </c>
      <c r="S27" s="867">
        <v>0</v>
      </c>
      <c r="T27" s="892">
        <f t="shared" si="26"/>
        <v>7872.1</v>
      </c>
      <c r="U27" s="892">
        <f t="shared" si="27"/>
        <v>656</v>
      </c>
      <c r="V27" s="869">
        <f t="shared" si="28"/>
        <v>11017.725870730073</v>
      </c>
      <c r="W27" s="869">
        <f t="shared" si="29"/>
        <v>918</v>
      </c>
    </row>
    <row r="28" spans="1:23" s="572" customFormat="1" ht="16.5" customHeight="1">
      <c r="A28" s="104">
        <v>25</v>
      </c>
      <c r="B28" s="835" t="s">
        <v>126</v>
      </c>
      <c r="C28" s="870">
        <f>'Table 8 2.1.12 MFP Funded'!W28</f>
        <v>0</v>
      </c>
      <c r="D28" s="871">
        <f>'Table 3 Levels 1&amp;2'!AL32*90%</f>
        <v>3463.5531307107826</v>
      </c>
      <c r="E28" s="871">
        <f t="shared" si="16"/>
        <v>0</v>
      </c>
      <c r="F28" s="872">
        <f>'Table 4 Level 3'!P30*90%</f>
        <v>588.35700000000008</v>
      </c>
      <c r="G28" s="872">
        <f t="shared" si="17"/>
        <v>0</v>
      </c>
      <c r="H28" s="872">
        <f t="shared" si="18"/>
        <v>0</v>
      </c>
      <c r="I28" s="872">
        <f>(('Table 3 Levels 1&amp;2'!AL32-D28)+('Table 4 Level 3'!P30-F28))*C28</f>
        <v>0</v>
      </c>
      <c r="J28" s="872">
        <f t="shared" si="19"/>
        <v>0</v>
      </c>
      <c r="K28" s="873">
        <f t="shared" si="20"/>
        <v>0</v>
      </c>
      <c r="L28" s="873">
        <v>0</v>
      </c>
      <c r="M28" s="874">
        <f t="shared" si="21"/>
        <v>0</v>
      </c>
      <c r="N28" s="874">
        <f t="shared" si="22"/>
        <v>0</v>
      </c>
      <c r="O28" s="876">
        <f>'[8]FY2012-13 Initial'!$K32*90%</f>
        <v>4668.3</v>
      </c>
      <c r="P28" s="876">
        <f t="shared" si="23"/>
        <v>0</v>
      </c>
      <c r="Q28" s="876">
        <f t="shared" si="24"/>
        <v>0</v>
      </c>
      <c r="R28" s="876">
        <f t="shared" si="25"/>
        <v>0</v>
      </c>
      <c r="S28" s="875">
        <v>0</v>
      </c>
      <c r="T28" s="893">
        <f t="shared" si="26"/>
        <v>0</v>
      </c>
      <c r="U28" s="893">
        <f t="shared" si="27"/>
        <v>0</v>
      </c>
      <c r="V28" s="877">
        <f t="shared" si="28"/>
        <v>0</v>
      </c>
      <c r="W28" s="877">
        <f t="shared" si="29"/>
        <v>0</v>
      </c>
    </row>
    <row r="29" spans="1:23" s="572" customFormat="1" ht="16.5" customHeight="1">
      <c r="A29" s="103">
        <v>26</v>
      </c>
      <c r="B29" s="834" t="s">
        <v>127</v>
      </c>
      <c r="C29" s="854">
        <f>'Table 8 2.1.12 MFP Funded'!W29</f>
        <v>39</v>
      </c>
      <c r="D29" s="855">
        <f>'Table 3 Levels 1&amp;2'!AL33*90%</f>
        <v>2831.3272874551594</v>
      </c>
      <c r="E29" s="855">
        <f t="shared" si="16"/>
        <v>110421.76421075122</v>
      </c>
      <c r="F29" s="856">
        <f>'Table 4 Level 3'!P31*90%</f>
        <v>753.14700000000005</v>
      </c>
      <c r="G29" s="856">
        <f t="shared" si="17"/>
        <v>29372.733</v>
      </c>
      <c r="H29" s="856">
        <f t="shared" si="18"/>
        <v>139794.49721075123</v>
      </c>
      <c r="I29" s="856">
        <f>(('Table 3 Levels 1&amp;2'!AL33-D29)+('Table 4 Level 3'!P31-F29))*C29</f>
        <v>15532.72191230568</v>
      </c>
      <c r="J29" s="856">
        <f t="shared" si="19"/>
        <v>-349</v>
      </c>
      <c r="K29" s="857">
        <f t="shared" si="20"/>
        <v>139445.49721075123</v>
      </c>
      <c r="L29" s="857">
        <v>0</v>
      </c>
      <c r="M29" s="858">
        <f t="shared" si="21"/>
        <v>139445.49721075123</v>
      </c>
      <c r="N29" s="858">
        <f t="shared" si="22"/>
        <v>11620</v>
      </c>
      <c r="O29" s="860">
        <f>'[8]FY2012-13 Initial'!$K33*90%</f>
        <v>4677.3</v>
      </c>
      <c r="P29" s="860">
        <f t="shared" si="23"/>
        <v>182414.7</v>
      </c>
      <c r="Q29" s="860">
        <f t="shared" si="24"/>
        <v>-456</v>
      </c>
      <c r="R29" s="860">
        <f t="shared" si="25"/>
        <v>181958.7</v>
      </c>
      <c r="S29" s="859">
        <v>0</v>
      </c>
      <c r="T29" s="891">
        <f t="shared" si="26"/>
        <v>181958.7</v>
      </c>
      <c r="U29" s="891">
        <f t="shared" si="27"/>
        <v>15163</v>
      </c>
      <c r="V29" s="861">
        <f t="shared" si="28"/>
        <v>321404.19721075124</v>
      </c>
      <c r="W29" s="861">
        <f t="shared" si="29"/>
        <v>26783</v>
      </c>
    </row>
    <row r="30" spans="1:23" s="572" customFormat="1" ht="16.5" customHeight="1">
      <c r="A30" s="103">
        <v>27</v>
      </c>
      <c r="B30" s="834" t="s">
        <v>128</v>
      </c>
      <c r="C30" s="862">
        <f>'Table 8 2.1.12 MFP Funded'!W30</f>
        <v>3</v>
      </c>
      <c r="D30" s="863">
        <f>'Table 3 Levels 1&amp;2'!AL34*90%</f>
        <v>5088.1952680133945</v>
      </c>
      <c r="E30" s="863">
        <f t="shared" si="16"/>
        <v>15264.585804040184</v>
      </c>
      <c r="F30" s="864">
        <f>'Table 4 Level 3'!P32*90%</f>
        <v>623.75400000000002</v>
      </c>
      <c r="G30" s="864">
        <f t="shared" si="17"/>
        <v>1871.2620000000002</v>
      </c>
      <c r="H30" s="864">
        <f t="shared" si="18"/>
        <v>17135.847804040182</v>
      </c>
      <c r="I30" s="864">
        <f>(('Table 3 Levels 1&amp;2'!AL34-D30)+('Table 4 Level 3'!P32-F30))*C30</f>
        <v>1903.9830893377984</v>
      </c>
      <c r="J30" s="864">
        <f t="shared" si="19"/>
        <v>-43</v>
      </c>
      <c r="K30" s="865">
        <f t="shared" si="20"/>
        <v>17092.847804040182</v>
      </c>
      <c r="L30" s="865">
        <v>0</v>
      </c>
      <c r="M30" s="866">
        <f t="shared" si="21"/>
        <v>17092.847804040182</v>
      </c>
      <c r="N30" s="866">
        <f t="shared" si="22"/>
        <v>1424</v>
      </c>
      <c r="O30" s="868">
        <f>'[8]FY2012-13 Initial'!$K34*90%</f>
        <v>2765.7000000000003</v>
      </c>
      <c r="P30" s="868">
        <f t="shared" si="23"/>
        <v>8297.1</v>
      </c>
      <c r="Q30" s="868">
        <f t="shared" si="24"/>
        <v>-21</v>
      </c>
      <c r="R30" s="868">
        <f t="shared" si="25"/>
        <v>8276.1</v>
      </c>
      <c r="S30" s="867">
        <v>0</v>
      </c>
      <c r="T30" s="892">
        <f t="shared" si="26"/>
        <v>8276.1</v>
      </c>
      <c r="U30" s="892">
        <f t="shared" si="27"/>
        <v>690</v>
      </c>
      <c r="V30" s="869">
        <f t="shared" si="28"/>
        <v>25368.947804040181</v>
      </c>
      <c r="W30" s="869">
        <f t="shared" si="29"/>
        <v>2114</v>
      </c>
    </row>
    <row r="31" spans="1:23" s="572" customFormat="1" ht="16.5" customHeight="1">
      <c r="A31" s="103">
        <v>28</v>
      </c>
      <c r="B31" s="834" t="s">
        <v>129</v>
      </c>
      <c r="C31" s="862">
        <f>'Table 8 2.1.12 MFP Funded'!W31</f>
        <v>23</v>
      </c>
      <c r="D31" s="863">
        <f>'Table 3 Levels 1&amp;2'!AL35*90%</f>
        <v>2880.4820854652112</v>
      </c>
      <c r="E31" s="863">
        <f t="shared" si="16"/>
        <v>66251.087965699859</v>
      </c>
      <c r="F31" s="864">
        <f>'Table 4 Level 3'!P33*90%</f>
        <v>624.96</v>
      </c>
      <c r="G31" s="864">
        <f t="shared" si="17"/>
        <v>14374.080000000002</v>
      </c>
      <c r="H31" s="864">
        <f t="shared" si="18"/>
        <v>80625.16796569986</v>
      </c>
      <c r="I31" s="864">
        <f>(('Table 3 Levels 1&amp;2'!AL35-D31)+('Table 4 Level 3'!P33-F31))*C31</f>
        <v>8958.3519961888669</v>
      </c>
      <c r="J31" s="864">
        <f t="shared" si="19"/>
        <v>-202</v>
      </c>
      <c r="K31" s="865">
        <f t="shared" si="20"/>
        <v>80423.16796569986</v>
      </c>
      <c r="L31" s="865">
        <v>0</v>
      </c>
      <c r="M31" s="866">
        <f t="shared" si="21"/>
        <v>80423.16796569986</v>
      </c>
      <c r="N31" s="866">
        <f t="shared" si="22"/>
        <v>6702</v>
      </c>
      <c r="O31" s="868">
        <f>'[8]FY2012-13 Initial'!$K35*90%</f>
        <v>4573.8</v>
      </c>
      <c r="P31" s="868">
        <f t="shared" si="23"/>
        <v>105197.40000000001</v>
      </c>
      <c r="Q31" s="868">
        <f t="shared" si="24"/>
        <v>-263</v>
      </c>
      <c r="R31" s="868">
        <f t="shared" si="25"/>
        <v>104934.40000000001</v>
      </c>
      <c r="S31" s="867">
        <v>0</v>
      </c>
      <c r="T31" s="892">
        <f t="shared" si="26"/>
        <v>104934.40000000001</v>
      </c>
      <c r="U31" s="892">
        <f t="shared" si="27"/>
        <v>8745</v>
      </c>
      <c r="V31" s="869">
        <f t="shared" si="28"/>
        <v>185357.56796569988</v>
      </c>
      <c r="W31" s="869">
        <f t="shared" si="29"/>
        <v>15447</v>
      </c>
    </row>
    <row r="32" spans="1:23" s="572" customFormat="1" ht="16.5" customHeight="1">
      <c r="A32" s="103">
        <v>29</v>
      </c>
      <c r="B32" s="834" t="s">
        <v>130</v>
      </c>
      <c r="C32" s="862">
        <f>'Table 8 2.1.12 MFP Funded'!W32</f>
        <v>5</v>
      </c>
      <c r="D32" s="863">
        <f>'Table 3 Levels 1&amp;2'!AL36*90%</f>
        <v>3550.5359590838511</v>
      </c>
      <c r="E32" s="863">
        <f t="shared" si="16"/>
        <v>17752.679795419255</v>
      </c>
      <c r="F32" s="864">
        <f>'Table 4 Level 3'!P34*90%</f>
        <v>679.45499999999993</v>
      </c>
      <c r="G32" s="864">
        <f t="shared" si="17"/>
        <v>3397.2749999999996</v>
      </c>
      <c r="H32" s="864">
        <f t="shared" si="18"/>
        <v>21149.954795419253</v>
      </c>
      <c r="I32" s="864">
        <f>(('Table 3 Levels 1&amp;2'!AL36-D32)+('Table 4 Level 3'!P34-F32))*C32</f>
        <v>2349.9949772688051</v>
      </c>
      <c r="J32" s="864">
        <f t="shared" si="19"/>
        <v>-53</v>
      </c>
      <c r="K32" s="865">
        <f t="shared" si="20"/>
        <v>21096.954795419253</v>
      </c>
      <c r="L32" s="865">
        <v>0</v>
      </c>
      <c r="M32" s="866">
        <f t="shared" si="21"/>
        <v>21096.954795419253</v>
      </c>
      <c r="N32" s="866">
        <f t="shared" si="22"/>
        <v>1758</v>
      </c>
      <c r="O32" s="868">
        <f>'[8]FY2012-13 Initial'!$K36*90%</f>
        <v>3865.5</v>
      </c>
      <c r="P32" s="868">
        <f t="shared" si="23"/>
        <v>19327.5</v>
      </c>
      <c r="Q32" s="868">
        <f t="shared" si="24"/>
        <v>-48</v>
      </c>
      <c r="R32" s="868">
        <f t="shared" si="25"/>
        <v>19279.5</v>
      </c>
      <c r="S32" s="867">
        <v>0</v>
      </c>
      <c r="T32" s="892">
        <f t="shared" si="26"/>
        <v>19279.5</v>
      </c>
      <c r="U32" s="892">
        <f t="shared" si="27"/>
        <v>1607</v>
      </c>
      <c r="V32" s="869">
        <f t="shared" si="28"/>
        <v>40376.454795419253</v>
      </c>
      <c r="W32" s="869">
        <f t="shared" si="29"/>
        <v>3365</v>
      </c>
    </row>
    <row r="33" spans="1:23" s="572" customFormat="1" ht="16.5" customHeight="1">
      <c r="A33" s="104">
        <v>30</v>
      </c>
      <c r="B33" s="835" t="s">
        <v>131</v>
      </c>
      <c r="C33" s="870">
        <f>'Table 8 2.1.12 MFP Funded'!W33</f>
        <v>3</v>
      </c>
      <c r="D33" s="871">
        <f>'Table 3 Levels 1&amp;2'!AL37*90%</f>
        <v>5035.4025000863057</v>
      </c>
      <c r="E33" s="871">
        <f t="shared" si="16"/>
        <v>15106.207500258917</v>
      </c>
      <c r="F33" s="872">
        <f>'Table 4 Level 3'!P35*90%</f>
        <v>654.45299999999997</v>
      </c>
      <c r="G33" s="872">
        <f t="shared" si="17"/>
        <v>1963.3589999999999</v>
      </c>
      <c r="H33" s="872">
        <f t="shared" si="18"/>
        <v>17069.566500258916</v>
      </c>
      <c r="I33" s="872">
        <f>(('Table 3 Levels 1&amp;2'!AL37-D33)+('Table 4 Level 3'!P35-F33))*C33</f>
        <v>1896.6185000287678</v>
      </c>
      <c r="J33" s="872">
        <f t="shared" si="19"/>
        <v>-43</v>
      </c>
      <c r="K33" s="873">
        <f t="shared" si="20"/>
        <v>17026.566500258916</v>
      </c>
      <c r="L33" s="873">
        <v>0</v>
      </c>
      <c r="M33" s="874">
        <f t="shared" si="21"/>
        <v>17026.566500258916</v>
      </c>
      <c r="N33" s="874">
        <f t="shared" si="22"/>
        <v>1419</v>
      </c>
      <c r="O33" s="876">
        <f>'[8]FY2012-13 Initial'!$K37*90%</f>
        <v>3197.7000000000003</v>
      </c>
      <c r="P33" s="876">
        <f t="shared" si="23"/>
        <v>9593.1</v>
      </c>
      <c r="Q33" s="876">
        <f t="shared" si="24"/>
        <v>-24</v>
      </c>
      <c r="R33" s="876">
        <f t="shared" si="25"/>
        <v>9569.1</v>
      </c>
      <c r="S33" s="875">
        <v>0</v>
      </c>
      <c r="T33" s="893">
        <f t="shared" si="26"/>
        <v>9569.1</v>
      </c>
      <c r="U33" s="893">
        <f t="shared" si="27"/>
        <v>797</v>
      </c>
      <c r="V33" s="877">
        <f t="shared" si="28"/>
        <v>26595.666500258914</v>
      </c>
      <c r="W33" s="877">
        <f t="shared" si="29"/>
        <v>2216</v>
      </c>
    </row>
    <row r="34" spans="1:23" s="572" customFormat="1" ht="16.5" customHeight="1">
      <c r="A34" s="103">
        <v>31</v>
      </c>
      <c r="B34" s="834" t="s">
        <v>132</v>
      </c>
      <c r="C34" s="854">
        <f>'Table 8 2.1.12 MFP Funded'!W34</f>
        <v>1</v>
      </c>
      <c r="D34" s="855">
        <f>'Table 3 Levels 1&amp;2'!AL38*90%</f>
        <v>3743.6262125792077</v>
      </c>
      <c r="E34" s="855">
        <f t="shared" si="16"/>
        <v>3743.6262125792077</v>
      </c>
      <c r="F34" s="856">
        <f>'Table 4 Level 3'!P36*90%</f>
        <v>558.74700000000007</v>
      </c>
      <c r="G34" s="856">
        <f t="shared" si="17"/>
        <v>558.74700000000007</v>
      </c>
      <c r="H34" s="856">
        <f t="shared" si="18"/>
        <v>4302.3732125792076</v>
      </c>
      <c r="I34" s="856">
        <f>(('Table 3 Levels 1&amp;2'!AL38-D34)+('Table 4 Level 3'!P36-F34))*C34</f>
        <v>478.04146806435608</v>
      </c>
      <c r="J34" s="856">
        <f t="shared" si="19"/>
        <v>-11</v>
      </c>
      <c r="K34" s="857">
        <f t="shared" si="20"/>
        <v>4291.3732125792076</v>
      </c>
      <c r="L34" s="857">
        <v>0</v>
      </c>
      <c r="M34" s="858">
        <f t="shared" si="21"/>
        <v>4291.3732125792076</v>
      </c>
      <c r="N34" s="858">
        <f t="shared" si="22"/>
        <v>358</v>
      </c>
      <c r="O34" s="860">
        <f>'[8]FY2012-13 Initial'!$K38*90%</f>
        <v>4247.1000000000004</v>
      </c>
      <c r="P34" s="860">
        <f t="shared" si="23"/>
        <v>4247.1000000000004</v>
      </c>
      <c r="Q34" s="860">
        <f t="shared" si="24"/>
        <v>-11</v>
      </c>
      <c r="R34" s="860">
        <f t="shared" si="25"/>
        <v>4236.1000000000004</v>
      </c>
      <c r="S34" s="859">
        <v>0</v>
      </c>
      <c r="T34" s="891">
        <f t="shared" si="26"/>
        <v>4236.1000000000004</v>
      </c>
      <c r="U34" s="891">
        <f t="shared" si="27"/>
        <v>353</v>
      </c>
      <c r="V34" s="861">
        <f t="shared" si="28"/>
        <v>8527.473212579207</v>
      </c>
      <c r="W34" s="861">
        <f t="shared" si="29"/>
        <v>711</v>
      </c>
    </row>
    <row r="35" spans="1:23" s="572" customFormat="1" ht="16.5" customHeight="1">
      <c r="A35" s="103">
        <v>32</v>
      </c>
      <c r="B35" s="834" t="s">
        <v>133</v>
      </c>
      <c r="C35" s="862">
        <f>'Table 8 2.1.12 MFP Funded'!W35</f>
        <v>36</v>
      </c>
      <c r="D35" s="863">
        <f>'Table 3 Levels 1&amp;2'!AL39*90%</f>
        <v>4927.6292973523741</v>
      </c>
      <c r="E35" s="863">
        <f t="shared" si="16"/>
        <v>177394.65470468547</v>
      </c>
      <c r="F35" s="864">
        <f>'Table 4 Level 3'!P37*90%</f>
        <v>503.79300000000001</v>
      </c>
      <c r="G35" s="864">
        <f t="shared" si="17"/>
        <v>18136.547999999999</v>
      </c>
      <c r="H35" s="864">
        <f t="shared" si="18"/>
        <v>195531.20270468548</v>
      </c>
      <c r="I35" s="864">
        <f>(('Table 3 Levels 1&amp;2'!AL39-D35)+('Table 4 Level 3'!P37-F35))*C35</f>
        <v>21725.689189409484</v>
      </c>
      <c r="J35" s="864">
        <f t="shared" si="19"/>
        <v>-489</v>
      </c>
      <c r="K35" s="865">
        <f t="shared" si="20"/>
        <v>195042.20270468548</v>
      </c>
      <c r="L35" s="865">
        <v>0</v>
      </c>
      <c r="M35" s="866">
        <f t="shared" si="21"/>
        <v>195042.20270468548</v>
      </c>
      <c r="N35" s="866">
        <f t="shared" si="22"/>
        <v>16254</v>
      </c>
      <c r="O35" s="868">
        <f>'[8]FY2012-13 Initial'!$K39*90%</f>
        <v>1781.1000000000001</v>
      </c>
      <c r="P35" s="868">
        <f t="shared" si="23"/>
        <v>64119.600000000006</v>
      </c>
      <c r="Q35" s="868">
        <f t="shared" si="24"/>
        <v>-160</v>
      </c>
      <c r="R35" s="868">
        <f t="shared" si="25"/>
        <v>63959.600000000006</v>
      </c>
      <c r="S35" s="867">
        <v>0</v>
      </c>
      <c r="T35" s="892">
        <f t="shared" si="26"/>
        <v>63959.600000000006</v>
      </c>
      <c r="U35" s="892">
        <f t="shared" si="27"/>
        <v>5330</v>
      </c>
      <c r="V35" s="869">
        <f t="shared" si="28"/>
        <v>259001.80270468548</v>
      </c>
      <c r="W35" s="869">
        <f t="shared" si="29"/>
        <v>21584</v>
      </c>
    </row>
    <row r="36" spans="1:23" s="572" customFormat="1" ht="16.5" customHeight="1">
      <c r="A36" s="103">
        <v>33</v>
      </c>
      <c r="B36" s="834" t="s">
        <v>134</v>
      </c>
      <c r="C36" s="862">
        <f>'Table 8 2.1.12 MFP Funded'!W36</f>
        <v>2</v>
      </c>
      <c r="D36" s="863">
        <f>'Table 3 Levels 1&amp;2'!AL40*90%</f>
        <v>4857.8110580602306</v>
      </c>
      <c r="E36" s="863">
        <f t="shared" si="16"/>
        <v>9715.6221161204612</v>
      </c>
      <c r="F36" s="864">
        <f>'Table 4 Level 3'!P38*90%</f>
        <v>589.77900000000011</v>
      </c>
      <c r="G36" s="864">
        <f t="shared" si="17"/>
        <v>1179.5580000000002</v>
      </c>
      <c r="H36" s="864">
        <f t="shared" si="18"/>
        <v>10895.180116120462</v>
      </c>
      <c r="I36" s="864">
        <f>(('Table 3 Levels 1&amp;2'!AL40-D36)+('Table 4 Level 3'!P38-F36))*C36</f>
        <v>1210.5755684578289</v>
      </c>
      <c r="J36" s="864">
        <f t="shared" si="19"/>
        <v>-27</v>
      </c>
      <c r="K36" s="865">
        <f t="shared" si="20"/>
        <v>10868.180116120462</v>
      </c>
      <c r="L36" s="865">
        <v>0</v>
      </c>
      <c r="M36" s="866">
        <f t="shared" si="21"/>
        <v>10868.180116120462</v>
      </c>
      <c r="N36" s="866">
        <f t="shared" si="22"/>
        <v>906</v>
      </c>
      <c r="O36" s="868">
        <f>'[8]FY2012-13 Initial'!$K40*90%</f>
        <v>2749.5</v>
      </c>
      <c r="P36" s="868">
        <f t="shared" si="23"/>
        <v>5499</v>
      </c>
      <c r="Q36" s="868">
        <f t="shared" si="24"/>
        <v>-14</v>
      </c>
      <c r="R36" s="868">
        <f t="shared" si="25"/>
        <v>5485</v>
      </c>
      <c r="S36" s="867">
        <v>0</v>
      </c>
      <c r="T36" s="892">
        <f t="shared" si="26"/>
        <v>5485</v>
      </c>
      <c r="U36" s="892">
        <f t="shared" si="27"/>
        <v>457</v>
      </c>
      <c r="V36" s="869">
        <f t="shared" si="28"/>
        <v>16353.180116120462</v>
      </c>
      <c r="W36" s="869">
        <f t="shared" si="29"/>
        <v>1363</v>
      </c>
    </row>
    <row r="37" spans="1:23" s="572" customFormat="1" ht="16.5" customHeight="1">
      <c r="A37" s="103">
        <v>34</v>
      </c>
      <c r="B37" s="834" t="s">
        <v>135</v>
      </c>
      <c r="C37" s="862">
        <f>'Table 8 2.1.12 MFP Funded'!W37</f>
        <v>2</v>
      </c>
      <c r="D37" s="863">
        <f>'Table 3 Levels 1&amp;2'!AL41*90%</f>
        <v>5259.5677989261658</v>
      </c>
      <c r="E37" s="863">
        <f t="shared" si="16"/>
        <v>10519.135597852332</v>
      </c>
      <c r="F37" s="864">
        <f>'Table 4 Level 3'!P39*90%</f>
        <v>579.69900000000018</v>
      </c>
      <c r="G37" s="864">
        <f t="shared" si="17"/>
        <v>1159.3980000000004</v>
      </c>
      <c r="H37" s="864">
        <f t="shared" si="18"/>
        <v>11678.533597852333</v>
      </c>
      <c r="I37" s="864">
        <f>(('Table 3 Levels 1&amp;2'!AL41-D37)+('Table 4 Level 3'!P39-F37))*C37</f>
        <v>1297.6148442058145</v>
      </c>
      <c r="J37" s="864">
        <f t="shared" si="19"/>
        <v>-29</v>
      </c>
      <c r="K37" s="865">
        <f t="shared" si="20"/>
        <v>11649.533597852333</v>
      </c>
      <c r="L37" s="865">
        <v>0</v>
      </c>
      <c r="M37" s="866">
        <f t="shared" si="21"/>
        <v>11649.533597852333</v>
      </c>
      <c r="N37" s="866">
        <f t="shared" si="22"/>
        <v>971</v>
      </c>
      <c r="O37" s="868">
        <f>'[8]FY2012-13 Initial'!$K41*90%</f>
        <v>2503.8000000000002</v>
      </c>
      <c r="P37" s="868">
        <f t="shared" si="23"/>
        <v>5007.6000000000004</v>
      </c>
      <c r="Q37" s="868">
        <f t="shared" si="24"/>
        <v>-13</v>
      </c>
      <c r="R37" s="868">
        <f t="shared" si="25"/>
        <v>4994.6000000000004</v>
      </c>
      <c r="S37" s="867">
        <v>0</v>
      </c>
      <c r="T37" s="892">
        <f t="shared" si="26"/>
        <v>4994.6000000000004</v>
      </c>
      <c r="U37" s="892">
        <f t="shared" si="27"/>
        <v>416</v>
      </c>
      <c r="V37" s="869">
        <f t="shared" si="28"/>
        <v>16644.133597852335</v>
      </c>
      <c r="W37" s="869">
        <f t="shared" si="29"/>
        <v>1387</v>
      </c>
    </row>
    <row r="38" spans="1:23" s="572" customFormat="1" ht="16.5" customHeight="1">
      <c r="A38" s="104">
        <v>35</v>
      </c>
      <c r="B38" s="835" t="s">
        <v>136</v>
      </c>
      <c r="C38" s="870">
        <f>'Table 8 2.1.12 MFP Funded'!W38</f>
        <v>10</v>
      </c>
      <c r="D38" s="871">
        <f>'Table 3 Levels 1&amp;2'!AL42*90%</f>
        <v>4347.8670071392762</v>
      </c>
      <c r="E38" s="871">
        <f t="shared" si="16"/>
        <v>43478.670071392764</v>
      </c>
      <c r="F38" s="872">
        <f>'Table 4 Level 3'!P40*90%</f>
        <v>484.16400000000004</v>
      </c>
      <c r="G38" s="872">
        <f t="shared" si="17"/>
        <v>4841.6400000000003</v>
      </c>
      <c r="H38" s="872">
        <f t="shared" si="18"/>
        <v>48320.310071392763</v>
      </c>
      <c r="I38" s="872">
        <f>(('Table 3 Levels 1&amp;2'!AL42-D38)+('Table 4 Level 3'!P40-F38))*C38</f>
        <v>5368.9233412658614</v>
      </c>
      <c r="J38" s="872">
        <f t="shared" si="19"/>
        <v>-121</v>
      </c>
      <c r="K38" s="873">
        <f t="shared" si="20"/>
        <v>48199.310071392763</v>
      </c>
      <c r="L38" s="873">
        <v>0</v>
      </c>
      <c r="M38" s="874">
        <f t="shared" si="21"/>
        <v>48199.310071392763</v>
      </c>
      <c r="N38" s="874">
        <f t="shared" si="22"/>
        <v>4017</v>
      </c>
      <c r="O38" s="876">
        <f>'[8]FY2012-13 Initial'!$K42*90%</f>
        <v>2857.5</v>
      </c>
      <c r="P38" s="876">
        <f t="shared" si="23"/>
        <v>28575</v>
      </c>
      <c r="Q38" s="876">
        <f t="shared" si="24"/>
        <v>-71</v>
      </c>
      <c r="R38" s="876">
        <f t="shared" si="25"/>
        <v>28504</v>
      </c>
      <c r="S38" s="875">
        <v>0</v>
      </c>
      <c r="T38" s="893">
        <f t="shared" si="26"/>
        <v>28504</v>
      </c>
      <c r="U38" s="893">
        <f t="shared" si="27"/>
        <v>2375</v>
      </c>
      <c r="V38" s="877">
        <f t="shared" si="28"/>
        <v>76703.310071392771</v>
      </c>
      <c r="W38" s="877">
        <f t="shared" si="29"/>
        <v>6392</v>
      </c>
    </row>
    <row r="39" spans="1:23" s="572" customFormat="1" ht="16.5" customHeight="1">
      <c r="A39" s="103">
        <v>36</v>
      </c>
      <c r="B39" s="834" t="s">
        <v>137</v>
      </c>
      <c r="C39" s="854">
        <f>'Table 8 2.1.12 MFP Funded'!W39</f>
        <v>14</v>
      </c>
      <c r="D39" s="855">
        <f>'Table 3 Levels 1&amp;2'!AL43*90%</f>
        <v>3144.1153943887466</v>
      </c>
      <c r="E39" s="855">
        <f t="shared" si="16"/>
        <v>44017.615521442451</v>
      </c>
      <c r="F39" s="856">
        <f>'Table 5B1_RSD_Orleans'!F78*90%</f>
        <v>671.43020547945218</v>
      </c>
      <c r="G39" s="856">
        <f t="shared" si="17"/>
        <v>9400.0228767123299</v>
      </c>
      <c r="H39" s="856">
        <f t="shared" si="18"/>
        <v>53417.638398154784</v>
      </c>
      <c r="I39" s="856">
        <f>(('Table 3 Levels 1&amp;2'!AL43-'Table 5C3 - LA Connections EBR'!D39+'Table 5B1_RSD_Orleans'!F78-F39)*'Table 5C3 - LA Connections EBR'!C39)</f>
        <v>5935.2931553505259</v>
      </c>
      <c r="J39" s="856">
        <f t="shared" si="19"/>
        <v>-134</v>
      </c>
      <c r="K39" s="857">
        <f t="shared" si="20"/>
        <v>53283.638398154784</v>
      </c>
      <c r="L39" s="857">
        <v>0</v>
      </c>
      <c r="M39" s="858">
        <f t="shared" si="21"/>
        <v>53283.638398154784</v>
      </c>
      <c r="N39" s="858">
        <f t="shared" si="22"/>
        <v>4440</v>
      </c>
      <c r="O39" s="860">
        <f>'[8]FY2012-13 Initial'!$K43*90%</f>
        <v>4306.5</v>
      </c>
      <c r="P39" s="860">
        <f t="shared" si="23"/>
        <v>60291</v>
      </c>
      <c r="Q39" s="860">
        <f t="shared" si="24"/>
        <v>-151</v>
      </c>
      <c r="R39" s="860">
        <f t="shared" si="25"/>
        <v>60140</v>
      </c>
      <c r="S39" s="859">
        <v>0</v>
      </c>
      <c r="T39" s="891">
        <f t="shared" si="26"/>
        <v>60140</v>
      </c>
      <c r="U39" s="891">
        <f t="shared" si="27"/>
        <v>5012</v>
      </c>
      <c r="V39" s="861">
        <f t="shared" si="28"/>
        <v>113423.63839815478</v>
      </c>
      <c r="W39" s="861">
        <f t="shared" si="29"/>
        <v>9452</v>
      </c>
    </row>
    <row r="40" spans="1:23" s="572" customFormat="1" ht="16.5" customHeight="1">
      <c r="A40" s="103">
        <v>37</v>
      </c>
      <c r="B40" s="834" t="s">
        <v>138</v>
      </c>
      <c r="C40" s="862">
        <f>'Table 8 2.1.12 MFP Funded'!W40</f>
        <v>10</v>
      </c>
      <c r="D40" s="863">
        <f>'Table 3 Levels 1&amp;2'!AL44*90%</f>
        <v>4935.8723484670099</v>
      </c>
      <c r="E40" s="863">
        <f t="shared" si="16"/>
        <v>49358.723484670103</v>
      </c>
      <c r="F40" s="864">
        <f>'Table 4 Level 3'!P42*90%</f>
        <v>588.24900000000002</v>
      </c>
      <c r="G40" s="864">
        <f t="shared" si="17"/>
        <v>5882.49</v>
      </c>
      <c r="H40" s="864">
        <f t="shared" si="18"/>
        <v>55241.213484670101</v>
      </c>
      <c r="I40" s="864">
        <f>(('Table 3 Levels 1&amp;2'!AL44-D40)+('Table 4 Level 3'!P42-F40))*C40</f>
        <v>6137.9126094077865</v>
      </c>
      <c r="J40" s="864">
        <f t="shared" si="19"/>
        <v>-138</v>
      </c>
      <c r="K40" s="865">
        <f t="shared" si="20"/>
        <v>55103.213484670101</v>
      </c>
      <c r="L40" s="865">
        <v>0</v>
      </c>
      <c r="M40" s="866">
        <f t="shared" si="21"/>
        <v>55103.213484670101</v>
      </c>
      <c r="N40" s="866">
        <f t="shared" si="22"/>
        <v>4592</v>
      </c>
      <c r="O40" s="868">
        <f>'[8]FY2012-13 Initial'!$K44*90%</f>
        <v>2800.8</v>
      </c>
      <c r="P40" s="868">
        <f t="shared" si="23"/>
        <v>28008</v>
      </c>
      <c r="Q40" s="868">
        <f t="shared" si="24"/>
        <v>-70</v>
      </c>
      <c r="R40" s="868">
        <f t="shared" si="25"/>
        <v>27938</v>
      </c>
      <c r="S40" s="867">
        <v>0</v>
      </c>
      <c r="T40" s="892">
        <f t="shared" si="26"/>
        <v>27938</v>
      </c>
      <c r="U40" s="892">
        <f t="shared" si="27"/>
        <v>2328</v>
      </c>
      <c r="V40" s="869">
        <f t="shared" si="28"/>
        <v>83041.213484670094</v>
      </c>
      <c r="W40" s="869">
        <f t="shared" si="29"/>
        <v>6920</v>
      </c>
    </row>
    <row r="41" spans="1:23" s="572" customFormat="1" ht="16.5" customHeight="1">
      <c r="A41" s="103">
        <v>38</v>
      </c>
      <c r="B41" s="834" t="s">
        <v>139</v>
      </c>
      <c r="C41" s="862">
        <f>'Table 8 2.1.12 MFP Funded'!W41</f>
        <v>0</v>
      </c>
      <c r="D41" s="863">
        <f>'Table 3 Levels 1&amp;2'!AL45*90%</f>
        <v>1972.5673828125002</v>
      </c>
      <c r="E41" s="863">
        <f t="shared" si="16"/>
        <v>0</v>
      </c>
      <c r="F41" s="864">
        <f>'Table 4 Level 3'!P43*90%</f>
        <v>746.92800000000011</v>
      </c>
      <c r="G41" s="864">
        <f t="shared" si="17"/>
        <v>0</v>
      </c>
      <c r="H41" s="864">
        <f t="shared" si="18"/>
        <v>0</v>
      </c>
      <c r="I41" s="864">
        <f>(('Table 3 Levels 1&amp;2'!AL45-D41)+('Table 4 Level 3'!P43-F41))*C41</f>
        <v>0</v>
      </c>
      <c r="J41" s="864">
        <f t="shared" si="19"/>
        <v>0</v>
      </c>
      <c r="K41" s="865">
        <f t="shared" si="20"/>
        <v>0</v>
      </c>
      <c r="L41" s="865">
        <v>0</v>
      </c>
      <c r="M41" s="866">
        <f t="shared" si="21"/>
        <v>0</v>
      </c>
      <c r="N41" s="866">
        <f t="shared" si="22"/>
        <v>0</v>
      </c>
      <c r="O41" s="868">
        <f>'[8]FY2012-13 Initial'!$K45*90%</f>
        <v>8793.9</v>
      </c>
      <c r="P41" s="868">
        <f t="shared" si="23"/>
        <v>0</v>
      </c>
      <c r="Q41" s="868">
        <f t="shared" si="24"/>
        <v>0</v>
      </c>
      <c r="R41" s="868">
        <f t="shared" si="25"/>
        <v>0</v>
      </c>
      <c r="S41" s="867">
        <v>0</v>
      </c>
      <c r="T41" s="892">
        <f t="shared" si="26"/>
        <v>0</v>
      </c>
      <c r="U41" s="892">
        <f t="shared" si="27"/>
        <v>0</v>
      </c>
      <c r="V41" s="869">
        <f t="shared" si="28"/>
        <v>0</v>
      </c>
      <c r="W41" s="869">
        <f t="shared" si="29"/>
        <v>0</v>
      </c>
    </row>
    <row r="42" spans="1:23" s="572" customFormat="1" ht="16.5" customHeight="1">
      <c r="A42" s="103">
        <v>39</v>
      </c>
      <c r="B42" s="834" t="s">
        <v>140</v>
      </c>
      <c r="C42" s="862">
        <f>'Table 8 2.1.12 MFP Funded'!W42</f>
        <v>6</v>
      </c>
      <c r="D42" s="863">
        <f>'Table 3 Levels 1&amp;2'!AL46*90%</f>
        <v>3317.5698297226927</v>
      </c>
      <c r="E42" s="863">
        <f t="shared" si="16"/>
        <v>19905.418978336158</v>
      </c>
      <c r="F42" s="864">
        <f>'Table 5B2_RSD_LA'!F21*90%</f>
        <v>701.69015738498797</v>
      </c>
      <c r="G42" s="864">
        <f t="shared" si="17"/>
        <v>4210.1409443099274</v>
      </c>
      <c r="H42" s="864">
        <f t="shared" si="18"/>
        <v>24115.559922646084</v>
      </c>
      <c r="I42" s="864">
        <f>(('Table 3 Levels 1&amp;2'!AL46-D42)+('Table 4 Level 3'!P44-F42))*C42</f>
        <v>2679.5066580717862</v>
      </c>
      <c r="J42" s="864">
        <f t="shared" si="19"/>
        <v>-60</v>
      </c>
      <c r="K42" s="865">
        <f t="shared" si="20"/>
        <v>24055.559922646084</v>
      </c>
      <c r="L42" s="865">
        <v>0</v>
      </c>
      <c r="M42" s="866">
        <f t="shared" si="21"/>
        <v>24055.559922646084</v>
      </c>
      <c r="N42" s="866">
        <f t="shared" si="22"/>
        <v>2005</v>
      </c>
      <c r="O42" s="868">
        <f>'[8]FY2012-13 Initial'!$K46*90%</f>
        <v>3771</v>
      </c>
      <c r="P42" s="868">
        <f t="shared" si="23"/>
        <v>22626</v>
      </c>
      <c r="Q42" s="868">
        <f t="shared" si="24"/>
        <v>-57</v>
      </c>
      <c r="R42" s="868">
        <f t="shared" si="25"/>
        <v>22569</v>
      </c>
      <c r="S42" s="867">
        <v>0</v>
      </c>
      <c r="T42" s="892">
        <f t="shared" si="26"/>
        <v>22569</v>
      </c>
      <c r="U42" s="892">
        <f t="shared" si="27"/>
        <v>1881</v>
      </c>
      <c r="V42" s="869">
        <f t="shared" si="28"/>
        <v>46624.559922646084</v>
      </c>
      <c r="W42" s="869">
        <f t="shared" si="29"/>
        <v>3886</v>
      </c>
    </row>
    <row r="43" spans="1:23" s="572" customFormat="1" ht="16.5" customHeight="1">
      <c r="A43" s="104">
        <v>40</v>
      </c>
      <c r="B43" s="835" t="s">
        <v>141</v>
      </c>
      <c r="C43" s="870">
        <f>'Table 8 2.1.12 MFP Funded'!W43</f>
        <v>24</v>
      </c>
      <c r="D43" s="871">
        <f>'Table 3 Levels 1&amp;2'!AL47*90%</f>
        <v>4391.1166793568664</v>
      </c>
      <c r="E43" s="871">
        <f t="shared" si="16"/>
        <v>105386.80030456479</v>
      </c>
      <c r="F43" s="872">
        <f>'Table 4 Level 3'!P45*90%</f>
        <v>630.24300000000005</v>
      </c>
      <c r="G43" s="872">
        <f t="shared" si="17"/>
        <v>15125.832000000002</v>
      </c>
      <c r="H43" s="872">
        <f t="shared" si="18"/>
        <v>120512.63230456479</v>
      </c>
      <c r="I43" s="872">
        <f>(('Table 3 Levels 1&amp;2'!AL47-D43)+('Table 4 Level 3'!P45-F43))*C43</f>
        <v>13390.292478284973</v>
      </c>
      <c r="J43" s="872">
        <f t="shared" si="19"/>
        <v>-301</v>
      </c>
      <c r="K43" s="873">
        <f t="shared" si="20"/>
        <v>120211.63230456479</v>
      </c>
      <c r="L43" s="873">
        <v>0</v>
      </c>
      <c r="M43" s="874">
        <f t="shared" si="21"/>
        <v>120211.63230456479</v>
      </c>
      <c r="N43" s="874">
        <f t="shared" si="22"/>
        <v>10018</v>
      </c>
      <c r="O43" s="876">
        <f>'[8]FY2012-13 Initial'!$K47*90%</f>
        <v>2598.3000000000002</v>
      </c>
      <c r="P43" s="876">
        <f t="shared" si="23"/>
        <v>62359.200000000004</v>
      </c>
      <c r="Q43" s="876">
        <f t="shared" si="24"/>
        <v>-156</v>
      </c>
      <c r="R43" s="876">
        <f t="shared" si="25"/>
        <v>62203.200000000004</v>
      </c>
      <c r="S43" s="875">
        <v>0</v>
      </c>
      <c r="T43" s="893">
        <f t="shared" si="26"/>
        <v>62203.200000000004</v>
      </c>
      <c r="U43" s="893">
        <f t="shared" si="27"/>
        <v>5184</v>
      </c>
      <c r="V43" s="877">
        <f t="shared" si="28"/>
        <v>182414.8323045648</v>
      </c>
      <c r="W43" s="877">
        <f t="shared" si="29"/>
        <v>15202</v>
      </c>
    </row>
    <row r="44" spans="1:23" s="572" customFormat="1" ht="16.5" customHeight="1">
      <c r="A44" s="103">
        <v>41</v>
      </c>
      <c r="B44" s="834" t="s">
        <v>142</v>
      </c>
      <c r="C44" s="854">
        <f>'Table 8 2.1.12 MFP Funded'!W44</f>
        <v>1</v>
      </c>
      <c r="D44" s="855">
        <f>'Table 3 Levels 1&amp;2'!AL48*90%</f>
        <v>1447.587313432836</v>
      </c>
      <c r="E44" s="855">
        <f t="shared" si="16"/>
        <v>1447.587313432836</v>
      </c>
      <c r="F44" s="856">
        <f>'Table 4 Level 3'!P46*90%</f>
        <v>797.59800000000007</v>
      </c>
      <c r="G44" s="856">
        <f t="shared" si="17"/>
        <v>797.59800000000007</v>
      </c>
      <c r="H44" s="856">
        <f t="shared" si="18"/>
        <v>2245.1853134328362</v>
      </c>
      <c r="I44" s="856">
        <f>(('Table 3 Levels 1&amp;2'!AL48-D44)+('Table 4 Level 3'!P46-F44))*C44</f>
        <v>249.46503482587048</v>
      </c>
      <c r="J44" s="856">
        <f t="shared" si="19"/>
        <v>-6</v>
      </c>
      <c r="K44" s="857">
        <f t="shared" si="20"/>
        <v>2239.1853134328362</v>
      </c>
      <c r="L44" s="857">
        <v>0</v>
      </c>
      <c r="M44" s="858">
        <f t="shared" si="21"/>
        <v>2239.1853134328362</v>
      </c>
      <c r="N44" s="858">
        <f t="shared" si="22"/>
        <v>187</v>
      </c>
      <c r="O44" s="860">
        <f>'[8]FY2012-13 Initial'!$K48*90%</f>
        <v>11223</v>
      </c>
      <c r="P44" s="860">
        <f t="shared" si="23"/>
        <v>11223</v>
      </c>
      <c r="Q44" s="860">
        <f t="shared" si="24"/>
        <v>-28</v>
      </c>
      <c r="R44" s="860">
        <f t="shared" si="25"/>
        <v>11195</v>
      </c>
      <c r="S44" s="859">
        <v>0</v>
      </c>
      <c r="T44" s="891">
        <f t="shared" si="26"/>
        <v>11195</v>
      </c>
      <c r="U44" s="891">
        <f t="shared" si="27"/>
        <v>933</v>
      </c>
      <c r="V44" s="861">
        <f t="shared" si="28"/>
        <v>13434.185313432836</v>
      </c>
      <c r="W44" s="861">
        <f t="shared" si="29"/>
        <v>1120</v>
      </c>
    </row>
    <row r="45" spans="1:23" s="572" customFormat="1" ht="16.5" customHeight="1">
      <c r="A45" s="103">
        <v>42</v>
      </c>
      <c r="B45" s="834" t="s">
        <v>143</v>
      </c>
      <c r="C45" s="862">
        <f>'Table 8 2.1.12 MFP Funded'!W45</f>
        <v>0</v>
      </c>
      <c r="D45" s="863">
        <f>'Table 3 Levels 1&amp;2'!AL49*90%</f>
        <v>4734.27430018215</v>
      </c>
      <c r="E45" s="863">
        <f t="shared" si="16"/>
        <v>0</v>
      </c>
      <c r="F45" s="864">
        <f>'Table 4 Level 3'!P47*90%</f>
        <v>480.85199999999998</v>
      </c>
      <c r="G45" s="864">
        <f t="shared" si="17"/>
        <v>0</v>
      </c>
      <c r="H45" s="864">
        <f t="shared" si="18"/>
        <v>0</v>
      </c>
      <c r="I45" s="864">
        <f>(('Table 3 Levels 1&amp;2'!AL49-D45)+('Table 4 Level 3'!P47-F45))*C45</f>
        <v>0</v>
      </c>
      <c r="J45" s="864">
        <f t="shared" si="19"/>
        <v>0</v>
      </c>
      <c r="K45" s="865">
        <f t="shared" si="20"/>
        <v>0</v>
      </c>
      <c r="L45" s="865">
        <v>0</v>
      </c>
      <c r="M45" s="866">
        <f t="shared" si="21"/>
        <v>0</v>
      </c>
      <c r="N45" s="866">
        <f t="shared" si="22"/>
        <v>0</v>
      </c>
      <c r="O45" s="868">
        <f>'[8]FY2012-13 Initial'!$K49*90%</f>
        <v>2117.7000000000003</v>
      </c>
      <c r="P45" s="868">
        <f t="shared" si="23"/>
        <v>0</v>
      </c>
      <c r="Q45" s="868">
        <f t="shared" si="24"/>
        <v>0</v>
      </c>
      <c r="R45" s="868">
        <f t="shared" si="25"/>
        <v>0</v>
      </c>
      <c r="S45" s="867">
        <v>0</v>
      </c>
      <c r="T45" s="892">
        <f t="shared" si="26"/>
        <v>0</v>
      </c>
      <c r="U45" s="892">
        <f t="shared" si="27"/>
        <v>0</v>
      </c>
      <c r="V45" s="869">
        <f t="shared" si="28"/>
        <v>0</v>
      </c>
      <c r="W45" s="869">
        <f t="shared" si="29"/>
        <v>0</v>
      </c>
    </row>
    <row r="46" spans="1:23" s="572" customFormat="1" ht="16.5" customHeight="1">
      <c r="A46" s="103">
        <v>43</v>
      </c>
      <c r="B46" s="834" t="s">
        <v>144</v>
      </c>
      <c r="C46" s="862">
        <f>'Table 8 2.1.12 MFP Funded'!W46</f>
        <v>6</v>
      </c>
      <c r="D46" s="863">
        <f>'Table 3 Levels 1&amp;2'!AL50*90%</f>
        <v>5028.6143094847857</v>
      </c>
      <c r="E46" s="863">
        <f t="shared" si="16"/>
        <v>30171.685856908713</v>
      </c>
      <c r="F46" s="864">
        <f>'Table 4 Level 3'!P48*90%</f>
        <v>517.14899999999989</v>
      </c>
      <c r="G46" s="864">
        <f t="shared" si="17"/>
        <v>3102.8939999999993</v>
      </c>
      <c r="H46" s="864">
        <f t="shared" si="18"/>
        <v>33274.579856908713</v>
      </c>
      <c r="I46" s="864">
        <f>(('Table 3 Levels 1&amp;2'!AL50-D46)+('Table 4 Level 3'!P48-F46))*C46</f>
        <v>3697.1755396565227</v>
      </c>
      <c r="J46" s="864">
        <f t="shared" si="19"/>
        <v>-83</v>
      </c>
      <c r="K46" s="865">
        <f t="shared" si="20"/>
        <v>33191.579856908713</v>
      </c>
      <c r="L46" s="865">
        <v>0</v>
      </c>
      <c r="M46" s="866">
        <f t="shared" si="21"/>
        <v>33191.579856908713</v>
      </c>
      <c r="N46" s="866">
        <f t="shared" si="22"/>
        <v>2766</v>
      </c>
      <c r="O46" s="868">
        <f>'[8]FY2012-13 Initial'!$K50*90%</f>
        <v>5039.1000000000004</v>
      </c>
      <c r="P46" s="868">
        <f t="shared" si="23"/>
        <v>30234.600000000002</v>
      </c>
      <c r="Q46" s="868">
        <f t="shared" si="24"/>
        <v>-76</v>
      </c>
      <c r="R46" s="868">
        <f t="shared" si="25"/>
        <v>30158.600000000002</v>
      </c>
      <c r="S46" s="867">
        <v>0</v>
      </c>
      <c r="T46" s="892">
        <f t="shared" si="26"/>
        <v>30158.600000000002</v>
      </c>
      <c r="U46" s="892">
        <f t="shared" si="27"/>
        <v>2513</v>
      </c>
      <c r="V46" s="869">
        <f t="shared" si="28"/>
        <v>63350.179856908711</v>
      </c>
      <c r="W46" s="869">
        <f t="shared" si="29"/>
        <v>5279</v>
      </c>
    </row>
    <row r="47" spans="1:23" s="572" customFormat="1" ht="16.5" customHeight="1">
      <c r="A47" s="103">
        <v>44</v>
      </c>
      <c r="B47" s="834" t="s">
        <v>145</v>
      </c>
      <c r="C47" s="862">
        <f>'Table 8 2.1.12 MFP Funded'!W47</f>
        <v>4</v>
      </c>
      <c r="D47" s="863">
        <f>'Table 3 Levels 1&amp;2'!AL51*90%</f>
        <v>3701.8608832727095</v>
      </c>
      <c r="E47" s="863">
        <f t="shared" si="16"/>
        <v>14807.443533090838</v>
      </c>
      <c r="F47" s="864">
        <f>'Table 4 Level 3'!P49*90%</f>
        <v>596.84400000000005</v>
      </c>
      <c r="G47" s="864">
        <f t="shared" si="17"/>
        <v>2387.3760000000002</v>
      </c>
      <c r="H47" s="864">
        <f t="shared" si="18"/>
        <v>17194.819533090838</v>
      </c>
      <c r="I47" s="864">
        <f>(('Table 3 Levels 1&amp;2'!AL51-D47)+('Table 4 Level 3'!P49-F47))*C47</f>
        <v>1910.5355036767587</v>
      </c>
      <c r="J47" s="864">
        <f t="shared" si="19"/>
        <v>-43</v>
      </c>
      <c r="K47" s="865">
        <f t="shared" si="20"/>
        <v>17151.819533090838</v>
      </c>
      <c r="L47" s="865">
        <v>0</v>
      </c>
      <c r="M47" s="866">
        <f t="shared" si="21"/>
        <v>17151.819533090838</v>
      </c>
      <c r="N47" s="866">
        <f t="shared" si="22"/>
        <v>1429</v>
      </c>
      <c r="O47" s="868">
        <f>'[8]FY2012-13 Initial'!$K51*90%</f>
        <v>4194.9000000000005</v>
      </c>
      <c r="P47" s="868">
        <f t="shared" si="23"/>
        <v>16779.600000000002</v>
      </c>
      <c r="Q47" s="868">
        <f t="shared" si="24"/>
        <v>-42</v>
      </c>
      <c r="R47" s="868">
        <f t="shared" si="25"/>
        <v>16737.600000000002</v>
      </c>
      <c r="S47" s="867">
        <v>0</v>
      </c>
      <c r="T47" s="892">
        <f t="shared" si="26"/>
        <v>16737.600000000002</v>
      </c>
      <c r="U47" s="892">
        <f t="shared" si="27"/>
        <v>1395</v>
      </c>
      <c r="V47" s="869">
        <f t="shared" si="28"/>
        <v>33889.419533090841</v>
      </c>
      <c r="W47" s="869">
        <f t="shared" si="29"/>
        <v>2824</v>
      </c>
    </row>
    <row r="48" spans="1:23" s="572" customFormat="1" ht="16.5" customHeight="1">
      <c r="A48" s="104">
        <v>45</v>
      </c>
      <c r="B48" s="835" t="s">
        <v>146</v>
      </c>
      <c r="C48" s="870">
        <f>'Table 8 2.1.12 MFP Funded'!W48</f>
        <v>6</v>
      </c>
      <c r="D48" s="871">
        <f>'Table 3 Levels 1&amp;2'!AL52*90%</f>
        <v>2173.3631908348361</v>
      </c>
      <c r="E48" s="871">
        <f t="shared" si="16"/>
        <v>13040.179145009017</v>
      </c>
      <c r="F48" s="872">
        <f>'Table 4 Level 3'!P50*90%</f>
        <v>678.56400000000019</v>
      </c>
      <c r="G48" s="872">
        <f t="shared" si="17"/>
        <v>4071.3840000000009</v>
      </c>
      <c r="H48" s="872">
        <f t="shared" si="18"/>
        <v>17111.563145009019</v>
      </c>
      <c r="I48" s="872">
        <f>(('Table 3 Levels 1&amp;2'!AL52-D48)+('Table 4 Level 3'!P50-F48))*C48</f>
        <v>1901.2847938898908</v>
      </c>
      <c r="J48" s="872">
        <f t="shared" si="19"/>
        <v>-43</v>
      </c>
      <c r="K48" s="873">
        <f t="shared" si="20"/>
        <v>17068.563145009019</v>
      </c>
      <c r="L48" s="873">
        <v>0</v>
      </c>
      <c r="M48" s="874">
        <f t="shared" si="21"/>
        <v>17068.563145009019</v>
      </c>
      <c r="N48" s="874">
        <f t="shared" si="22"/>
        <v>1422</v>
      </c>
      <c r="O48" s="876">
        <f>'[8]FY2012-13 Initial'!$K52*90%</f>
        <v>10485</v>
      </c>
      <c r="P48" s="876">
        <f t="shared" si="23"/>
        <v>62910</v>
      </c>
      <c r="Q48" s="876">
        <f t="shared" si="24"/>
        <v>-157</v>
      </c>
      <c r="R48" s="876">
        <f t="shared" si="25"/>
        <v>62753</v>
      </c>
      <c r="S48" s="875">
        <v>0</v>
      </c>
      <c r="T48" s="893">
        <f t="shared" si="26"/>
        <v>62753</v>
      </c>
      <c r="U48" s="893">
        <f t="shared" si="27"/>
        <v>5229</v>
      </c>
      <c r="V48" s="877">
        <f t="shared" si="28"/>
        <v>79821.563145009015</v>
      </c>
      <c r="W48" s="877">
        <f t="shared" si="29"/>
        <v>6651</v>
      </c>
    </row>
    <row r="49" spans="1:23" s="572" customFormat="1" ht="16.5" customHeight="1">
      <c r="A49" s="103">
        <v>46</v>
      </c>
      <c r="B49" s="834" t="s">
        <v>147</v>
      </c>
      <c r="C49" s="854">
        <f>'Table 8 2.1.12 MFP Funded'!W49</f>
        <v>0</v>
      </c>
      <c r="D49" s="855">
        <f>'Table 3 Levels 1&amp;2'!AL53*90%</f>
        <v>5188.5283066922939</v>
      </c>
      <c r="E49" s="855">
        <f t="shared" si="16"/>
        <v>0</v>
      </c>
      <c r="F49" s="856">
        <f>'Table 4 Level 3'!P51*90%</f>
        <v>655.25400000000002</v>
      </c>
      <c r="G49" s="856">
        <f t="shared" si="17"/>
        <v>0</v>
      </c>
      <c r="H49" s="856">
        <f t="shared" si="18"/>
        <v>0</v>
      </c>
      <c r="I49" s="856">
        <f>(('Table 3 Levels 1&amp;2'!AL53-D49)+('Table 4 Level 3'!P51-F49))*C49</f>
        <v>0</v>
      </c>
      <c r="J49" s="856">
        <f t="shared" si="19"/>
        <v>0</v>
      </c>
      <c r="K49" s="857">
        <f t="shared" si="20"/>
        <v>0</v>
      </c>
      <c r="L49" s="857">
        <v>0</v>
      </c>
      <c r="M49" s="858">
        <f t="shared" si="21"/>
        <v>0</v>
      </c>
      <c r="N49" s="858">
        <f t="shared" si="22"/>
        <v>0</v>
      </c>
      <c r="O49" s="860">
        <f>'[8]FY2012-13 Initial'!$K53*90%</f>
        <v>1610.1000000000001</v>
      </c>
      <c r="P49" s="860">
        <f t="shared" si="23"/>
        <v>0</v>
      </c>
      <c r="Q49" s="860">
        <f t="shared" si="24"/>
        <v>0</v>
      </c>
      <c r="R49" s="860">
        <f t="shared" si="25"/>
        <v>0</v>
      </c>
      <c r="S49" s="859">
        <v>0</v>
      </c>
      <c r="T49" s="891">
        <f t="shared" si="26"/>
        <v>0</v>
      </c>
      <c r="U49" s="891">
        <f t="shared" si="27"/>
        <v>0</v>
      </c>
      <c r="V49" s="861">
        <f t="shared" si="28"/>
        <v>0</v>
      </c>
      <c r="W49" s="861">
        <f t="shared" si="29"/>
        <v>0</v>
      </c>
    </row>
    <row r="50" spans="1:23" s="572" customFormat="1" ht="16.5" customHeight="1">
      <c r="A50" s="103">
        <v>47</v>
      </c>
      <c r="B50" s="834" t="s">
        <v>148</v>
      </c>
      <c r="C50" s="862">
        <f>'Table 8 2.1.12 MFP Funded'!W50</f>
        <v>0</v>
      </c>
      <c r="D50" s="863">
        <f>'Table 3 Levels 1&amp;2'!AL54*90%</f>
        <v>2867.5540873050163</v>
      </c>
      <c r="E50" s="863">
        <f t="shared" si="16"/>
        <v>0</v>
      </c>
      <c r="F50" s="864">
        <f>'Table 4 Level 3'!P52*90%</f>
        <v>819.68399999999997</v>
      </c>
      <c r="G50" s="864">
        <f t="shared" si="17"/>
        <v>0</v>
      </c>
      <c r="H50" s="864">
        <f t="shared" si="18"/>
        <v>0</v>
      </c>
      <c r="I50" s="864">
        <f>(('Table 3 Levels 1&amp;2'!AL54-D50)+('Table 4 Level 3'!P52-F50))*C50</f>
        <v>0</v>
      </c>
      <c r="J50" s="864">
        <f t="shared" si="19"/>
        <v>0</v>
      </c>
      <c r="K50" s="865">
        <f t="shared" si="20"/>
        <v>0</v>
      </c>
      <c r="L50" s="865">
        <v>0</v>
      </c>
      <c r="M50" s="866">
        <f t="shared" si="21"/>
        <v>0</v>
      </c>
      <c r="N50" s="866">
        <f t="shared" si="22"/>
        <v>0</v>
      </c>
      <c r="O50" s="868">
        <f>'[8]FY2012-13 Initial'!$K54*90%</f>
        <v>8952.3000000000011</v>
      </c>
      <c r="P50" s="868">
        <f t="shared" si="23"/>
        <v>0</v>
      </c>
      <c r="Q50" s="868">
        <f t="shared" si="24"/>
        <v>0</v>
      </c>
      <c r="R50" s="868">
        <f t="shared" si="25"/>
        <v>0</v>
      </c>
      <c r="S50" s="867">
        <v>0</v>
      </c>
      <c r="T50" s="892">
        <f t="shared" si="26"/>
        <v>0</v>
      </c>
      <c r="U50" s="892">
        <f t="shared" si="27"/>
        <v>0</v>
      </c>
      <c r="V50" s="869">
        <f t="shared" si="28"/>
        <v>0</v>
      </c>
      <c r="W50" s="869">
        <f t="shared" si="29"/>
        <v>0</v>
      </c>
    </row>
    <row r="51" spans="1:23" s="572" customFormat="1" ht="16.5" customHeight="1">
      <c r="A51" s="103">
        <v>48</v>
      </c>
      <c r="B51" s="834" t="s">
        <v>222</v>
      </c>
      <c r="C51" s="862">
        <f>'Table 8 2.1.12 MFP Funded'!W51</f>
        <v>3</v>
      </c>
      <c r="D51" s="863">
        <f>'Table 3 Levels 1&amp;2'!AL55*90%</f>
        <v>3834.4384976522451</v>
      </c>
      <c r="E51" s="863">
        <f t="shared" si="16"/>
        <v>11503.315492956735</v>
      </c>
      <c r="F51" s="864">
        <f>'Table 4 Level 3'!P53*90%</f>
        <v>783.96300000000008</v>
      </c>
      <c r="G51" s="864">
        <f t="shared" si="17"/>
        <v>2351.8890000000001</v>
      </c>
      <c r="H51" s="864">
        <f t="shared" si="18"/>
        <v>13855.204492956735</v>
      </c>
      <c r="I51" s="864">
        <f>(('Table 3 Levels 1&amp;2'!AL55-D51)+('Table 4 Level 3'!P53-F51))*C51</f>
        <v>1539.4671658840816</v>
      </c>
      <c r="J51" s="864">
        <f t="shared" si="19"/>
        <v>-35</v>
      </c>
      <c r="K51" s="865">
        <f t="shared" si="20"/>
        <v>13820.204492956735</v>
      </c>
      <c r="L51" s="865">
        <v>0</v>
      </c>
      <c r="M51" s="866">
        <f t="shared" si="21"/>
        <v>13820.204492956735</v>
      </c>
      <c r="N51" s="866">
        <f t="shared" si="22"/>
        <v>1152</v>
      </c>
      <c r="O51" s="868">
        <f>'[8]FY2012-13 Initial'!$K55*90%</f>
        <v>4792.5</v>
      </c>
      <c r="P51" s="868">
        <f t="shared" si="23"/>
        <v>14377.5</v>
      </c>
      <c r="Q51" s="868">
        <f t="shared" si="24"/>
        <v>-36</v>
      </c>
      <c r="R51" s="868">
        <f t="shared" si="25"/>
        <v>14341.5</v>
      </c>
      <c r="S51" s="867">
        <v>0</v>
      </c>
      <c r="T51" s="892">
        <f t="shared" si="26"/>
        <v>14341.5</v>
      </c>
      <c r="U51" s="892">
        <f t="shared" si="27"/>
        <v>1195</v>
      </c>
      <c r="V51" s="869">
        <f t="shared" si="28"/>
        <v>28161.704492956735</v>
      </c>
      <c r="W51" s="869">
        <f t="shared" si="29"/>
        <v>2347</v>
      </c>
    </row>
    <row r="52" spans="1:23" s="572" customFormat="1" ht="16.5" customHeight="1">
      <c r="A52" s="103">
        <v>49</v>
      </c>
      <c r="B52" s="834" t="s">
        <v>149</v>
      </c>
      <c r="C52" s="862">
        <f>'Table 8 2.1.12 MFP Funded'!W52</f>
        <v>10</v>
      </c>
      <c r="D52" s="863">
        <f>'Table 3 Levels 1&amp;2'!AL56*90%</f>
        <v>4320.19549305694</v>
      </c>
      <c r="E52" s="863">
        <f t="shared" si="16"/>
        <v>43201.954930569402</v>
      </c>
      <c r="F52" s="864">
        <f>'Table 4 Level 3'!P54*90%</f>
        <v>516.99599999999998</v>
      </c>
      <c r="G52" s="864">
        <f t="shared" si="17"/>
        <v>5169.96</v>
      </c>
      <c r="H52" s="864">
        <f t="shared" si="18"/>
        <v>48371.914930569401</v>
      </c>
      <c r="I52" s="864">
        <f>(('Table 3 Levels 1&amp;2'!AL56-D52)+('Table 4 Level 3'!P54-F52))*C52</f>
        <v>5374.6572145077107</v>
      </c>
      <c r="J52" s="864">
        <f t="shared" si="19"/>
        <v>-121</v>
      </c>
      <c r="K52" s="865">
        <f t="shared" si="20"/>
        <v>48250.914930569401</v>
      </c>
      <c r="L52" s="865">
        <v>0</v>
      </c>
      <c r="M52" s="866">
        <f t="shared" si="21"/>
        <v>48250.914930569401</v>
      </c>
      <c r="N52" s="866">
        <f t="shared" si="22"/>
        <v>4021</v>
      </c>
      <c r="O52" s="868">
        <f>'[8]FY2012-13 Initial'!$K56*90%</f>
        <v>2093.4</v>
      </c>
      <c r="P52" s="868">
        <f t="shared" si="23"/>
        <v>20934</v>
      </c>
      <c r="Q52" s="868">
        <f t="shared" si="24"/>
        <v>-52</v>
      </c>
      <c r="R52" s="868">
        <f t="shared" si="25"/>
        <v>20882</v>
      </c>
      <c r="S52" s="867">
        <v>0</v>
      </c>
      <c r="T52" s="892">
        <f t="shared" si="26"/>
        <v>20882</v>
      </c>
      <c r="U52" s="892">
        <f t="shared" si="27"/>
        <v>1740</v>
      </c>
      <c r="V52" s="869">
        <f t="shared" si="28"/>
        <v>69132.914930569401</v>
      </c>
      <c r="W52" s="869">
        <f t="shared" si="29"/>
        <v>5761</v>
      </c>
    </row>
    <row r="53" spans="1:23" s="572" customFormat="1" ht="16.5" customHeight="1">
      <c r="A53" s="104">
        <v>50</v>
      </c>
      <c r="B53" s="835" t="s">
        <v>150</v>
      </c>
      <c r="C53" s="870">
        <f>'Table 8 2.1.12 MFP Funded'!W53</f>
        <v>15</v>
      </c>
      <c r="D53" s="871">
        <f>'Table 3 Levels 1&amp;2'!AL57*90%</f>
        <v>4553.5713789775837</v>
      </c>
      <c r="E53" s="871">
        <f t="shared" si="16"/>
        <v>68303.570684663748</v>
      </c>
      <c r="F53" s="872">
        <f>'Table 4 Level 3'!P55*90%</f>
        <v>571.01400000000001</v>
      </c>
      <c r="G53" s="872">
        <f t="shared" si="17"/>
        <v>8565.2100000000009</v>
      </c>
      <c r="H53" s="872">
        <f t="shared" si="18"/>
        <v>76868.780684663754</v>
      </c>
      <c r="I53" s="872">
        <f>(('Table 3 Levels 1&amp;2'!AL57-D53)+('Table 4 Level 3'!P55-F53))*C53</f>
        <v>8540.9756316293006</v>
      </c>
      <c r="J53" s="872">
        <f t="shared" si="19"/>
        <v>-192</v>
      </c>
      <c r="K53" s="873">
        <f t="shared" si="20"/>
        <v>76676.780684663754</v>
      </c>
      <c r="L53" s="873">
        <v>0</v>
      </c>
      <c r="M53" s="874">
        <f t="shared" si="21"/>
        <v>76676.780684663754</v>
      </c>
      <c r="N53" s="874">
        <f t="shared" si="22"/>
        <v>6390</v>
      </c>
      <c r="O53" s="876">
        <f>'[8]FY2012-13 Initial'!$K57*90%</f>
        <v>2316.6</v>
      </c>
      <c r="P53" s="876">
        <f t="shared" si="23"/>
        <v>34749</v>
      </c>
      <c r="Q53" s="876">
        <f t="shared" si="24"/>
        <v>-87</v>
      </c>
      <c r="R53" s="876">
        <f t="shared" si="25"/>
        <v>34662</v>
      </c>
      <c r="S53" s="875">
        <v>0</v>
      </c>
      <c r="T53" s="893">
        <f t="shared" si="26"/>
        <v>34662</v>
      </c>
      <c r="U53" s="893">
        <f t="shared" si="27"/>
        <v>2889</v>
      </c>
      <c r="V53" s="877">
        <f t="shared" si="28"/>
        <v>111338.78068466375</v>
      </c>
      <c r="W53" s="877">
        <f t="shared" si="29"/>
        <v>9279</v>
      </c>
    </row>
    <row r="54" spans="1:23" s="572" customFormat="1" ht="16.5" customHeight="1">
      <c r="A54" s="103">
        <v>51</v>
      </c>
      <c r="B54" s="834" t="s">
        <v>151</v>
      </c>
      <c r="C54" s="854">
        <f>'Table 8 2.1.12 MFP Funded'!W54</f>
        <v>5</v>
      </c>
      <c r="D54" s="855">
        <f>'Table 3 Levels 1&amp;2'!AL58*90%</f>
        <v>3945.6429404417722</v>
      </c>
      <c r="E54" s="855">
        <f t="shared" si="16"/>
        <v>19728.214702208861</v>
      </c>
      <c r="F54" s="856">
        <f>'Table 4 Level 3'!P56*90%</f>
        <v>635.99400000000003</v>
      </c>
      <c r="G54" s="856">
        <f t="shared" si="17"/>
        <v>3179.9700000000003</v>
      </c>
      <c r="H54" s="856">
        <f t="shared" si="18"/>
        <v>22908.184702208862</v>
      </c>
      <c r="I54" s="856">
        <f>(('Table 3 Levels 1&amp;2'!AL58-D54)+('Table 4 Level 3'!P56-F54))*C54</f>
        <v>2545.353855800985</v>
      </c>
      <c r="J54" s="856">
        <f t="shared" si="19"/>
        <v>-57</v>
      </c>
      <c r="K54" s="857">
        <f t="shared" si="20"/>
        <v>22851.184702208862</v>
      </c>
      <c r="L54" s="857">
        <v>0</v>
      </c>
      <c r="M54" s="858">
        <f t="shared" si="21"/>
        <v>22851.184702208862</v>
      </c>
      <c r="N54" s="858">
        <f t="shared" si="22"/>
        <v>1904</v>
      </c>
      <c r="O54" s="860">
        <f>'[8]FY2012-13 Initial'!$K58*90%</f>
        <v>3548.7000000000003</v>
      </c>
      <c r="P54" s="860">
        <f t="shared" si="23"/>
        <v>17743.5</v>
      </c>
      <c r="Q54" s="860">
        <f t="shared" si="24"/>
        <v>-44</v>
      </c>
      <c r="R54" s="860">
        <f t="shared" si="25"/>
        <v>17699.5</v>
      </c>
      <c r="S54" s="859">
        <v>0</v>
      </c>
      <c r="T54" s="891">
        <f t="shared" si="26"/>
        <v>17699.5</v>
      </c>
      <c r="U54" s="891">
        <f t="shared" si="27"/>
        <v>1475</v>
      </c>
      <c r="V54" s="861">
        <f t="shared" si="28"/>
        <v>40550.684702208862</v>
      </c>
      <c r="W54" s="861">
        <f t="shared" si="29"/>
        <v>3379</v>
      </c>
    </row>
    <row r="55" spans="1:23" s="572" customFormat="1" ht="16.5" customHeight="1">
      <c r="A55" s="103">
        <v>52</v>
      </c>
      <c r="B55" s="834" t="s">
        <v>152</v>
      </c>
      <c r="C55" s="862">
        <f>'Table 8 2.1.12 MFP Funded'!W55</f>
        <v>51</v>
      </c>
      <c r="D55" s="863">
        <f>'Table 3 Levels 1&amp;2'!AL59*90%</f>
        <v>4428.0628148689884</v>
      </c>
      <c r="E55" s="863">
        <f t="shared" si="16"/>
        <v>225831.2035583184</v>
      </c>
      <c r="F55" s="864">
        <f>'Table 4 Level 3'!P57*90%</f>
        <v>592.53300000000002</v>
      </c>
      <c r="G55" s="864">
        <f t="shared" si="17"/>
        <v>30219.183000000001</v>
      </c>
      <c r="H55" s="864">
        <f t="shared" si="18"/>
        <v>256050.38655831839</v>
      </c>
      <c r="I55" s="864">
        <f>(('Table 3 Levels 1&amp;2'!AL59-D55)+('Table 4 Level 3'!P57-F55))*C55</f>
        <v>28450.042950924235</v>
      </c>
      <c r="J55" s="864">
        <f t="shared" si="19"/>
        <v>-640</v>
      </c>
      <c r="K55" s="865">
        <f t="shared" si="20"/>
        <v>255410.38655831839</v>
      </c>
      <c r="L55" s="865">
        <v>0</v>
      </c>
      <c r="M55" s="866">
        <f t="shared" si="21"/>
        <v>255410.38655831839</v>
      </c>
      <c r="N55" s="866">
        <f t="shared" si="22"/>
        <v>21284</v>
      </c>
      <c r="O55" s="868">
        <f>'[8]FY2012-13 Initial'!$K59*90%</f>
        <v>4275</v>
      </c>
      <c r="P55" s="868">
        <f t="shared" si="23"/>
        <v>218025</v>
      </c>
      <c r="Q55" s="868">
        <f t="shared" si="24"/>
        <v>-545</v>
      </c>
      <c r="R55" s="868">
        <f t="shared" si="25"/>
        <v>217480</v>
      </c>
      <c r="S55" s="867">
        <v>0</v>
      </c>
      <c r="T55" s="892">
        <f t="shared" si="26"/>
        <v>217480</v>
      </c>
      <c r="U55" s="892">
        <f t="shared" si="27"/>
        <v>18123</v>
      </c>
      <c r="V55" s="869">
        <f t="shared" si="28"/>
        <v>472890.38655831839</v>
      </c>
      <c r="W55" s="869">
        <f t="shared" si="29"/>
        <v>39407</v>
      </c>
    </row>
    <row r="56" spans="1:23" s="572" customFormat="1" ht="16.5" customHeight="1">
      <c r="A56" s="103">
        <v>53</v>
      </c>
      <c r="B56" s="834" t="s">
        <v>153</v>
      </c>
      <c r="C56" s="862">
        <f>'Table 8 2.1.12 MFP Funded'!W56</f>
        <v>22</v>
      </c>
      <c r="D56" s="863">
        <f>'Table 3 Levels 1&amp;2'!AL60*90%</f>
        <v>4305.8447883690851</v>
      </c>
      <c r="E56" s="863">
        <f t="shared" si="16"/>
        <v>94728.585344119871</v>
      </c>
      <c r="F56" s="864">
        <f>'Table 4 Level 3'!P58*90%</f>
        <v>620.76600000000008</v>
      </c>
      <c r="G56" s="864">
        <f t="shared" si="17"/>
        <v>13656.852000000003</v>
      </c>
      <c r="H56" s="864">
        <f t="shared" si="18"/>
        <v>108385.43734411987</v>
      </c>
      <c r="I56" s="864">
        <f>(('Table 3 Levels 1&amp;2'!AL60-D56)+('Table 4 Level 3'!P58-F56))*C56</f>
        <v>12042.826371568877</v>
      </c>
      <c r="J56" s="864">
        <f t="shared" si="19"/>
        <v>-271</v>
      </c>
      <c r="K56" s="865">
        <f t="shared" si="20"/>
        <v>108114.43734411987</v>
      </c>
      <c r="L56" s="865">
        <v>0</v>
      </c>
      <c r="M56" s="866">
        <f t="shared" si="21"/>
        <v>108114.43734411987</v>
      </c>
      <c r="N56" s="866">
        <f t="shared" si="22"/>
        <v>9010</v>
      </c>
      <c r="O56" s="868">
        <f>'[8]FY2012-13 Initial'!$K60*90%</f>
        <v>1721.7</v>
      </c>
      <c r="P56" s="868">
        <f t="shared" si="23"/>
        <v>37877.4</v>
      </c>
      <c r="Q56" s="868">
        <f t="shared" si="24"/>
        <v>-95</v>
      </c>
      <c r="R56" s="868">
        <f t="shared" si="25"/>
        <v>37782.400000000001</v>
      </c>
      <c r="S56" s="867">
        <v>0</v>
      </c>
      <c r="T56" s="892">
        <f t="shared" si="26"/>
        <v>37782.400000000001</v>
      </c>
      <c r="U56" s="892">
        <f t="shared" si="27"/>
        <v>3149</v>
      </c>
      <c r="V56" s="869">
        <f t="shared" si="28"/>
        <v>145896.83734411988</v>
      </c>
      <c r="W56" s="869">
        <f t="shared" si="29"/>
        <v>12159</v>
      </c>
    </row>
    <row r="57" spans="1:23" s="572" customFormat="1" ht="16.5" customHeight="1">
      <c r="A57" s="103">
        <v>54</v>
      </c>
      <c r="B57" s="834" t="s">
        <v>154</v>
      </c>
      <c r="C57" s="862">
        <f>'Table 8 2.1.12 MFP Funded'!W57</f>
        <v>2</v>
      </c>
      <c r="D57" s="863">
        <f>'Table 3 Levels 1&amp;2'!AL61*90%</f>
        <v>5384.2999847828814</v>
      </c>
      <c r="E57" s="863">
        <f t="shared" si="16"/>
        <v>10768.599969565763</v>
      </c>
      <c r="F57" s="864">
        <f>'Table 4 Level 3'!P59*90%</f>
        <v>856.30500000000006</v>
      </c>
      <c r="G57" s="864">
        <f t="shared" si="17"/>
        <v>1712.6100000000001</v>
      </c>
      <c r="H57" s="864">
        <f t="shared" si="18"/>
        <v>12481.209969565763</v>
      </c>
      <c r="I57" s="864">
        <f>(('Table 3 Levels 1&amp;2'!AL61-D57)+('Table 4 Level 3'!P59-F57))*C57</f>
        <v>1386.8011077295296</v>
      </c>
      <c r="J57" s="864">
        <f t="shared" si="19"/>
        <v>-31</v>
      </c>
      <c r="K57" s="865">
        <f t="shared" si="20"/>
        <v>12450.209969565763</v>
      </c>
      <c r="L57" s="865">
        <v>0</v>
      </c>
      <c r="M57" s="866">
        <f t="shared" si="21"/>
        <v>12450.209969565763</v>
      </c>
      <c r="N57" s="866">
        <f t="shared" si="22"/>
        <v>1038</v>
      </c>
      <c r="O57" s="868">
        <f>'[8]FY2012-13 Initial'!$K61*90%</f>
        <v>2937.6</v>
      </c>
      <c r="P57" s="868">
        <f t="shared" si="23"/>
        <v>5875.2</v>
      </c>
      <c r="Q57" s="868">
        <f t="shared" si="24"/>
        <v>-15</v>
      </c>
      <c r="R57" s="868">
        <f t="shared" si="25"/>
        <v>5860.2</v>
      </c>
      <c r="S57" s="867">
        <v>0</v>
      </c>
      <c r="T57" s="892">
        <f t="shared" si="26"/>
        <v>5860.2</v>
      </c>
      <c r="U57" s="892">
        <f t="shared" si="27"/>
        <v>488</v>
      </c>
      <c r="V57" s="869">
        <f t="shared" si="28"/>
        <v>18310.409969565764</v>
      </c>
      <c r="W57" s="869">
        <f t="shared" si="29"/>
        <v>1526</v>
      </c>
    </row>
    <row r="58" spans="1:23" s="572" customFormat="1" ht="16.5" customHeight="1">
      <c r="A58" s="104">
        <v>55</v>
      </c>
      <c r="B58" s="835" t="s">
        <v>155</v>
      </c>
      <c r="C58" s="870">
        <f>'Table 8 2.1.12 MFP Funded'!W58</f>
        <v>13</v>
      </c>
      <c r="D58" s="871">
        <f>'Table 3 Levels 1&amp;2'!AL62*90%</f>
        <v>3678.661570393685</v>
      </c>
      <c r="E58" s="871">
        <f t="shared" si="16"/>
        <v>47822.600415117908</v>
      </c>
      <c r="F58" s="872">
        <f>'Table 4 Level 3'!P60*90%</f>
        <v>715.62599999999998</v>
      </c>
      <c r="G58" s="872">
        <f t="shared" si="17"/>
        <v>9303.137999999999</v>
      </c>
      <c r="H58" s="872">
        <f t="shared" si="18"/>
        <v>57125.738415117907</v>
      </c>
      <c r="I58" s="872">
        <f>(('Table 3 Levels 1&amp;2'!AL62-D58)+('Table 4 Level 3'!P60-F58))*C58</f>
        <v>6347.3042683464337</v>
      </c>
      <c r="J58" s="872">
        <f t="shared" si="19"/>
        <v>-143</v>
      </c>
      <c r="K58" s="873">
        <f t="shared" si="20"/>
        <v>56982.738415117907</v>
      </c>
      <c r="L58" s="873">
        <v>0</v>
      </c>
      <c r="M58" s="874">
        <f t="shared" si="21"/>
        <v>56982.738415117907</v>
      </c>
      <c r="N58" s="874">
        <f t="shared" si="22"/>
        <v>4749</v>
      </c>
      <c r="O58" s="876">
        <f>'[8]FY2012-13 Initial'!$K62*90%</f>
        <v>2763.9</v>
      </c>
      <c r="P58" s="876">
        <f t="shared" si="23"/>
        <v>35930.700000000004</v>
      </c>
      <c r="Q58" s="876">
        <f t="shared" si="24"/>
        <v>-90</v>
      </c>
      <c r="R58" s="876">
        <f t="shared" si="25"/>
        <v>35840.700000000004</v>
      </c>
      <c r="S58" s="875">
        <v>0</v>
      </c>
      <c r="T58" s="893">
        <f t="shared" si="26"/>
        <v>35840.700000000004</v>
      </c>
      <c r="U58" s="893">
        <f t="shared" si="27"/>
        <v>2987</v>
      </c>
      <c r="V58" s="877">
        <f t="shared" si="28"/>
        <v>92823.438415117911</v>
      </c>
      <c r="W58" s="877">
        <f t="shared" si="29"/>
        <v>7736</v>
      </c>
    </row>
    <row r="59" spans="1:23" s="572" customFormat="1" ht="16.5" customHeight="1">
      <c r="A59" s="103">
        <v>56</v>
      </c>
      <c r="B59" s="834" t="s">
        <v>156</v>
      </c>
      <c r="C59" s="854">
        <f>'Table 8 2.1.12 MFP Funded'!W59</f>
        <v>3</v>
      </c>
      <c r="D59" s="855">
        <f>'Table 3 Levels 1&amp;2'!AL63*90%</f>
        <v>4547.0025848522419</v>
      </c>
      <c r="E59" s="855">
        <f t="shared" si="16"/>
        <v>13641.007754556726</v>
      </c>
      <c r="F59" s="856">
        <f>'Table 4 Level 3'!P61*90%</f>
        <v>553.19400000000007</v>
      </c>
      <c r="G59" s="856">
        <f t="shared" si="17"/>
        <v>1659.5820000000003</v>
      </c>
      <c r="H59" s="856">
        <f t="shared" si="18"/>
        <v>15300.589754556726</v>
      </c>
      <c r="I59" s="856">
        <f>(('Table 3 Levels 1&amp;2'!AL63-D59)+('Table 4 Level 3'!P61-F59))*C59</f>
        <v>1700.0655282840798</v>
      </c>
      <c r="J59" s="856">
        <f t="shared" si="19"/>
        <v>-38</v>
      </c>
      <c r="K59" s="857">
        <f t="shared" si="20"/>
        <v>15262.589754556726</v>
      </c>
      <c r="L59" s="857">
        <v>0</v>
      </c>
      <c r="M59" s="858">
        <f t="shared" si="21"/>
        <v>15262.589754556726</v>
      </c>
      <c r="N59" s="858">
        <f t="shared" si="22"/>
        <v>1272</v>
      </c>
      <c r="O59" s="860">
        <f>'[8]FY2012-13 Initial'!$K63*90%</f>
        <v>2367</v>
      </c>
      <c r="P59" s="860">
        <f t="shared" si="23"/>
        <v>7101</v>
      </c>
      <c r="Q59" s="860">
        <f t="shared" si="24"/>
        <v>-18</v>
      </c>
      <c r="R59" s="860">
        <f t="shared" si="25"/>
        <v>7083</v>
      </c>
      <c r="S59" s="859">
        <v>0</v>
      </c>
      <c r="T59" s="891">
        <f t="shared" si="26"/>
        <v>7083</v>
      </c>
      <c r="U59" s="891">
        <f t="shared" si="27"/>
        <v>590</v>
      </c>
      <c r="V59" s="861">
        <f t="shared" si="28"/>
        <v>22345.589754556728</v>
      </c>
      <c r="W59" s="861">
        <f t="shared" si="29"/>
        <v>1862</v>
      </c>
    </row>
    <row r="60" spans="1:23" s="572" customFormat="1" ht="16.5" customHeight="1">
      <c r="A60" s="103">
        <v>57</v>
      </c>
      <c r="B60" s="834" t="s">
        <v>157</v>
      </c>
      <c r="C60" s="862">
        <f>'Table 8 2.1.12 MFP Funded'!W60</f>
        <v>7</v>
      </c>
      <c r="D60" s="863">
        <f>'Table 3 Levels 1&amp;2'!AL64*90%</f>
        <v>3950.447686234284</v>
      </c>
      <c r="E60" s="863">
        <f t="shared" si="16"/>
        <v>27653.133803639987</v>
      </c>
      <c r="F60" s="864">
        <f>'Table 4 Level 3'!P62*90%</f>
        <v>688.05899999999997</v>
      </c>
      <c r="G60" s="864">
        <f t="shared" si="17"/>
        <v>4816.4129999999996</v>
      </c>
      <c r="H60" s="864">
        <f t="shared" si="18"/>
        <v>32469.546803639987</v>
      </c>
      <c r="I60" s="864">
        <f>(('Table 3 Levels 1&amp;2'!AL64-D60)+('Table 4 Level 3'!P62-F60))*C60</f>
        <v>3607.7274226266641</v>
      </c>
      <c r="J60" s="864">
        <f t="shared" si="19"/>
        <v>-81</v>
      </c>
      <c r="K60" s="865">
        <f t="shared" si="20"/>
        <v>32388.546803639987</v>
      </c>
      <c r="L60" s="865">
        <v>0</v>
      </c>
      <c r="M60" s="866">
        <f t="shared" si="21"/>
        <v>32388.546803639987</v>
      </c>
      <c r="N60" s="866">
        <f t="shared" si="22"/>
        <v>2699</v>
      </c>
      <c r="O60" s="868">
        <f>'[8]FY2012-13 Initial'!$K64*90%</f>
        <v>2747.7000000000003</v>
      </c>
      <c r="P60" s="868">
        <f t="shared" si="23"/>
        <v>19233.900000000001</v>
      </c>
      <c r="Q60" s="868">
        <f t="shared" si="24"/>
        <v>-48</v>
      </c>
      <c r="R60" s="868">
        <f t="shared" si="25"/>
        <v>19185.900000000001</v>
      </c>
      <c r="S60" s="867">
        <v>0</v>
      </c>
      <c r="T60" s="892">
        <f t="shared" si="26"/>
        <v>19185.900000000001</v>
      </c>
      <c r="U60" s="892">
        <f t="shared" si="27"/>
        <v>1599</v>
      </c>
      <c r="V60" s="869">
        <f t="shared" si="28"/>
        <v>51574.446803639992</v>
      </c>
      <c r="W60" s="869">
        <f t="shared" si="29"/>
        <v>4298</v>
      </c>
    </row>
    <row r="61" spans="1:23" s="572" customFormat="1" ht="16.5" customHeight="1">
      <c r="A61" s="103">
        <v>58</v>
      </c>
      <c r="B61" s="834" t="s">
        <v>158</v>
      </c>
      <c r="C61" s="862">
        <f>'Table 8 2.1.12 MFP Funded'!W61</f>
        <v>12</v>
      </c>
      <c r="D61" s="863">
        <f>'Table 3 Levels 1&amp;2'!AL65*90%</f>
        <v>4793.299299641707</v>
      </c>
      <c r="E61" s="863">
        <f t="shared" si="16"/>
        <v>57519.591595700484</v>
      </c>
      <c r="F61" s="864">
        <f>'Table 4 Level 3'!P63*90%</f>
        <v>627.33600000000001</v>
      </c>
      <c r="G61" s="864">
        <f t="shared" si="17"/>
        <v>7528.0320000000002</v>
      </c>
      <c r="H61" s="864">
        <f t="shared" si="18"/>
        <v>65047.623595700483</v>
      </c>
      <c r="I61" s="864">
        <f>(('Table 3 Levels 1&amp;2'!AL65-D61)+('Table 4 Level 3'!P63-F61))*C61</f>
        <v>7227.5137328556038</v>
      </c>
      <c r="J61" s="864">
        <f t="shared" si="19"/>
        <v>-163</v>
      </c>
      <c r="K61" s="865">
        <f t="shared" si="20"/>
        <v>64884.623595700483</v>
      </c>
      <c r="L61" s="865">
        <v>0</v>
      </c>
      <c r="M61" s="866">
        <f t="shared" si="21"/>
        <v>64884.623595700483</v>
      </c>
      <c r="N61" s="866">
        <f t="shared" si="22"/>
        <v>5407</v>
      </c>
      <c r="O61" s="868">
        <f>'[8]FY2012-13 Initial'!$K65*90%</f>
        <v>1725.3</v>
      </c>
      <c r="P61" s="868">
        <f t="shared" si="23"/>
        <v>20703.599999999999</v>
      </c>
      <c r="Q61" s="868">
        <f t="shared" si="24"/>
        <v>-52</v>
      </c>
      <c r="R61" s="868">
        <f t="shared" si="25"/>
        <v>20651.599999999999</v>
      </c>
      <c r="S61" s="867">
        <v>0</v>
      </c>
      <c r="T61" s="892">
        <f t="shared" si="26"/>
        <v>20651.599999999999</v>
      </c>
      <c r="U61" s="892">
        <f t="shared" si="27"/>
        <v>1721</v>
      </c>
      <c r="V61" s="869">
        <f t="shared" si="28"/>
        <v>85536.223595700489</v>
      </c>
      <c r="W61" s="869">
        <f t="shared" si="29"/>
        <v>7128</v>
      </c>
    </row>
    <row r="62" spans="1:23" s="572" customFormat="1" ht="16.5" customHeight="1">
      <c r="A62" s="103">
        <v>59</v>
      </c>
      <c r="B62" s="834" t="s">
        <v>159</v>
      </c>
      <c r="C62" s="862">
        <f>'Table 8 2.1.12 MFP Funded'!W62</f>
        <v>8</v>
      </c>
      <c r="D62" s="863">
        <f>'Table 3 Levels 1&amp;2'!AL66*90%</f>
        <v>5695.6467258433941</v>
      </c>
      <c r="E62" s="863">
        <f t="shared" si="16"/>
        <v>45565.173806747152</v>
      </c>
      <c r="F62" s="864">
        <f>'Table 4 Level 3'!P64*90%</f>
        <v>620.56799999999998</v>
      </c>
      <c r="G62" s="864">
        <f t="shared" si="17"/>
        <v>4964.5439999999999</v>
      </c>
      <c r="H62" s="864">
        <f t="shared" si="18"/>
        <v>50529.717806747154</v>
      </c>
      <c r="I62" s="864">
        <f>(('Table 3 Levels 1&amp;2'!AL66-D62)+('Table 4 Level 3'!P64-F62))*C62</f>
        <v>5614.4130896385741</v>
      </c>
      <c r="J62" s="864">
        <f t="shared" si="19"/>
        <v>-126</v>
      </c>
      <c r="K62" s="865">
        <f t="shared" si="20"/>
        <v>50403.717806747154</v>
      </c>
      <c r="L62" s="865">
        <v>0</v>
      </c>
      <c r="M62" s="866">
        <f t="shared" si="21"/>
        <v>50403.717806747154</v>
      </c>
      <c r="N62" s="866">
        <f t="shared" si="22"/>
        <v>4200</v>
      </c>
      <c r="O62" s="868">
        <f>'[8]FY2012-13 Initial'!$K66*90%</f>
        <v>1397.7</v>
      </c>
      <c r="P62" s="868">
        <f t="shared" si="23"/>
        <v>11181.6</v>
      </c>
      <c r="Q62" s="868">
        <f t="shared" si="24"/>
        <v>-28</v>
      </c>
      <c r="R62" s="868">
        <f t="shared" si="25"/>
        <v>11153.6</v>
      </c>
      <c r="S62" s="867">
        <v>0</v>
      </c>
      <c r="T62" s="892">
        <f t="shared" si="26"/>
        <v>11153.6</v>
      </c>
      <c r="U62" s="892">
        <f t="shared" si="27"/>
        <v>929</v>
      </c>
      <c r="V62" s="869">
        <f t="shared" si="28"/>
        <v>61557.317806747153</v>
      </c>
      <c r="W62" s="869">
        <f t="shared" si="29"/>
        <v>5129</v>
      </c>
    </row>
    <row r="63" spans="1:23" s="572" customFormat="1" ht="16.5" customHeight="1">
      <c r="A63" s="104">
        <v>60</v>
      </c>
      <c r="B63" s="835" t="s">
        <v>160</v>
      </c>
      <c r="C63" s="870">
        <f>'Table 8 2.1.12 MFP Funded'!W63</f>
        <v>16</v>
      </c>
      <c r="D63" s="871">
        <f>'Table 3 Levels 1&amp;2'!AL67*90%</f>
        <v>4342.6550907564415</v>
      </c>
      <c r="E63" s="871">
        <f t="shared" si="16"/>
        <v>69482.481452103064</v>
      </c>
      <c r="F63" s="872">
        <f>'Table 4 Level 3'!P65*90%</f>
        <v>534.63599999999997</v>
      </c>
      <c r="G63" s="872">
        <f t="shared" si="17"/>
        <v>8554.1759999999995</v>
      </c>
      <c r="H63" s="872">
        <f t="shared" si="18"/>
        <v>78036.657452103071</v>
      </c>
      <c r="I63" s="872">
        <f>(('Table 3 Levels 1&amp;2'!AL67-D63)+('Table 4 Level 3'!P65-F63))*C63</f>
        <v>8670.7397169003307</v>
      </c>
      <c r="J63" s="872">
        <f t="shared" si="19"/>
        <v>-195</v>
      </c>
      <c r="K63" s="873">
        <f t="shared" si="20"/>
        <v>77841.657452103071</v>
      </c>
      <c r="L63" s="873">
        <v>0</v>
      </c>
      <c r="M63" s="874">
        <f t="shared" si="21"/>
        <v>77841.657452103071</v>
      </c>
      <c r="N63" s="874">
        <f t="shared" si="22"/>
        <v>6487</v>
      </c>
      <c r="O63" s="876">
        <f>'[8]FY2012-13 Initial'!$K67*90%</f>
        <v>3418.2000000000003</v>
      </c>
      <c r="P63" s="876">
        <f t="shared" si="23"/>
        <v>54691.200000000004</v>
      </c>
      <c r="Q63" s="876">
        <f t="shared" si="24"/>
        <v>-137</v>
      </c>
      <c r="R63" s="876">
        <f t="shared" si="25"/>
        <v>54554.200000000004</v>
      </c>
      <c r="S63" s="875">
        <v>0</v>
      </c>
      <c r="T63" s="893">
        <f t="shared" si="26"/>
        <v>54554.200000000004</v>
      </c>
      <c r="U63" s="893">
        <f t="shared" si="27"/>
        <v>4546</v>
      </c>
      <c r="V63" s="877">
        <f t="shared" si="28"/>
        <v>132395.85745210308</v>
      </c>
      <c r="W63" s="877">
        <f t="shared" si="29"/>
        <v>11033</v>
      </c>
    </row>
    <row r="64" spans="1:23" s="572" customFormat="1" ht="16.5" customHeight="1">
      <c r="A64" s="103">
        <v>61</v>
      </c>
      <c r="B64" s="834" t="s">
        <v>161</v>
      </c>
      <c r="C64" s="854">
        <f>'Table 8 2.1.12 MFP Funded'!W64</f>
        <v>0</v>
      </c>
      <c r="D64" s="855">
        <f>'Table 3 Levels 1&amp;2'!AL68*90%</f>
        <v>2756.9799328126755</v>
      </c>
      <c r="E64" s="855">
        <f t="shared" si="16"/>
        <v>0</v>
      </c>
      <c r="F64" s="856">
        <f>'Table 4 Level 3'!P66*90%</f>
        <v>750.33899999999994</v>
      </c>
      <c r="G64" s="856">
        <f t="shared" si="17"/>
        <v>0</v>
      </c>
      <c r="H64" s="856">
        <f t="shared" si="18"/>
        <v>0</v>
      </c>
      <c r="I64" s="856">
        <f>(('Table 3 Levels 1&amp;2'!AL68-D64)+('Table 4 Level 3'!P66-F64))*C64</f>
        <v>0</v>
      </c>
      <c r="J64" s="856">
        <f t="shared" si="19"/>
        <v>0</v>
      </c>
      <c r="K64" s="857">
        <f t="shared" si="20"/>
        <v>0</v>
      </c>
      <c r="L64" s="857">
        <v>0</v>
      </c>
      <c r="M64" s="858">
        <f t="shared" si="21"/>
        <v>0</v>
      </c>
      <c r="N64" s="858">
        <f t="shared" si="22"/>
        <v>0</v>
      </c>
      <c r="O64" s="860">
        <f>'[8]FY2012-13 Initial'!$K68*90%</f>
        <v>6054.3</v>
      </c>
      <c r="P64" s="860">
        <f t="shared" si="23"/>
        <v>0</v>
      </c>
      <c r="Q64" s="860">
        <f t="shared" si="24"/>
        <v>0</v>
      </c>
      <c r="R64" s="860">
        <f t="shared" si="25"/>
        <v>0</v>
      </c>
      <c r="S64" s="859">
        <v>0</v>
      </c>
      <c r="T64" s="891">
        <f t="shared" si="26"/>
        <v>0</v>
      </c>
      <c r="U64" s="891">
        <f t="shared" si="27"/>
        <v>0</v>
      </c>
      <c r="V64" s="861">
        <f t="shared" si="28"/>
        <v>0</v>
      </c>
      <c r="W64" s="861">
        <f t="shared" si="29"/>
        <v>0</v>
      </c>
    </row>
    <row r="65" spans="1:23" s="572" customFormat="1" ht="16.5" customHeight="1">
      <c r="A65" s="103">
        <v>62</v>
      </c>
      <c r="B65" s="834" t="s">
        <v>162</v>
      </c>
      <c r="C65" s="862">
        <f>'Table 8 2.1.12 MFP Funded'!W65</f>
        <v>2</v>
      </c>
      <c r="D65" s="863">
        <f>'Table 3 Levels 1&amp;2'!AL69*90%</f>
        <v>5008.1809372827001</v>
      </c>
      <c r="E65" s="863">
        <f t="shared" si="16"/>
        <v>10016.3618745654</v>
      </c>
      <c r="F65" s="864">
        <f>'Table 4 Level 3'!P67*90%</f>
        <v>464.47200000000004</v>
      </c>
      <c r="G65" s="864">
        <f t="shared" si="17"/>
        <v>928.94400000000007</v>
      </c>
      <c r="H65" s="864">
        <f t="shared" si="18"/>
        <v>10945.3058745654</v>
      </c>
      <c r="I65" s="864">
        <f>(('Table 3 Levels 1&amp;2'!AL69-D65)+('Table 4 Level 3'!P67-F65))*C65</f>
        <v>1216.1450971739337</v>
      </c>
      <c r="J65" s="864">
        <f t="shared" si="19"/>
        <v>-27</v>
      </c>
      <c r="K65" s="865">
        <f t="shared" si="20"/>
        <v>10918.3058745654</v>
      </c>
      <c r="L65" s="865">
        <v>0</v>
      </c>
      <c r="M65" s="866">
        <f t="shared" si="21"/>
        <v>10918.3058745654</v>
      </c>
      <c r="N65" s="866">
        <f t="shared" si="22"/>
        <v>910</v>
      </c>
      <c r="O65" s="868">
        <f>'[8]FY2012-13 Initial'!$K69*90%</f>
        <v>1510.2</v>
      </c>
      <c r="P65" s="868">
        <f t="shared" si="23"/>
        <v>3020.4</v>
      </c>
      <c r="Q65" s="868">
        <f t="shared" si="24"/>
        <v>-8</v>
      </c>
      <c r="R65" s="868">
        <f t="shared" si="25"/>
        <v>3012.4</v>
      </c>
      <c r="S65" s="867">
        <v>0</v>
      </c>
      <c r="T65" s="892">
        <f t="shared" si="26"/>
        <v>3012.4</v>
      </c>
      <c r="U65" s="892">
        <f t="shared" si="27"/>
        <v>251</v>
      </c>
      <c r="V65" s="869">
        <f t="shared" si="28"/>
        <v>13930.705874565399</v>
      </c>
      <c r="W65" s="869">
        <f t="shared" si="29"/>
        <v>1161</v>
      </c>
    </row>
    <row r="66" spans="1:23" s="572" customFormat="1" ht="16.5" customHeight="1">
      <c r="A66" s="103">
        <v>63</v>
      </c>
      <c r="B66" s="834" t="s">
        <v>163</v>
      </c>
      <c r="C66" s="862">
        <f>'Table 8 2.1.12 MFP Funded'!W66</f>
        <v>6</v>
      </c>
      <c r="D66" s="863">
        <f>'Table 3 Levels 1&amp;2'!AL70*90%</f>
        <v>3972.7597802972887</v>
      </c>
      <c r="E66" s="863">
        <f t="shared" si="16"/>
        <v>23836.558681783732</v>
      </c>
      <c r="F66" s="864">
        <f>'Table 4 Level 3'!P68*90%</f>
        <v>681.11099999999999</v>
      </c>
      <c r="G66" s="864">
        <f t="shared" si="17"/>
        <v>4086.6660000000002</v>
      </c>
      <c r="H66" s="864">
        <f t="shared" si="18"/>
        <v>27923.224681783733</v>
      </c>
      <c r="I66" s="864">
        <f>(('Table 3 Levels 1&amp;2'!AL70-D66)+('Table 4 Level 3'!P68-F66))*C66</f>
        <v>3102.5805201981902</v>
      </c>
      <c r="J66" s="864">
        <f t="shared" si="19"/>
        <v>-70</v>
      </c>
      <c r="K66" s="865">
        <f t="shared" si="20"/>
        <v>27853.224681783733</v>
      </c>
      <c r="L66" s="865">
        <v>0</v>
      </c>
      <c r="M66" s="866">
        <f t="shared" si="21"/>
        <v>27853.224681783733</v>
      </c>
      <c r="N66" s="866">
        <f t="shared" si="22"/>
        <v>2321</v>
      </c>
      <c r="O66" s="868">
        <f>'[8]FY2012-13 Initial'!$K70*90%</f>
        <v>5871.6</v>
      </c>
      <c r="P66" s="868">
        <f t="shared" si="23"/>
        <v>35229.600000000006</v>
      </c>
      <c r="Q66" s="868">
        <f t="shared" si="24"/>
        <v>-88</v>
      </c>
      <c r="R66" s="868">
        <f t="shared" si="25"/>
        <v>35141.600000000006</v>
      </c>
      <c r="S66" s="867">
        <v>0</v>
      </c>
      <c r="T66" s="892">
        <f t="shared" si="26"/>
        <v>35141.600000000006</v>
      </c>
      <c r="U66" s="892">
        <f t="shared" si="27"/>
        <v>2928</v>
      </c>
      <c r="V66" s="869">
        <f t="shared" si="28"/>
        <v>62994.824681783735</v>
      </c>
      <c r="W66" s="869">
        <f t="shared" si="29"/>
        <v>5249</v>
      </c>
    </row>
    <row r="67" spans="1:23" s="572" customFormat="1" ht="16.5" customHeight="1">
      <c r="A67" s="103">
        <v>64</v>
      </c>
      <c r="B67" s="834" t="s">
        <v>164</v>
      </c>
      <c r="C67" s="862">
        <f>'Table 8 2.1.12 MFP Funded'!W67</f>
        <v>1</v>
      </c>
      <c r="D67" s="863">
        <f>'Table 3 Levels 1&amp;2'!AL71*90%</f>
        <v>5283.9437230731628</v>
      </c>
      <c r="E67" s="863">
        <f t="shared" si="16"/>
        <v>5283.9437230731628</v>
      </c>
      <c r="F67" s="864">
        <f>'Table 4 Level 3'!P69*90%</f>
        <v>533.39400000000001</v>
      </c>
      <c r="G67" s="864">
        <f t="shared" si="17"/>
        <v>533.39400000000001</v>
      </c>
      <c r="H67" s="864">
        <f t="shared" si="18"/>
        <v>5817.337723073163</v>
      </c>
      <c r="I67" s="864">
        <f>(('Table 3 Levels 1&amp;2'!AL71-D67)+('Table 4 Level 3'!P69-F67))*C67</f>
        <v>646.37085811923987</v>
      </c>
      <c r="J67" s="864">
        <f t="shared" si="19"/>
        <v>-15</v>
      </c>
      <c r="K67" s="865">
        <f t="shared" si="20"/>
        <v>5802.337723073163</v>
      </c>
      <c r="L67" s="865">
        <v>0</v>
      </c>
      <c r="M67" s="866">
        <f t="shared" si="21"/>
        <v>5802.337723073163</v>
      </c>
      <c r="N67" s="866">
        <f t="shared" si="22"/>
        <v>484</v>
      </c>
      <c r="O67" s="868">
        <f>'[8]FY2012-13 Initial'!$K71*90%</f>
        <v>2392.2000000000003</v>
      </c>
      <c r="P67" s="868">
        <f t="shared" si="23"/>
        <v>2392.2000000000003</v>
      </c>
      <c r="Q67" s="868">
        <f t="shared" si="24"/>
        <v>-6</v>
      </c>
      <c r="R67" s="868">
        <f t="shared" si="25"/>
        <v>2386.2000000000003</v>
      </c>
      <c r="S67" s="867">
        <v>0</v>
      </c>
      <c r="T67" s="892">
        <f t="shared" si="26"/>
        <v>2386.2000000000003</v>
      </c>
      <c r="U67" s="892">
        <f t="shared" si="27"/>
        <v>199</v>
      </c>
      <c r="V67" s="869">
        <f t="shared" si="28"/>
        <v>8188.5377230731629</v>
      </c>
      <c r="W67" s="869">
        <f t="shared" si="29"/>
        <v>683</v>
      </c>
    </row>
    <row r="68" spans="1:23" s="572" customFormat="1" ht="16.5" customHeight="1">
      <c r="A68" s="104">
        <v>65</v>
      </c>
      <c r="B68" s="835" t="s">
        <v>165</v>
      </c>
      <c r="C68" s="870">
        <f>'Table 8 2.1.12 MFP Funded'!W68</f>
        <v>2</v>
      </c>
      <c r="D68" s="871">
        <f>'Table 3 Levels 1&amp;2'!AL72*90%</f>
        <v>4141.9842256187912</v>
      </c>
      <c r="E68" s="871">
        <f t="shared" si="16"/>
        <v>8283.9684512375825</v>
      </c>
      <c r="F68" s="872">
        <f>'Table 4 Level 3'!P70*90%</f>
        <v>746.20799999999997</v>
      </c>
      <c r="G68" s="872">
        <f t="shared" si="17"/>
        <v>1492.4159999999999</v>
      </c>
      <c r="H68" s="872">
        <f t="shared" si="18"/>
        <v>9776.3844512375817</v>
      </c>
      <c r="I68" s="872">
        <f>(('Table 3 Levels 1&amp;2'!AL72-D68)+('Table 4 Level 3'!P70-F68))*C68</f>
        <v>1086.2649390263973</v>
      </c>
      <c r="J68" s="872">
        <f t="shared" si="19"/>
        <v>-24</v>
      </c>
      <c r="K68" s="873">
        <f t="shared" si="20"/>
        <v>9752.3844512375817</v>
      </c>
      <c r="L68" s="873">
        <v>0</v>
      </c>
      <c r="M68" s="874">
        <f t="shared" si="21"/>
        <v>9752.3844512375817</v>
      </c>
      <c r="N68" s="874">
        <f t="shared" si="22"/>
        <v>813</v>
      </c>
      <c r="O68" s="876">
        <f>'[8]FY2012-13 Initial'!$K72*90%</f>
        <v>4167.9000000000005</v>
      </c>
      <c r="P68" s="876">
        <f t="shared" si="23"/>
        <v>8335.8000000000011</v>
      </c>
      <c r="Q68" s="876">
        <f t="shared" si="24"/>
        <v>-21</v>
      </c>
      <c r="R68" s="876">
        <f t="shared" si="25"/>
        <v>8314.8000000000011</v>
      </c>
      <c r="S68" s="875">
        <v>0</v>
      </c>
      <c r="T68" s="893">
        <f t="shared" si="26"/>
        <v>8314.8000000000011</v>
      </c>
      <c r="U68" s="893">
        <f t="shared" si="27"/>
        <v>693</v>
      </c>
      <c r="V68" s="877">
        <f t="shared" si="28"/>
        <v>18067.184451237583</v>
      </c>
      <c r="W68" s="877">
        <f t="shared" si="29"/>
        <v>1506</v>
      </c>
    </row>
    <row r="69" spans="1:23" s="572" customFormat="1" ht="16.5" customHeight="1">
      <c r="A69" s="103">
        <v>66</v>
      </c>
      <c r="B69" s="834" t="s">
        <v>166</v>
      </c>
      <c r="C69" s="854">
        <f>'Table 8 2.1.12 MFP Funded'!W69</f>
        <v>1</v>
      </c>
      <c r="D69" s="855">
        <f>'Table 3 Levels 1&amp;2'!AL73*90%</f>
        <v>5619.5021024235066</v>
      </c>
      <c r="E69" s="855">
        <f t="shared" ref="E69:E72" si="30">C69*D69</f>
        <v>5619.5021024235066</v>
      </c>
      <c r="F69" s="856">
        <f>'Table 4 Level 3'!P71*90%</f>
        <v>657.05399999999997</v>
      </c>
      <c r="G69" s="856">
        <f t="shared" ref="G69:G72" si="31">F69*C69</f>
        <v>657.05399999999997</v>
      </c>
      <c r="H69" s="856">
        <f t="shared" ref="H69:H72" si="32">E69+G69</f>
        <v>6276.5561024235067</v>
      </c>
      <c r="I69" s="856">
        <f>(('Table 3 Levels 1&amp;2'!AL73-D69)+('Table 4 Level 3'!P71-F69))*C69</f>
        <v>697.3951224915005</v>
      </c>
      <c r="J69" s="856">
        <f t="shared" ref="J69:J72" si="33">ROUND(-0.25%*H69,0)</f>
        <v>-16</v>
      </c>
      <c r="K69" s="857">
        <f t="shared" ref="K69:K72" si="34">H69+J69</f>
        <v>6260.5561024235067</v>
      </c>
      <c r="L69" s="857">
        <v>0</v>
      </c>
      <c r="M69" s="858">
        <f t="shared" ref="M69:M72" si="35">SUM(K69:L69)</f>
        <v>6260.5561024235067</v>
      </c>
      <c r="N69" s="858">
        <f t="shared" ref="N69:N72" si="36">ROUND(M69/12,0)</f>
        <v>522</v>
      </c>
      <c r="O69" s="860">
        <f>'[8]FY2012-13 Initial'!$K73*90%</f>
        <v>3098.7000000000003</v>
      </c>
      <c r="P69" s="860">
        <f t="shared" ref="P69:P72" si="37">O69*C69</f>
        <v>3098.7000000000003</v>
      </c>
      <c r="Q69" s="860">
        <f t="shared" ref="Q69:Q72" si="38">ROUND(P69*-0.25%,0)</f>
        <v>-8</v>
      </c>
      <c r="R69" s="860">
        <f t="shared" ref="R69:R72" si="39">SUM(P69:Q69)</f>
        <v>3090.7000000000003</v>
      </c>
      <c r="S69" s="859">
        <v>0</v>
      </c>
      <c r="T69" s="891">
        <f t="shared" ref="T69:T72" si="40">SUM(R69:S69)</f>
        <v>3090.7000000000003</v>
      </c>
      <c r="U69" s="891">
        <f t="shared" ref="U69:U72" si="41">ROUND(T69/12,0)</f>
        <v>258</v>
      </c>
      <c r="V69" s="861">
        <f t="shared" ref="V69:V72" si="42">T69+M69</f>
        <v>9351.2561024235074</v>
      </c>
      <c r="W69" s="861">
        <f t="shared" ref="W69:W72" si="43">N69+U69</f>
        <v>780</v>
      </c>
    </row>
    <row r="70" spans="1:23" s="572" customFormat="1" ht="16.5" customHeight="1">
      <c r="A70" s="103">
        <v>67</v>
      </c>
      <c r="B70" s="834" t="s">
        <v>33</v>
      </c>
      <c r="C70" s="862">
        <f>'Table 8 2.1.12 MFP Funded'!W70</f>
        <v>4</v>
      </c>
      <c r="D70" s="863">
        <f>'Table 3 Levels 1&amp;2'!AL74*90%</f>
        <v>4544.6840908962813</v>
      </c>
      <c r="E70" s="863">
        <f t="shared" si="30"/>
        <v>18178.736363585125</v>
      </c>
      <c r="F70" s="864">
        <f>'Table 4 Level 3'!P72*90%</f>
        <v>644.04899999999998</v>
      </c>
      <c r="G70" s="864">
        <f t="shared" si="31"/>
        <v>2576.1959999999999</v>
      </c>
      <c r="H70" s="864">
        <f t="shared" si="32"/>
        <v>20754.932363585125</v>
      </c>
      <c r="I70" s="864">
        <f>(('Table 3 Levels 1&amp;2'!AL74-D70)+('Table 4 Level 3'!P72-F70))*C70</f>
        <v>2306.1035959539017</v>
      </c>
      <c r="J70" s="864">
        <f t="shared" si="33"/>
        <v>-52</v>
      </c>
      <c r="K70" s="865">
        <f t="shared" si="34"/>
        <v>20702.932363585125</v>
      </c>
      <c r="L70" s="865">
        <v>0</v>
      </c>
      <c r="M70" s="866">
        <f t="shared" si="35"/>
        <v>20702.932363585125</v>
      </c>
      <c r="N70" s="866">
        <f t="shared" si="36"/>
        <v>1725</v>
      </c>
      <c r="O70" s="868">
        <f>'[8]FY2012-13 Initial'!$K74*90%</f>
        <v>4051.8</v>
      </c>
      <c r="P70" s="868">
        <f t="shared" si="37"/>
        <v>16207.2</v>
      </c>
      <c r="Q70" s="868">
        <f t="shared" si="38"/>
        <v>-41</v>
      </c>
      <c r="R70" s="868">
        <f t="shared" si="39"/>
        <v>16166.2</v>
      </c>
      <c r="S70" s="867">
        <v>0</v>
      </c>
      <c r="T70" s="892">
        <f t="shared" si="40"/>
        <v>16166.2</v>
      </c>
      <c r="U70" s="892">
        <f t="shared" si="41"/>
        <v>1347</v>
      </c>
      <c r="V70" s="869">
        <f t="shared" si="42"/>
        <v>36869.132363585129</v>
      </c>
      <c r="W70" s="869">
        <f t="shared" si="43"/>
        <v>3072</v>
      </c>
    </row>
    <row r="71" spans="1:23" s="572" customFormat="1" ht="16.5" customHeight="1">
      <c r="A71" s="103">
        <v>68</v>
      </c>
      <c r="B71" s="834" t="s">
        <v>31</v>
      </c>
      <c r="C71" s="862">
        <f>'Table 8 2.1.12 MFP Funded'!W71</f>
        <v>1</v>
      </c>
      <c r="D71" s="863">
        <f>'Table 3 Levels 1&amp;2'!AL75*90%</f>
        <v>5275.5750725018061</v>
      </c>
      <c r="E71" s="863">
        <f t="shared" si="30"/>
        <v>5275.5750725018061</v>
      </c>
      <c r="F71" s="864">
        <f>'Table 4 Level 3'!P73*90%</f>
        <v>718.83</v>
      </c>
      <c r="G71" s="864">
        <f t="shared" si="31"/>
        <v>718.83</v>
      </c>
      <c r="H71" s="864">
        <f t="shared" si="32"/>
        <v>5994.405072501806</v>
      </c>
      <c r="I71" s="864">
        <f>(('Table 3 Levels 1&amp;2'!AL75-D71)+('Table 4 Level 3'!P73-F71))*C71</f>
        <v>666.04500805575583</v>
      </c>
      <c r="J71" s="864">
        <f t="shared" si="33"/>
        <v>-15</v>
      </c>
      <c r="K71" s="865">
        <f t="shared" si="34"/>
        <v>5979.405072501806</v>
      </c>
      <c r="L71" s="865">
        <v>0</v>
      </c>
      <c r="M71" s="866">
        <f t="shared" si="35"/>
        <v>5979.405072501806</v>
      </c>
      <c r="N71" s="866">
        <f t="shared" si="36"/>
        <v>498</v>
      </c>
      <c r="O71" s="868">
        <f>'[8]FY2012-13 Initial'!$K75*90%</f>
        <v>2328.3000000000002</v>
      </c>
      <c r="P71" s="868">
        <f t="shared" si="37"/>
        <v>2328.3000000000002</v>
      </c>
      <c r="Q71" s="868">
        <f t="shared" si="38"/>
        <v>-6</v>
      </c>
      <c r="R71" s="868">
        <f t="shared" si="39"/>
        <v>2322.3000000000002</v>
      </c>
      <c r="S71" s="867">
        <v>0</v>
      </c>
      <c r="T71" s="892">
        <f t="shared" si="40"/>
        <v>2322.3000000000002</v>
      </c>
      <c r="U71" s="892">
        <f t="shared" si="41"/>
        <v>194</v>
      </c>
      <c r="V71" s="869">
        <f t="shared" si="42"/>
        <v>8301.7050725018053</v>
      </c>
      <c r="W71" s="869">
        <f t="shared" si="43"/>
        <v>692</v>
      </c>
    </row>
    <row r="72" spans="1:23" s="572" customFormat="1" ht="16.5" customHeight="1">
      <c r="A72" s="103">
        <v>69</v>
      </c>
      <c r="B72" s="834" t="s">
        <v>235</v>
      </c>
      <c r="C72" s="862">
        <f>'Table 8 2.1.12 MFP Funded'!W72</f>
        <v>1</v>
      </c>
      <c r="D72" s="863">
        <f>'Table 3 Levels 1&amp;2'!AL76*90%</f>
        <v>4957.5057556670963</v>
      </c>
      <c r="E72" s="863">
        <f t="shared" si="30"/>
        <v>4957.5057556670963</v>
      </c>
      <c r="F72" s="864">
        <f>'Table 4 Level 3'!P74*90%</f>
        <v>635.10299999999995</v>
      </c>
      <c r="G72" s="864">
        <f t="shared" si="31"/>
        <v>635.10299999999995</v>
      </c>
      <c r="H72" s="864">
        <f t="shared" si="32"/>
        <v>5592.6087556670964</v>
      </c>
      <c r="I72" s="864">
        <f>(('Table 3 Levels 1&amp;2'!AL76-D72)+('Table 4 Level 3'!P74-F72))*C72</f>
        <v>621.4009728518995</v>
      </c>
      <c r="J72" s="864">
        <f t="shared" si="33"/>
        <v>-14</v>
      </c>
      <c r="K72" s="865">
        <f t="shared" si="34"/>
        <v>5578.6087556670964</v>
      </c>
      <c r="L72" s="865">
        <v>0</v>
      </c>
      <c r="M72" s="866">
        <f t="shared" si="35"/>
        <v>5578.6087556670964</v>
      </c>
      <c r="N72" s="866">
        <f t="shared" si="36"/>
        <v>465</v>
      </c>
      <c r="O72" s="868">
        <f>'[8]FY2012-13 Initial'!$K76*90%</f>
        <v>2909.7000000000003</v>
      </c>
      <c r="P72" s="868">
        <f t="shared" si="37"/>
        <v>2909.7000000000003</v>
      </c>
      <c r="Q72" s="868">
        <f t="shared" si="38"/>
        <v>-7</v>
      </c>
      <c r="R72" s="868">
        <f t="shared" si="39"/>
        <v>2902.7000000000003</v>
      </c>
      <c r="S72" s="867">
        <v>0</v>
      </c>
      <c r="T72" s="892">
        <f t="shared" si="40"/>
        <v>2902.7000000000003</v>
      </c>
      <c r="U72" s="892">
        <f t="shared" si="41"/>
        <v>242</v>
      </c>
      <c r="V72" s="869">
        <f t="shared" si="42"/>
        <v>8481.3087556670962</v>
      </c>
      <c r="W72" s="869">
        <f t="shared" si="43"/>
        <v>707</v>
      </c>
    </row>
    <row r="73" spans="1:23" s="884" customFormat="1" ht="16.5" customHeight="1">
      <c r="A73" s="878"/>
      <c r="B73" s="836" t="s">
        <v>721</v>
      </c>
      <c r="C73" s="879">
        <f>SUM(C4:C72)</f>
        <v>594</v>
      </c>
      <c r="D73" s="880"/>
      <c r="E73" s="880">
        <f t="shared" ref="E73:W73" si="44">SUM(E4:E72)</f>
        <v>2399651.3078477792</v>
      </c>
      <c r="F73" s="881"/>
      <c r="G73" s="881">
        <f t="shared" si="44"/>
        <v>371530.70029107272</v>
      </c>
      <c r="H73" s="881">
        <f t="shared" si="44"/>
        <v>2771182.0081388517</v>
      </c>
      <c r="I73" s="881">
        <f t="shared" si="44"/>
        <v>307909.11201542785</v>
      </c>
      <c r="J73" s="881">
        <f t="shared" si="44"/>
        <v>-6930</v>
      </c>
      <c r="K73" s="882">
        <f t="shared" si="44"/>
        <v>2764252.0081388517</v>
      </c>
      <c r="L73" s="882">
        <f t="shared" si="44"/>
        <v>0</v>
      </c>
      <c r="M73" s="883">
        <f t="shared" si="44"/>
        <v>2764252.0081388517</v>
      </c>
      <c r="N73" s="883">
        <f t="shared" si="44"/>
        <v>230359</v>
      </c>
      <c r="O73" s="838"/>
      <c r="P73" s="838">
        <f t="shared" si="44"/>
        <v>2187933.3000000007</v>
      </c>
      <c r="Q73" s="838">
        <f t="shared" si="44"/>
        <v>-5473</v>
      </c>
      <c r="R73" s="838">
        <f t="shared" si="44"/>
        <v>2182460.3000000007</v>
      </c>
      <c r="S73" s="838">
        <f t="shared" si="44"/>
        <v>0</v>
      </c>
      <c r="T73" s="894">
        <f t="shared" si="44"/>
        <v>2182460.3000000007</v>
      </c>
      <c r="U73" s="894">
        <f t="shared" si="44"/>
        <v>181874</v>
      </c>
      <c r="V73" s="839">
        <f t="shared" si="44"/>
        <v>4946712.3081388464</v>
      </c>
      <c r="W73" s="839">
        <f t="shared" si="44"/>
        <v>412233</v>
      </c>
    </row>
    <row r="74" spans="1:23" s="844" customFormat="1" ht="6.75" customHeight="1">
      <c r="A74" s="853"/>
      <c r="B74" s="852"/>
      <c r="C74" s="840"/>
      <c r="D74" s="841"/>
      <c r="E74" s="841"/>
      <c r="F74" s="841"/>
      <c r="G74" s="841"/>
      <c r="H74" s="841"/>
      <c r="I74" s="841"/>
      <c r="J74" s="841"/>
      <c r="K74" s="841"/>
      <c r="L74" s="841"/>
      <c r="M74" s="841"/>
      <c r="N74" s="841"/>
      <c r="O74" s="842"/>
      <c r="P74" s="842"/>
      <c r="Q74" s="843"/>
      <c r="R74" s="843"/>
      <c r="S74" s="843"/>
      <c r="T74" s="897"/>
      <c r="U74" s="897"/>
      <c r="V74" s="842"/>
      <c r="W74" s="842"/>
    </row>
    <row r="75" spans="1:23" s="572" customFormat="1" ht="21.75" customHeight="1">
      <c r="A75" s="853"/>
      <c r="B75" s="889" t="s">
        <v>719</v>
      </c>
      <c r="C75" s="568"/>
      <c r="D75" s="569"/>
      <c r="E75" s="569"/>
      <c r="F75" s="571"/>
      <c r="G75" s="571"/>
      <c r="H75" s="571"/>
      <c r="I75" s="571"/>
      <c r="J75" s="571">
        <f>-J73</f>
        <v>6930</v>
      </c>
      <c r="K75" s="745">
        <f>J75</f>
        <v>6930</v>
      </c>
      <c r="L75" s="745"/>
      <c r="M75" s="744">
        <f>K75</f>
        <v>6930</v>
      </c>
      <c r="N75" s="744"/>
      <c r="O75" s="570"/>
      <c r="P75" s="600"/>
      <c r="Q75" s="600">
        <f>-Q73</f>
        <v>5473</v>
      </c>
      <c r="R75" s="600">
        <f>Q75</f>
        <v>5473</v>
      </c>
      <c r="S75" s="600"/>
      <c r="T75" s="895">
        <f>R75</f>
        <v>5473</v>
      </c>
      <c r="U75" s="895"/>
      <c r="V75" s="601">
        <f t="shared" ref="V75" si="45">T75+M75</f>
        <v>12403</v>
      </c>
      <c r="W75" s="601"/>
    </row>
    <row r="76" spans="1:23" s="844" customFormat="1" ht="6" customHeight="1">
      <c r="A76" s="853"/>
      <c r="B76" s="852"/>
      <c r="C76" s="840"/>
      <c r="D76" s="841"/>
      <c r="E76" s="841"/>
      <c r="F76" s="841"/>
      <c r="G76" s="841"/>
      <c r="H76" s="841"/>
      <c r="I76" s="841"/>
      <c r="J76" s="841"/>
      <c r="K76" s="841"/>
      <c r="L76" s="841"/>
      <c r="M76" s="841"/>
      <c r="N76" s="841"/>
      <c r="O76" s="842"/>
      <c r="P76" s="842"/>
      <c r="Q76" s="843"/>
      <c r="R76" s="843"/>
      <c r="S76" s="843"/>
      <c r="T76" s="897"/>
      <c r="U76" s="897"/>
      <c r="V76" s="842"/>
      <c r="W76" s="842"/>
    </row>
    <row r="77" spans="1:23" s="888" customFormat="1" ht="33" customHeight="1">
      <c r="A77" s="885"/>
      <c r="B77" s="845" t="s">
        <v>720</v>
      </c>
      <c r="C77" s="886">
        <f>SUM(C73:C76)</f>
        <v>594</v>
      </c>
      <c r="D77" s="887"/>
      <c r="E77" s="887">
        <f t="shared" ref="E77:V77" si="46">SUM(E73:E76)</f>
        <v>2399651.3078477792</v>
      </c>
      <c r="F77" s="846"/>
      <c r="G77" s="846">
        <f t="shared" si="46"/>
        <v>371530.70029107272</v>
      </c>
      <c r="H77" s="846">
        <f t="shared" si="46"/>
        <v>2771182.0081388517</v>
      </c>
      <c r="I77" s="846"/>
      <c r="J77" s="846">
        <f t="shared" si="46"/>
        <v>0</v>
      </c>
      <c r="K77" s="847">
        <f t="shared" si="46"/>
        <v>2771182.0081388517</v>
      </c>
      <c r="L77" s="847">
        <f t="shared" si="46"/>
        <v>0</v>
      </c>
      <c r="M77" s="848">
        <f t="shared" si="46"/>
        <v>2771182.0081388517</v>
      </c>
      <c r="N77" s="848"/>
      <c r="O77" s="849"/>
      <c r="P77" s="850">
        <f t="shared" si="46"/>
        <v>2187933.3000000007</v>
      </c>
      <c r="Q77" s="850">
        <f t="shared" si="46"/>
        <v>0</v>
      </c>
      <c r="R77" s="850">
        <f t="shared" si="46"/>
        <v>2187933.3000000007</v>
      </c>
      <c r="S77" s="850">
        <f t="shared" si="46"/>
        <v>0</v>
      </c>
      <c r="T77" s="896">
        <f t="shared" si="46"/>
        <v>2187933.3000000007</v>
      </c>
      <c r="U77" s="896"/>
      <c r="V77" s="851">
        <f t="shared" si="46"/>
        <v>4959115.3081388464</v>
      </c>
      <c r="W77" s="851"/>
    </row>
    <row r="78" spans="1:23" ht="13.5" customHeight="1">
      <c r="B78" s="573"/>
      <c r="C78" s="574"/>
      <c r="D78" s="575"/>
      <c r="E78" s="574"/>
      <c r="F78" s="574"/>
      <c r="G78" s="574"/>
      <c r="H78" s="576"/>
      <c r="I78" s="576"/>
      <c r="J78" s="576"/>
      <c r="K78" s="576"/>
      <c r="L78" s="576"/>
      <c r="M78" s="576"/>
      <c r="N78" s="576"/>
    </row>
    <row r="79" spans="1:23" ht="11.25" customHeight="1">
      <c r="C79" s="1860"/>
      <c r="D79" s="1860"/>
      <c r="E79" s="1860"/>
      <c r="F79" s="1860"/>
      <c r="G79" s="1860"/>
      <c r="H79" s="1860"/>
      <c r="I79" s="1860"/>
      <c r="J79" s="1860"/>
      <c r="K79" s="1860"/>
      <c r="L79" s="1860"/>
      <c r="M79" s="1860"/>
      <c r="N79" s="1860"/>
    </row>
    <row r="80" spans="1:23" s="787" customFormat="1" ht="60.75" hidden="1" customHeight="1">
      <c r="C80" s="785"/>
      <c r="D80" s="786"/>
      <c r="E80" s="786"/>
      <c r="F80" s="786"/>
      <c r="G80" s="786">
        <f>(G77/90%)*10%</f>
        <v>41281.188921230299</v>
      </c>
      <c r="H80" s="786"/>
      <c r="I80" s="786"/>
      <c r="J80" s="786"/>
    </row>
    <row r="81" spans="2:14" s="787" customFormat="1" ht="60.75" hidden="1" customHeight="1">
      <c r="C81" s="1835"/>
      <c r="D81" s="1835"/>
      <c r="E81" s="1835"/>
      <c r="F81" s="1835"/>
      <c r="G81" s="1835"/>
      <c r="H81" s="1835"/>
      <c r="I81" s="1835"/>
      <c r="J81" s="1835"/>
      <c r="K81" s="1835"/>
      <c r="L81" s="1835"/>
      <c r="M81" s="1835"/>
      <c r="N81" s="1835"/>
    </row>
    <row r="82" spans="2:14" ht="60.75" customHeight="1">
      <c r="C82" s="577"/>
    </row>
    <row r="83" spans="2:14" ht="60.75" customHeight="1">
      <c r="B83" s="578"/>
    </row>
  </sheetData>
  <mergeCells count="25">
    <mergeCell ref="F1:F2"/>
    <mergeCell ref="G1:G2"/>
    <mergeCell ref="H1:H2"/>
    <mergeCell ref="I1:I2"/>
    <mergeCell ref="A1:A2"/>
    <mergeCell ref="B1:B2"/>
    <mergeCell ref="C1:C2"/>
    <mergeCell ref="D1:D2"/>
    <mergeCell ref="E1:E2"/>
    <mergeCell ref="C81:N81"/>
    <mergeCell ref="T1:T2"/>
    <mergeCell ref="U1:U2"/>
    <mergeCell ref="V1:V2"/>
    <mergeCell ref="W1:W2"/>
    <mergeCell ref="C79:N79"/>
    <mergeCell ref="O1:O2"/>
    <mergeCell ref="P1:P2"/>
    <mergeCell ref="Q1:Q2"/>
    <mergeCell ref="R1:R2"/>
    <mergeCell ref="S1:S2"/>
    <mergeCell ref="J1:J2"/>
    <mergeCell ref="K1:K2"/>
    <mergeCell ref="L1:L2"/>
    <mergeCell ref="M1:M2"/>
    <mergeCell ref="N1:N2"/>
  </mergeCells>
  <printOptions horizontalCentered="1"/>
  <pageMargins left="0.2" right="0.25" top="0.86" bottom="0.25" header="0.24" footer="0.25"/>
  <pageSetup paperSize="5" scale="60" firstPageNumber="69" orientation="portrait" useFirstPageNumber="1" r:id="rId1"/>
  <headerFooter alignWithMargins="0">
    <oddHeader>&amp;L&amp;"Arial,Bold"&amp;20Table 5C-3: FY2012-13 MFP Budget Letter
Type 2 Charter School Allocation (Louisiana Connections Academy) (July 2012)</oddHeader>
    <oddFooter>&amp;R&amp;P</oddFooter>
  </headerFooter>
  <colBreaks count="3" manualBreakCount="3">
    <brk id="9" max="78" man="1"/>
    <brk id="14" max="78" man="1"/>
    <brk id="23" max="78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106"/>
  <sheetViews>
    <sheetView view="pageBreakPreview" zoomScaleNormal="100" zoomScaleSheetLayoutView="10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28515625" style="1005" customWidth="1"/>
    <col min="2" max="2" width="23.7109375" style="1005" customWidth="1"/>
    <col min="3" max="3" width="12.7109375" style="1008" customWidth="1"/>
    <col min="4" max="4" width="15.28515625" style="1008" customWidth="1"/>
    <col min="5" max="5" width="10.7109375" style="1008" bestFit="1" customWidth="1"/>
    <col min="6" max="6" width="12.5703125" style="1008" bestFit="1" customWidth="1"/>
    <col min="7" max="7" width="11.85546875" style="1008" customWidth="1"/>
    <col min="8" max="8" width="10.85546875" style="1008" bestFit="1" customWidth="1"/>
    <col min="9" max="11" width="12.28515625" style="1008" customWidth="1"/>
    <col min="12" max="12" width="11.5703125" style="1008" customWidth="1"/>
    <col min="13" max="13" width="17.7109375" style="1084" customWidth="1"/>
    <col min="14" max="14" width="13.7109375" style="1008" bestFit="1" customWidth="1"/>
    <col min="15" max="18" width="13.7109375" style="1008" customWidth="1"/>
    <col min="19" max="19" width="10.85546875" style="1008" bestFit="1" customWidth="1"/>
    <col min="20" max="21" width="12.5703125" style="1005" customWidth="1"/>
    <col min="22" max="16384" width="12.5703125" style="1005"/>
  </cols>
  <sheetData>
    <row r="1" spans="1:21" ht="9" customHeight="1">
      <c r="B1" s="1006"/>
      <c r="C1" s="1007"/>
      <c r="D1" s="1007"/>
    </row>
    <row r="2" spans="1:21" s="1010" customFormat="1" ht="37.5" customHeight="1">
      <c r="A2" s="1773" t="s">
        <v>771</v>
      </c>
      <c r="B2" s="1774"/>
      <c r="C2" s="1843" t="s">
        <v>759</v>
      </c>
      <c r="D2" s="1791"/>
      <c r="E2" s="1791"/>
      <c r="F2" s="1791"/>
      <c r="G2" s="1791"/>
      <c r="H2" s="1791"/>
      <c r="I2" s="1791"/>
      <c r="J2" s="1791"/>
      <c r="K2" s="1791"/>
      <c r="L2" s="1792"/>
      <c r="M2" s="1770" t="s">
        <v>772</v>
      </c>
      <c r="N2" s="1771"/>
      <c r="O2" s="1771"/>
      <c r="P2" s="1771"/>
      <c r="Q2" s="1771"/>
      <c r="R2" s="1771"/>
      <c r="S2" s="1772"/>
      <c r="T2" s="1764" t="s">
        <v>1425</v>
      </c>
      <c r="U2" s="1764" t="s">
        <v>1389</v>
      </c>
    </row>
    <row r="3" spans="1:21" ht="90" customHeight="1">
      <c r="A3" s="1775"/>
      <c r="B3" s="1776"/>
      <c r="C3" s="1779" t="s">
        <v>1192</v>
      </c>
      <c r="D3" s="1781" t="s">
        <v>819</v>
      </c>
      <c r="E3" s="1781" t="s">
        <v>1406</v>
      </c>
      <c r="F3" s="1011" t="s">
        <v>779</v>
      </c>
      <c r="G3" s="1779" t="s">
        <v>1407</v>
      </c>
      <c r="H3" s="1133" t="s">
        <v>813</v>
      </c>
      <c r="I3" s="1779" t="s">
        <v>1408</v>
      </c>
      <c r="J3" s="1779" t="s">
        <v>1197</v>
      </c>
      <c r="K3" s="1779" t="s">
        <v>1409</v>
      </c>
      <c r="L3" s="1781" t="s">
        <v>1410</v>
      </c>
      <c r="M3" s="1302" t="s">
        <v>1307</v>
      </c>
      <c r="N3" s="1598" t="s">
        <v>1411</v>
      </c>
      <c r="O3" s="1304" t="s">
        <v>815</v>
      </c>
      <c r="P3" s="1304" t="s">
        <v>818</v>
      </c>
      <c r="Q3" s="1795" t="s">
        <v>1197</v>
      </c>
      <c r="R3" s="1795" t="s">
        <v>1412</v>
      </c>
      <c r="S3" s="1598" t="s">
        <v>1413</v>
      </c>
      <c r="T3" s="1765"/>
      <c r="U3" s="1765"/>
    </row>
    <row r="4" spans="1:21" ht="30.75" customHeight="1">
      <c r="A4" s="1777"/>
      <c r="B4" s="1778"/>
      <c r="C4" s="1780"/>
      <c r="D4" s="1781"/>
      <c r="E4" s="1781"/>
      <c r="F4" s="1102">
        <v>716.29552188552179</v>
      </c>
      <c r="G4" s="1780"/>
      <c r="H4" s="1144">
        <v>2.5000000000000001E-3</v>
      </c>
      <c r="I4" s="1780"/>
      <c r="J4" s="1780"/>
      <c r="K4" s="1780"/>
      <c r="L4" s="1781"/>
      <c r="M4" s="1303"/>
      <c r="N4" s="1301"/>
      <c r="O4" s="1145">
        <v>2.5000000000000001E-3</v>
      </c>
      <c r="P4" s="1301"/>
      <c r="Q4" s="1787"/>
      <c r="R4" s="1787"/>
      <c r="S4" s="1301"/>
      <c r="T4" s="1766"/>
      <c r="U4" s="1766"/>
    </row>
    <row r="5" spans="1:21" s="1015" customFormat="1" ht="14.25" customHeight="1">
      <c r="A5" s="1012"/>
      <c r="B5" s="1013"/>
      <c r="C5" s="1014">
        <v>1</v>
      </c>
      <c r="D5" s="1014">
        <f t="shared" ref="D5:N5" si="0">C5+1</f>
        <v>2</v>
      </c>
      <c r="E5" s="1014">
        <f>D5+1</f>
        <v>3</v>
      </c>
      <c r="F5" s="1014">
        <f t="shared" ref="F5:G5" si="1">E5+1</f>
        <v>4</v>
      </c>
      <c r="G5" s="1014">
        <f t="shared" si="1"/>
        <v>5</v>
      </c>
      <c r="H5" s="1014">
        <f t="shared" ref="H5" si="2">G5+1</f>
        <v>6</v>
      </c>
      <c r="I5" s="1014">
        <f t="shared" ref="I5" si="3">H5+1</f>
        <v>7</v>
      </c>
      <c r="J5" s="1014">
        <f t="shared" ref="J5" si="4">I5+1</f>
        <v>8</v>
      </c>
      <c r="K5" s="1014">
        <f t="shared" ref="K5" si="5">J5+1</f>
        <v>9</v>
      </c>
      <c r="L5" s="1014">
        <f t="shared" ref="L5" si="6">K5+1</f>
        <v>10</v>
      </c>
      <c r="M5" s="1014">
        <f t="shared" si="0"/>
        <v>11</v>
      </c>
      <c r="N5" s="1014">
        <f t="shared" si="0"/>
        <v>12</v>
      </c>
      <c r="O5" s="1014">
        <f t="shared" ref="O5" si="7">N5+1</f>
        <v>13</v>
      </c>
      <c r="P5" s="1014">
        <f t="shared" ref="P5" si="8">O5+1</f>
        <v>14</v>
      </c>
      <c r="Q5" s="1014">
        <f t="shared" ref="Q5" si="9">P5+1</f>
        <v>15</v>
      </c>
      <c r="R5" s="1014">
        <f t="shared" ref="R5" si="10">Q5+1</f>
        <v>16</v>
      </c>
      <c r="S5" s="1014">
        <f t="shared" ref="S5" si="11">R5+1</f>
        <v>17</v>
      </c>
      <c r="T5" s="1014">
        <f t="shared" ref="T5" si="12">S5+1</f>
        <v>18</v>
      </c>
      <c r="U5" s="1014">
        <f t="shared" ref="U5" si="13">T5+1</f>
        <v>19</v>
      </c>
    </row>
    <row r="6" spans="1:21" s="1080" customFormat="1" ht="27" customHeight="1">
      <c r="A6" s="1076"/>
      <c r="B6" s="1077"/>
      <c r="C6" s="1078" t="s">
        <v>660</v>
      </c>
      <c r="D6" s="1079" t="s">
        <v>571</v>
      </c>
      <c r="E6" s="1078" t="s">
        <v>864</v>
      </c>
      <c r="F6" s="1079" t="s">
        <v>781</v>
      </c>
      <c r="G6" s="1078" t="s">
        <v>780</v>
      </c>
      <c r="H6" s="1078" t="s">
        <v>814</v>
      </c>
      <c r="I6" s="1078" t="s">
        <v>816</v>
      </c>
      <c r="J6" s="1078"/>
      <c r="K6" s="1078" t="s">
        <v>1217</v>
      </c>
      <c r="L6" s="1078" t="s">
        <v>869</v>
      </c>
      <c r="M6" s="1101" t="s">
        <v>571</v>
      </c>
      <c r="N6" s="1079" t="s">
        <v>870</v>
      </c>
      <c r="O6" s="1079" t="s">
        <v>1218</v>
      </c>
      <c r="P6" s="1079" t="s">
        <v>1215</v>
      </c>
      <c r="Q6" s="1079"/>
      <c r="R6" s="1079" t="s">
        <v>1216</v>
      </c>
      <c r="S6" s="1079" t="s">
        <v>872</v>
      </c>
      <c r="T6" s="1079" t="s">
        <v>873</v>
      </c>
      <c r="U6" s="1079" t="s">
        <v>874</v>
      </c>
    </row>
    <row r="7" spans="1:21" ht="12.75" customHeight="1">
      <c r="A7" s="1021">
        <v>1</v>
      </c>
      <c r="B7" s="1022" t="s">
        <v>102</v>
      </c>
      <c r="C7" s="1023">
        <f>'Table 8 2.1.12 MFP Funded'!K4</f>
        <v>0</v>
      </c>
      <c r="D7" s="1024">
        <f>'Table 3 Levels 1&amp;2'!AL8</f>
        <v>4621.8175818834352</v>
      </c>
      <c r="E7" s="1136">
        <f t="shared" ref="E7:E38" si="14">D7*C7</f>
        <v>0</v>
      </c>
      <c r="F7" s="1136">
        <f>C7*$F$4</f>
        <v>0</v>
      </c>
      <c r="G7" s="1025">
        <f t="shared" ref="G7:G38" si="15">E7+F7</f>
        <v>0</v>
      </c>
      <c r="H7" s="1146">
        <f>-G7*$H$4</f>
        <v>0</v>
      </c>
      <c r="I7" s="1025">
        <f>SUM(G7:H7)</f>
        <v>0</v>
      </c>
      <c r="J7" s="1025"/>
      <c r="K7" s="1025">
        <f>SUM(I7:J7)</f>
        <v>0</v>
      </c>
      <c r="L7" s="1025">
        <f>ROUND(K7/12,0)</f>
        <v>0</v>
      </c>
      <c r="M7" s="1086">
        <f>'[8]FY2012-13 Initial'!$K8</f>
        <v>2094</v>
      </c>
      <c r="N7" s="1026">
        <f t="shared" ref="N7:N38" si="16">M7*C7</f>
        <v>0</v>
      </c>
      <c r="O7" s="1154">
        <f>-N7*$O$4</f>
        <v>0</v>
      </c>
      <c r="P7" s="1026">
        <f>SUM(N7:O7)</f>
        <v>0</v>
      </c>
      <c r="Q7" s="1026"/>
      <c r="R7" s="1026">
        <f>SUM(P7:Q7)</f>
        <v>0</v>
      </c>
      <c r="S7" s="1026">
        <f>ROUND(R7/12,0)</f>
        <v>0</v>
      </c>
      <c r="T7" s="1027">
        <f>K7+R7</f>
        <v>0</v>
      </c>
      <c r="U7" s="1027">
        <f t="shared" ref="U7:U38" si="17">L7+S7</f>
        <v>0</v>
      </c>
    </row>
    <row r="8" spans="1:21">
      <c r="A8" s="1028">
        <v>2</v>
      </c>
      <c r="B8" s="1029" t="s">
        <v>103</v>
      </c>
      <c r="C8" s="1292">
        <f>'Table 8 2.1.12 MFP Funded'!K5</f>
        <v>0</v>
      </c>
      <c r="D8" s="1031">
        <f>'Table 3 Levels 1&amp;2'!AL9</f>
        <v>6131.8351665660375</v>
      </c>
      <c r="E8" s="1137">
        <f t="shared" si="14"/>
        <v>0</v>
      </c>
      <c r="F8" s="1137">
        <f t="shared" ref="F8:F71" si="18">C8*$F$4</f>
        <v>0</v>
      </c>
      <c r="G8" s="1087">
        <f t="shared" si="15"/>
        <v>0</v>
      </c>
      <c r="H8" s="1147">
        <f t="shared" ref="H8:H71" si="19">-G8*$H$4</f>
        <v>0</v>
      </c>
      <c r="I8" s="1087">
        <f t="shared" ref="I8:I71" si="20">SUM(G8:H8)</f>
        <v>0</v>
      </c>
      <c r="J8" s="1087"/>
      <c r="K8" s="1087">
        <f t="shared" ref="K8:K71" si="21">SUM(I8:J8)</f>
        <v>0</v>
      </c>
      <c r="L8" s="1087">
        <f t="shared" ref="L8:L71" si="22">ROUND(K8/12,0)</f>
        <v>0</v>
      </c>
      <c r="M8" s="1086">
        <f>'[8]FY2012-13 Initial'!$K9</f>
        <v>2554</v>
      </c>
      <c r="N8" s="1088">
        <f t="shared" si="16"/>
        <v>0</v>
      </c>
      <c r="O8" s="1155">
        <f t="shared" ref="O8:O71" si="23">-N8*$O$4</f>
        <v>0</v>
      </c>
      <c r="P8" s="1088">
        <f t="shared" ref="P8:P71" si="24">SUM(N8:O8)</f>
        <v>0</v>
      </c>
      <c r="Q8" s="1088"/>
      <c r="R8" s="1088">
        <f t="shared" ref="R8:R71" si="25">SUM(P8:Q8)</f>
        <v>0</v>
      </c>
      <c r="S8" s="1088">
        <f t="shared" ref="S8:S71" si="26">ROUND(R8/12,0)</f>
        <v>0</v>
      </c>
      <c r="T8" s="1089">
        <f t="shared" ref="T8:T71" si="27">K8+R8</f>
        <v>0</v>
      </c>
      <c r="U8" s="1089">
        <f t="shared" si="17"/>
        <v>0</v>
      </c>
    </row>
    <row r="9" spans="1:21" ht="12.75" customHeight="1">
      <c r="A9" s="1028">
        <v>3</v>
      </c>
      <c r="B9" s="1029" t="s">
        <v>104</v>
      </c>
      <c r="C9" s="1292">
        <f>'Table 8 2.1.12 MFP Funded'!K6</f>
        <v>0</v>
      </c>
      <c r="D9" s="1031">
        <f>'Table 3 Levels 1&amp;2'!AL10</f>
        <v>4326.5384352059973</v>
      </c>
      <c r="E9" s="1137">
        <f t="shared" si="14"/>
        <v>0</v>
      </c>
      <c r="F9" s="1137">
        <f t="shared" si="18"/>
        <v>0</v>
      </c>
      <c r="G9" s="1087">
        <f t="shared" si="15"/>
        <v>0</v>
      </c>
      <c r="H9" s="1147">
        <f t="shared" si="19"/>
        <v>0</v>
      </c>
      <c r="I9" s="1087">
        <f t="shared" si="20"/>
        <v>0</v>
      </c>
      <c r="J9" s="1087"/>
      <c r="K9" s="1087">
        <f t="shared" si="21"/>
        <v>0</v>
      </c>
      <c r="L9" s="1087">
        <f t="shared" si="22"/>
        <v>0</v>
      </c>
      <c r="M9" s="1086">
        <f>'[8]FY2012-13 Initial'!$K10</f>
        <v>4995</v>
      </c>
      <c r="N9" s="1088">
        <f t="shared" si="16"/>
        <v>0</v>
      </c>
      <c r="O9" s="1155">
        <f t="shared" si="23"/>
        <v>0</v>
      </c>
      <c r="P9" s="1088">
        <f t="shared" si="24"/>
        <v>0</v>
      </c>
      <c r="Q9" s="1088"/>
      <c r="R9" s="1088">
        <f t="shared" si="25"/>
        <v>0</v>
      </c>
      <c r="S9" s="1088">
        <f t="shared" si="26"/>
        <v>0</v>
      </c>
      <c r="T9" s="1089">
        <f t="shared" si="27"/>
        <v>0</v>
      </c>
      <c r="U9" s="1089">
        <f t="shared" si="17"/>
        <v>0</v>
      </c>
    </row>
    <row r="10" spans="1:21" ht="12.75" customHeight="1">
      <c r="A10" s="1028">
        <v>4</v>
      </c>
      <c r="B10" s="1029" t="s">
        <v>105</v>
      </c>
      <c r="C10" s="1292">
        <f>'Table 8 2.1.12 MFP Funded'!K7</f>
        <v>0</v>
      </c>
      <c r="D10" s="1031">
        <f>'Table 3 Levels 1&amp;2'!AL11</f>
        <v>6066.2659652331004</v>
      </c>
      <c r="E10" s="1137">
        <f t="shared" si="14"/>
        <v>0</v>
      </c>
      <c r="F10" s="1137">
        <f t="shared" si="18"/>
        <v>0</v>
      </c>
      <c r="G10" s="1087">
        <f t="shared" si="15"/>
        <v>0</v>
      </c>
      <c r="H10" s="1147">
        <f t="shared" si="19"/>
        <v>0</v>
      </c>
      <c r="I10" s="1087">
        <f t="shared" si="20"/>
        <v>0</v>
      </c>
      <c r="J10" s="1087"/>
      <c r="K10" s="1087">
        <f t="shared" si="21"/>
        <v>0</v>
      </c>
      <c r="L10" s="1087">
        <f t="shared" si="22"/>
        <v>0</v>
      </c>
      <c r="M10" s="1086">
        <f>'[8]FY2012-13 Initial'!$K11</f>
        <v>3361</v>
      </c>
      <c r="N10" s="1088">
        <f t="shared" si="16"/>
        <v>0</v>
      </c>
      <c r="O10" s="1155">
        <f t="shared" si="23"/>
        <v>0</v>
      </c>
      <c r="P10" s="1088">
        <f t="shared" si="24"/>
        <v>0</v>
      </c>
      <c r="Q10" s="1088"/>
      <c r="R10" s="1088">
        <f t="shared" si="25"/>
        <v>0</v>
      </c>
      <c r="S10" s="1088">
        <f t="shared" si="26"/>
        <v>0</v>
      </c>
      <c r="T10" s="1089">
        <f t="shared" si="27"/>
        <v>0</v>
      </c>
      <c r="U10" s="1089">
        <f t="shared" si="17"/>
        <v>0</v>
      </c>
    </row>
    <row r="11" spans="1:21" ht="12.75" customHeight="1">
      <c r="A11" s="1032">
        <v>5</v>
      </c>
      <c r="B11" s="1033" t="s">
        <v>106</v>
      </c>
      <c r="C11" s="1293">
        <f>'Table 8 2.1.12 MFP Funded'!K8</f>
        <v>0</v>
      </c>
      <c r="D11" s="1035">
        <f>'Table 3 Levels 1&amp;2'!AL12</f>
        <v>4806.2126132223084</v>
      </c>
      <c r="E11" s="1138">
        <f t="shared" si="14"/>
        <v>0</v>
      </c>
      <c r="F11" s="1138">
        <f t="shared" si="18"/>
        <v>0</v>
      </c>
      <c r="G11" s="1090">
        <f t="shared" si="15"/>
        <v>0</v>
      </c>
      <c r="H11" s="1148">
        <f t="shared" si="19"/>
        <v>0</v>
      </c>
      <c r="I11" s="1090">
        <f t="shared" si="20"/>
        <v>0</v>
      </c>
      <c r="J11" s="1090"/>
      <c r="K11" s="1090">
        <f t="shared" si="21"/>
        <v>0</v>
      </c>
      <c r="L11" s="1090">
        <f t="shared" si="22"/>
        <v>0</v>
      </c>
      <c r="M11" s="1091">
        <f>'[8]FY2012-13 Initial'!$K12</f>
        <v>1146</v>
      </c>
      <c r="N11" s="1092">
        <f t="shared" si="16"/>
        <v>0</v>
      </c>
      <c r="O11" s="1156">
        <f t="shared" si="23"/>
        <v>0</v>
      </c>
      <c r="P11" s="1092">
        <f t="shared" si="24"/>
        <v>0</v>
      </c>
      <c r="Q11" s="1092"/>
      <c r="R11" s="1092">
        <f t="shared" si="25"/>
        <v>0</v>
      </c>
      <c r="S11" s="1092">
        <f t="shared" si="26"/>
        <v>0</v>
      </c>
      <c r="T11" s="1093">
        <f t="shared" si="27"/>
        <v>0</v>
      </c>
      <c r="U11" s="1093">
        <f t="shared" si="17"/>
        <v>0</v>
      </c>
    </row>
    <row r="12" spans="1:21" ht="12.75" customHeight="1">
      <c r="A12" s="1021">
        <v>6</v>
      </c>
      <c r="B12" s="1022" t="s">
        <v>107</v>
      </c>
      <c r="C12" s="1294">
        <f>'Table 8 2.1.12 MFP Funded'!K9</f>
        <v>0</v>
      </c>
      <c r="D12" s="1024">
        <f>'Table 3 Levels 1&amp;2'!AL13</f>
        <v>5538.0879878550813</v>
      </c>
      <c r="E12" s="1136">
        <f t="shared" si="14"/>
        <v>0</v>
      </c>
      <c r="F12" s="1136">
        <f t="shared" si="18"/>
        <v>0</v>
      </c>
      <c r="G12" s="1025">
        <f t="shared" si="15"/>
        <v>0</v>
      </c>
      <c r="H12" s="1146">
        <f t="shared" si="19"/>
        <v>0</v>
      </c>
      <c r="I12" s="1025">
        <f t="shared" si="20"/>
        <v>0</v>
      </c>
      <c r="J12" s="1025"/>
      <c r="K12" s="1025">
        <f t="shared" si="21"/>
        <v>0</v>
      </c>
      <c r="L12" s="1025">
        <f t="shared" si="22"/>
        <v>0</v>
      </c>
      <c r="M12" s="1086">
        <f>'[8]FY2012-13 Initial'!$K13</f>
        <v>3431</v>
      </c>
      <c r="N12" s="1026">
        <f t="shared" si="16"/>
        <v>0</v>
      </c>
      <c r="O12" s="1154">
        <f t="shared" si="23"/>
        <v>0</v>
      </c>
      <c r="P12" s="1026">
        <f t="shared" si="24"/>
        <v>0</v>
      </c>
      <c r="Q12" s="1026"/>
      <c r="R12" s="1026">
        <f t="shared" si="25"/>
        <v>0</v>
      </c>
      <c r="S12" s="1026">
        <f t="shared" si="26"/>
        <v>0</v>
      </c>
      <c r="T12" s="1027">
        <f t="shared" si="27"/>
        <v>0</v>
      </c>
      <c r="U12" s="1027">
        <f t="shared" si="17"/>
        <v>0</v>
      </c>
    </row>
    <row r="13" spans="1:21" ht="12.75" customHeight="1">
      <c r="A13" s="1028">
        <v>7</v>
      </c>
      <c r="B13" s="1029" t="s">
        <v>108</v>
      </c>
      <c r="C13" s="1292">
        <f>'Table 8 2.1.12 MFP Funded'!K10</f>
        <v>0</v>
      </c>
      <c r="D13" s="1031">
        <f>'Table 3 Levels 1&amp;2'!AL14</f>
        <v>1543.5712353471597</v>
      </c>
      <c r="E13" s="1137">
        <f t="shared" si="14"/>
        <v>0</v>
      </c>
      <c r="F13" s="1137">
        <f t="shared" si="18"/>
        <v>0</v>
      </c>
      <c r="G13" s="1087">
        <f t="shared" si="15"/>
        <v>0</v>
      </c>
      <c r="H13" s="1147">
        <f t="shared" si="19"/>
        <v>0</v>
      </c>
      <c r="I13" s="1087">
        <f t="shared" si="20"/>
        <v>0</v>
      </c>
      <c r="J13" s="1087"/>
      <c r="K13" s="1087">
        <f t="shared" si="21"/>
        <v>0</v>
      </c>
      <c r="L13" s="1087">
        <f t="shared" si="22"/>
        <v>0</v>
      </c>
      <c r="M13" s="1086">
        <f>'[8]FY2012-13 Initial'!$K14</f>
        <v>12974</v>
      </c>
      <c r="N13" s="1088">
        <f t="shared" si="16"/>
        <v>0</v>
      </c>
      <c r="O13" s="1155">
        <f t="shared" si="23"/>
        <v>0</v>
      </c>
      <c r="P13" s="1088">
        <f t="shared" si="24"/>
        <v>0</v>
      </c>
      <c r="Q13" s="1088"/>
      <c r="R13" s="1088">
        <f t="shared" si="25"/>
        <v>0</v>
      </c>
      <c r="S13" s="1088">
        <f t="shared" si="26"/>
        <v>0</v>
      </c>
      <c r="T13" s="1089">
        <f t="shared" si="27"/>
        <v>0</v>
      </c>
      <c r="U13" s="1089">
        <f t="shared" si="17"/>
        <v>0</v>
      </c>
    </row>
    <row r="14" spans="1:21">
      <c r="A14" s="1028">
        <v>8</v>
      </c>
      <c r="B14" s="1029" t="s">
        <v>109</v>
      </c>
      <c r="C14" s="1292">
        <f>'Table 8 2.1.12 MFP Funded'!K11</f>
        <v>0</v>
      </c>
      <c r="D14" s="1031">
        <f>'Table 3 Levels 1&amp;2'!AL15</f>
        <v>4033.4866571910334</v>
      </c>
      <c r="E14" s="1137">
        <f t="shared" si="14"/>
        <v>0</v>
      </c>
      <c r="F14" s="1137">
        <f t="shared" si="18"/>
        <v>0</v>
      </c>
      <c r="G14" s="1087">
        <f t="shared" si="15"/>
        <v>0</v>
      </c>
      <c r="H14" s="1147">
        <f t="shared" si="19"/>
        <v>0</v>
      </c>
      <c r="I14" s="1087">
        <f t="shared" si="20"/>
        <v>0</v>
      </c>
      <c r="J14" s="1087"/>
      <c r="K14" s="1087">
        <f t="shared" si="21"/>
        <v>0</v>
      </c>
      <c r="L14" s="1087">
        <f t="shared" si="22"/>
        <v>0</v>
      </c>
      <c r="M14" s="1086">
        <f>'[8]FY2012-13 Initial'!$K15</f>
        <v>4234</v>
      </c>
      <c r="N14" s="1088">
        <f t="shared" si="16"/>
        <v>0</v>
      </c>
      <c r="O14" s="1155">
        <f t="shared" si="23"/>
        <v>0</v>
      </c>
      <c r="P14" s="1088">
        <f t="shared" si="24"/>
        <v>0</v>
      </c>
      <c r="Q14" s="1088"/>
      <c r="R14" s="1088">
        <f t="shared" si="25"/>
        <v>0</v>
      </c>
      <c r="S14" s="1088">
        <f t="shared" si="26"/>
        <v>0</v>
      </c>
      <c r="T14" s="1089">
        <f t="shared" si="27"/>
        <v>0</v>
      </c>
      <c r="U14" s="1089">
        <f t="shared" si="17"/>
        <v>0</v>
      </c>
    </row>
    <row r="15" spans="1:21" ht="12.75" customHeight="1">
      <c r="A15" s="1028">
        <v>9</v>
      </c>
      <c r="B15" s="1029" t="s">
        <v>110</v>
      </c>
      <c r="C15" s="1292">
        <f>'Table 8 2.1.12 MFP Funded'!K12</f>
        <v>0</v>
      </c>
      <c r="D15" s="1031">
        <f>'Table 3 Levels 1&amp;2'!AL16</f>
        <v>4268.3217271902904</v>
      </c>
      <c r="E15" s="1137">
        <f t="shared" si="14"/>
        <v>0</v>
      </c>
      <c r="F15" s="1137">
        <f t="shared" si="18"/>
        <v>0</v>
      </c>
      <c r="G15" s="1087">
        <f t="shared" si="15"/>
        <v>0</v>
      </c>
      <c r="H15" s="1147">
        <f t="shared" si="19"/>
        <v>0</v>
      </c>
      <c r="I15" s="1087">
        <f t="shared" si="20"/>
        <v>0</v>
      </c>
      <c r="J15" s="1087"/>
      <c r="K15" s="1087">
        <f t="shared" si="21"/>
        <v>0</v>
      </c>
      <c r="L15" s="1087">
        <f t="shared" si="22"/>
        <v>0</v>
      </c>
      <c r="M15" s="1086">
        <f>'[8]FY2012-13 Initial'!$K16</f>
        <v>4539</v>
      </c>
      <c r="N15" s="1088">
        <f t="shared" si="16"/>
        <v>0</v>
      </c>
      <c r="O15" s="1155">
        <f t="shared" si="23"/>
        <v>0</v>
      </c>
      <c r="P15" s="1088">
        <f t="shared" si="24"/>
        <v>0</v>
      </c>
      <c r="Q15" s="1088"/>
      <c r="R15" s="1088">
        <f t="shared" si="25"/>
        <v>0</v>
      </c>
      <c r="S15" s="1088">
        <f t="shared" si="26"/>
        <v>0</v>
      </c>
      <c r="T15" s="1089">
        <f t="shared" si="27"/>
        <v>0</v>
      </c>
      <c r="U15" s="1089">
        <f t="shared" si="17"/>
        <v>0</v>
      </c>
    </row>
    <row r="16" spans="1:21">
      <c r="A16" s="1032">
        <v>10</v>
      </c>
      <c r="B16" s="1033" t="s">
        <v>111</v>
      </c>
      <c r="C16" s="1293">
        <f>'Table 8 2.1.12 MFP Funded'!K13</f>
        <v>0</v>
      </c>
      <c r="D16" s="1035">
        <f>'Table 3 Levels 1&amp;2'!AL17</f>
        <v>4300.0681374076885</v>
      </c>
      <c r="E16" s="1138">
        <f t="shared" si="14"/>
        <v>0</v>
      </c>
      <c r="F16" s="1138">
        <f t="shared" si="18"/>
        <v>0</v>
      </c>
      <c r="G16" s="1090">
        <f t="shared" si="15"/>
        <v>0</v>
      </c>
      <c r="H16" s="1148">
        <f t="shared" si="19"/>
        <v>0</v>
      </c>
      <c r="I16" s="1090">
        <f t="shared" si="20"/>
        <v>0</v>
      </c>
      <c r="J16" s="1090"/>
      <c r="K16" s="1090">
        <f t="shared" si="21"/>
        <v>0</v>
      </c>
      <c r="L16" s="1090">
        <f t="shared" si="22"/>
        <v>0</v>
      </c>
      <c r="M16" s="1091">
        <f>'[8]FY2012-13 Initial'!$K17</f>
        <v>4312</v>
      </c>
      <c r="N16" s="1092">
        <f t="shared" si="16"/>
        <v>0</v>
      </c>
      <c r="O16" s="1156">
        <f t="shared" si="23"/>
        <v>0</v>
      </c>
      <c r="P16" s="1092">
        <f t="shared" si="24"/>
        <v>0</v>
      </c>
      <c r="Q16" s="1092"/>
      <c r="R16" s="1092">
        <f t="shared" si="25"/>
        <v>0</v>
      </c>
      <c r="S16" s="1092">
        <f t="shared" si="26"/>
        <v>0</v>
      </c>
      <c r="T16" s="1093">
        <f t="shared" si="27"/>
        <v>0</v>
      </c>
      <c r="U16" s="1093">
        <f t="shared" si="17"/>
        <v>0</v>
      </c>
    </row>
    <row r="17" spans="1:21" ht="12.75" customHeight="1">
      <c r="A17" s="1021">
        <v>11</v>
      </c>
      <c r="B17" s="1022" t="s">
        <v>112</v>
      </c>
      <c r="C17" s="1294">
        <f>'Table 8 2.1.12 MFP Funded'!K14</f>
        <v>2</v>
      </c>
      <c r="D17" s="1024">
        <f>'Table 3 Levels 1&amp;2'!AL18</f>
        <v>6740.2393955908683</v>
      </c>
      <c r="E17" s="1136">
        <f t="shared" si="14"/>
        <v>13480.478791181737</v>
      </c>
      <c r="F17" s="1136">
        <f t="shared" si="18"/>
        <v>1432.5910437710436</v>
      </c>
      <c r="G17" s="1025">
        <f t="shared" si="15"/>
        <v>14913.069834952781</v>
      </c>
      <c r="H17" s="1146">
        <f t="shared" si="19"/>
        <v>-37.282674587381955</v>
      </c>
      <c r="I17" s="1025">
        <f t="shared" si="20"/>
        <v>14875.787160365398</v>
      </c>
      <c r="J17" s="1025"/>
      <c r="K17" s="1025">
        <f t="shared" si="21"/>
        <v>14875.787160365398</v>
      </c>
      <c r="L17" s="1025">
        <f t="shared" si="22"/>
        <v>1240</v>
      </c>
      <c r="M17" s="1086">
        <f>'[8]FY2012-13 Initial'!$K18</f>
        <v>3004</v>
      </c>
      <c r="N17" s="1026">
        <f t="shared" si="16"/>
        <v>6008</v>
      </c>
      <c r="O17" s="1154">
        <f t="shared" si="23"/>
        <v>-15.02</v>
      </c>
      <c r="P17" s="1026">
        <f t="shared" si="24"/>
        <v>5992.98</v>
      </c>
      <c r="Q17" s="1026"/>
      <c r="R17" s="1026">
        <f t="shared" si="25"/>
        <v>5992.98</v>
      </c>
      <c r="S17" s="1026">
        <f t="shared" si="26"/>
        <v>499</v>
      </c>
      <c r="T17" s="1027">
        <f t="shared" si="27"/>
        <v>20868.767160365398</v>
      </c>
      <c r="U17" s="1027">
        <f t="shared" si="17"/>
        <v>1739</v>
      </c>
    </row>
    <row r="18" spans="1:21">
      <c r="A18" s="1028">
        <v>12</v>
      </c>
      <c r="B18" s="1029" t="s">
        <v>113</v>
      </c>
      <c r="C18" s="1292">
        <f>'Table 8 2.1.12 MFP Funded'!K15</f>
        <v>0</v>
      </c>
      <c r="D18" s="1031">
        <f>'Table 3 Levels 1&amp;2'!AL19</f>
        <v>1781.2877551020408</v>
      </c>
      <c r="E18" s="1137">
        <f t="shared" si="14"/>
        <v>0</v>
      </c>
      <c r="F18" s="1137">
        <f t="shared" si="18"/>
        <v>0</v>
      </c>
      <c r="G18" s="1087">
        <f t="shared" si="15"/>
        <v>0</v>
      </c>
      <c r="H18" s="1147">
        <f t="shared" si="19"/>
        <v>0</v>
      </c>
      <c r="I18" s="1087">
        <f t="shared" si="20"/>
        <v>0</v>
      </c>
      <c r="J18" s="1087"/>
      <c r="K18" s="1087">
        <f t="shared" si="21"/>
        <v>0</v>
      </c>
      <c r="L18" s="1087">
        <f t="shared" si="22"/>
        <v>0</v>
      </c>
      <c r="M18" s="1086">
        <f>'[8]FY2012-13 Initial'!$K19</f>
        <v>12439</v>
      </c>
      <c r="N18" s="1088">
        <f t="shared" si="16"/>
        <v>0</v>
      </c>
      <c r="O18" s="1155">
        <f t="shared" si="23"/>
        <v>0</v>
      </c>
      <c r="P18" s="1088">
        <f t="shared" si="24"/>
        <v>0</v>
      </c>
      <c r="Q18" s="1088"/>
      <c r="R18" s="1088">
        <f t="shared" si="25"/>
        <v>0</v>
      </c>
      <c r="S18" s="1088">
        <f t="shared" si="26"/>
        <v>0</v>
      </c>
      <c r="T18" s="1089">
        <f t="shared" si="27"/>
        <v>0</v>
      </c>
      <c r="U18" s="1089">
        <f t="shared" si="17"/>
        <v>0</v>
      </c>
    </row>
    <row r="19" spans="1:21" ht="12.75" customHeight="1">
      <c r="A19" s="1028">
        <v>13</v>
      </c>
      <c r="B19" s="1029" t="s">
        <v>114</v>
      </c>
      <c r="C19" s="1292">
        <f>'Table 8 2.1.12 MFP Funded'!K16</f>
        <v>0</v>
      </c>
      <c r="D19" s="1031">
        <f>'Table 3 Levels 1&amp;2'!AL20</f>
        <v>6125.5331903699798</v>
      </c>
      <c r="E19" s="1137">
        <f t="shared" si="14"/>
        <v>0</v>
      </c>
      <c r="F19" s="1137">
        <f t="shared" si="18"/>
        <v>0</v>
      </c>
      <c r="G19" s="1087">
        <f t="shared" si="15"/>
        <v>0</v>
      </c>
      <c r="H19" s="1147">
        <f t="shared" si="19"/>
        <v>0</v>
      </c>
      <c r="I19" s="1087">
        <f t="shared" si="20"/>
        <v>0</v>
      </c>
      <c r="J19" s="1087"/>
      <c r="K19" s="1087">
        <f t="shared" si="21"/>
        <v>0</v>
      </c>
      <c r="L19" s="1087">
        <f t="shared" si="22"/>
        <v>0</v>
      </c>
      <c r="M19" s="1086">
        <f>'[8]FY2012-13 Initial'!$K20</f>
        <v>2518</v>
      </c>
      <c r="N19" s="1088">
        <f t="shared" si="16"/>
        <v>0</v>
      </c>
      <c r="O19" s="1155">
        <f t="shared" si="23"/>
        <v>0</v>
      </c>
      <c r="P19" s="1088">
        <f t="shared" si="24"/>
        <v>0</v>
      </c>
      <c r="Q19" s="1088"/>
      <c r="R19" s="1088">
        <f t="shared" si="25"/>
        <v>0</v>
      </c>
      <c r="S19" s="1088">
        <f t="shared" si="26"/>
        <v>0</v>
      </c>
      <c r="T19" s="1089">
        <f t="shared" si="27"/>
        <v>0</v>
      </c>
      <c r="U19" s="1089">
        <f t="shared" si="17"/>
        <v>0</v>
      </c>
    </row>
    <row r="20" spans="1:21" ht="12.75" customHeight="1">
      <c r="A20" s="1028">
        <v>14</v>
      </c>
      <c r="B20" s="1029" t="s">
        <v>115</v>
      </c>
      <c r="C20" s="1292">
        <f>'Table 8 2.1.12 MFP Funded'!K17</f>
        <v>0</v>
      </c>
      <c r="D20" s="1031">
        <f>'Table 3 Levels 1&amp;2'!AL21</f>
        <v>5278.0936993421856</v>
      </c>
      <c r="E20" s="1137">
        <f t="shared" si="14"/>
        <v>0</v>
      </c>
      <c r="F20" s="1137">
        <f t="shared" si="18"/>
        <v>0</v>
      </c>
      <c r="G20" s="1087">
        <f t="shared" si="15"/>
        <v>0</v>
      </c>
      <c r="H20" s="1147">
        <f t="shared" si="19"/>
        <v>0</v>
      </c>
      <c r="I20" s="1087">
        <f t="shared" si="20"/>
        <v>0</v>
      </c>
      <c r="J20" s="1087"/>
      <c r="K20" s="1087">
        <f t="shared" si="21"/>
        <v>0</v>
      </c>
      <c r="L20" s="1087">
        <f t="shared" si="22"/>
        <v>0</v>
      </c>
      <c r="M20" s="1086">
        <f>'[8]FY2012-13 Initial'!$K21</f>
        <v>3605</v>
      </c>
      <c r="N20" s="1088">
        <f t="shared" si="16"/>
        <v>0</v>
      </c>
      <c r="O20" s="1155">
        <f t="shared" si="23"/>
        <v>0</v>
      </c>
      <c r="P20" s="1088">
        <f t="shared" si="24"/>
        <v>0</v>
      </c>
      <c r="Q20" s="1088"/>
      <c r="R20" s="1088">
        <f t="shared" si="25"/>
        <v>0</v>
      </c>
      <c r="S20" s="1088">
        <f t="shared" si="26"/>
        <v>0</v>
      </c>
      <c r="T20" s="1089">
        <f t="shared" si="27"/>
        <v>0</v>
      </c>
      <c r="U20" s="1089">
        <f t="shared" si="17"/>
        <v>0</v>
      </c>
    </row>
    <row r="21" spans="1:21" ht="12.75" customHeight="1">
      <c r="A21" s="1032">
        <v>15</v>
      </c>
      <c r="B21" s="1033" t="s">
        <v>116</v>
      </c>
      <c r="C21" s="1293">
        <f>'Table 8 2.1.12 MFP Funded'!K18</f>
        <v>0</v>
      </c>
      <c r="D21" s="1035">
        <f>'Table 3 Levels 1&amp;2'!AL22</f>
        <v>5428.9842692179664</v>
      </c>
      <c r="E21" s="1138">
        <f t="shared" si="14"/>
        <v>0</v>
      </c>
      <c r="F21" s="1138">
        <f t="shared" si="18"/>
        <v>0</v>
      </c>
      <c r="G21" s="1090">
        <f t="shared" si="15"/>
        <v>0</v>
      </c>
      <c r="H21" s="1148">
        <f t="shared" si="19"/>
        <v>0</v>
      </c>
      <c r="I21" s="1090">
        <f t="shared" si="20"/>
        <v>0</v>
      </c>
      <c r="J21" s="1090"/>
      <c r="K21" s="1090">
        <f t="shared" si="21"/>
        <v>0</v>
      </c>
      <c r="L21" s="1090">
        <f t="shared" si="22"/>
        <v>0</v>
      </c>
      <c r="M21" s="1091">
        <f>'[8]FY2012-13 Initial'!$K22</f>
        <v>2614</v>
      </c>
      <c r="N21" s="1092">
        <f t="shared" si="16"/>
        <v>0</v>
      </c>
      <c r="O21" s="1156">
        <f t="shared" si="23"/>
        <v>0</v>
      </c>
      <c r="P21" s="1092">
        <f t="shared" si="24"/>
        <v>0</v>
      </c>
      <c r="Q21" s="1092"/>
      <c r="R21" s="1092">
        <f t="shared" si="25"/>
        <v>0</v>
      </c>
      <c r="S21" s="1092">
        <f t="shared" si="26"/>
        <v>0</v>
      </c>
      <c r="T21" s="1093">
        <f t="shared" si="27"/>
        <v>0</v>
      </c>
      <c r="U21" s="1093">
        <f t="shared" si="17"/>
        <v>0</v>
      </c>
    </row>
    <row r="22" spans="1:21">
      <c r="A22" s="1021">
        <v>16</v>
      </c>
      <c r="B22" s="1022" t="s">
        <v>117</v>
      </c>
      <c r="C22" s="1294">
        <f>'Table 8 2.1.12 MFP Funded'!K19</f>
        <v>0</v>
      </c>
      <c r="D22" s="1024">
        <f>'Table 3 Levels 1&amp;2'!AL23</f>
        <v>1501.2470754125757</v>
      </c>
      <c r="E22" s="1136">
        <f t="shared" si="14"/>
        <v>0</v>
      </c>
      <c r="F22" s="1136">
        <f t="shared" si="18"/>
        <v>0</v>
      </c>
      <c r="G22" s="1025">
        <f t="shared" si="15"/>
        <v>0</v>
      </c>
      <c r="H22" s="1146">
        <f t="shared" si="19"/>
        <v>0</v>
      </c>
      <c r="I22" s="1025">
        <f t="shared" si="20"/>
        <v>0</v>
      </c>
      <c r="J22" s="1025"/>
      <c r="K22" s="1025">
        <f t="shared" si="21"/>
        <v>0</v>
      </c>
      <c r="L22" s="1025">
        <f t="shared" si="22"/>
        <v>0</v>
      </c>
      <c r="M22" s="1086">
        <f>'[8]FY2012-13 Initial'!$K23</f>
        <v>16006</v>
      </c>
      <c r="N22" s="1026">
        <f t="shared" si="16"/>
        <v>0</v>
      </c>
      <c r="O22" s="1154">
        <f t="shared" si="23"/>
        <v>0</v>
      </c>
      <c r="P22" s="1026">
        <f t="shared" si="24"/>
        <v>0</v>
      </c>
      <c r="Q22" s="1026"/>
      <c r="R22" s="1026">
        <f t="shared" si="25"/>
        <v>0</v>
      </c>
      <c r="S22" s="1026">
        <f t="shared" si="26"/>
        <v>0</v>
      </c>
      <c r="T22" s="1027">
        <f t="shared" si="27"/>
        <v>0</v>
      </c>
      <c r="U22" s="1027">
        <f t="shared" si="17"/>
        <v>0</v>
      </c>
    </row>
    <row r="23" spans="1:21" ht="12.75" customHeight="1">
      <c r="A23" s="1028">
        <v>17</v>
      </c>
      <c r="B23" s="1029" t="s">
        <v>118</v>
      </c>
      <c r="C23" s="1292">
        <f>'Table 8 2.1.12 MFP Funded'!K20</f>
        <v>0</v>
      </c>
      <c r="D23" s="1031">
        <f>'Table 3 Levels 1&amp;2'!AL24</f>
        <v>3386.5716964570697</v>
      </c>
      <c r="E23" s="1137">
        <f t="shared" si="14"/>
        <v>0</v>
      </c>
      <c r="F23" s="1137">
        <f t="shared" si="18"/>
        <v>0</v>
      </c>
      <c r="G23" s="1087">
        <f t="shared" si="15"/>
        <v>0</v>
      </c>
      <c r="H23" s="1147">
        <f t="shared" si="19"/>
        <v>0</v>
      </c>
      <c r="I23" s="1087">
        <f t="shared" si="20"/>
        <v>0</v>
      </c>
      <c r="J23" s="1087"/>
      <c r="K23" s="1087">
        <f t="shared" si="21"/>
        <v>0</v>
      </c>
      <c r="L23" s="1087">
        <f t="shared" si="22"/>
        <v>0</v>
      </c>
      <c r="M23" s="1086">
        <f>'[8]FY2012-13 Initial'!$K24</f>
        <v>6493</v>
      </c>
      <c r="N23" s="1088">
        <f t="shared" si="16"/>
        <v>0</v>
      </c>
      <c r="O23" s="1155">
        <f t="shared" si="23"/>
        <v>0</v>
      </c>
      <c r="P23" s="1088">
        <f t="shared" si="24"/>
        <v>0</v>
      </c>
      <c r="Q23" s="1088"/>
      <c r="R23" s="1088">
        <f t="shared" si="25"/>
        <v>0</v>
      </c>
      <c r="S23" s="1088">
        <f t="shared" si="26"/>
        <v>0</v>
      </c>
      <c r="T23" s="1089">
        <f t="shared" si="27"/>
        <v>0</v>
      </c>
      <c r="U23" s="1089">
        <f t="shared" si="17"/>
        <v>0</v>
      </c>
    </row>
    <row r="24" spans="1:21">
      <c r="A24" s="1028">
        <v>18</v>
      </c>
      <c r="B24" s="1029" t="s">
        <v>119</v>
      </c>
      <c r="C24" s="1292">
        <f>'Table 8 2.1.12 MFP Funded'!K21</f>
        <v>0</v>
      </c>
      <c r="D24" s="1031">
        <f>'Table 3 Levels 1&amp;2'!AL25</f>
        <v>5798.0598063231446</v>
      </c>
      <c r="E24" s="1137">
        <f t="shared" si="14"/>
        <v>0</v>
      </c>
      <c r="F24" s="1137">
        <f t="shared" si="18"/>
        <v>0</v>
      </c>
      <c r="G24" s="1087">
        <f t="shared" si="15"/>
        <v>0</v>
      </c>
      <c r="H24" s="1147">
        <f t="shared" si="19"/>
        <v>0</v>
      </c>
      <c r="I24" s="1087">
        <f t="shared" si="20"/>
        <v>0</v>
      </c>
      <c r="J24" s="1087"/>
      <c r="K24" s="1087">
        <f t="shared" si="21"/>
        <v>0</v>
      </c>
      <c r="L24" s="1087">
        <f t="shared" si="22"/>
        <v>0</v>
      </c>
      <c r="M24" s="1086">
        <f>'[8]FY2012-13 Initial'!$K25</f>
        <v>2088</v>
      </c>
      <c r="N24" s="1088">
        <f t="shared" si="16"/>
        <v>0</v>
      </c>
      <c r="O24" s="1155">
        <f t="shared" si="23"/>
        <v>0</v>
      </c>
      <c r="P24" s="1088">
        <f t="shared" si="24"/>
        <v>0</v>
      </c>
      <c r="Q24" s="1088"/>
      <c r="R24" s="1088">
        <f t="shared" si="25"/>
        <v>0</v>
      </c>
      <c r="S24" s="1088">
        <f t="shared" si="26"/>
        <v>0</v>
      </c>
      <c r="T24" s="1089">
        <f t="shared" si="27"/>
        <v>0</v>
      </c>
      <c r="U24" s="1089">
        <f t="shared" si="17"/>
        <v>0</v>
      </c>
    </row>
    <row r="25" spans="1:21" ht="12.75" customHeight="1">
      <c r="A25" s="1028">
        <v>19</v>
      </c>
      <c r="B25" s="1029" t="s">
        <v>120</v>
      </c>
      <c r="C25" s="1292">
        <f>'Table 8 2.1.12 MFP Funded'!K22</f>
        <v>0</v>
      </c>
      <c r="D25" s="1031">
        <f>'Table 3 Levels 1&amp;2'!AL26</f>
        <v>5219.1012787873206</v>
      </c>
      <c r="E25" s="1137">
        <f t="shared" si="14"/>
        <v>0</v>
      </c>
      <c r="F25" s="1137">
        <f t="shared" si="18"/>
        <v>0</v>
      </c>
      <c r="G25" s="1087">
        <f t="shared" si="15"/>
        <v>0</v>
      </c>
      <c r="H25" s="1147">
        <f t="shared" si="19"/>
        <v>0</v>
      </c>
      <c r="I25" s="1087">
        <f t="shared" si="20"/>
        <v>0</v>
      </c>
      <c r="J25" s="1087"/>
      <c r="K25" s="1087">
        <f t="shared" si="21"/>
        <v>0</v>
      </c>
      <c r="L25" s="1087">
        <f t="shared" si="22"/>
        <v>0</v>
      </c>
      <c r="M25" s="1086">
        <f>'[8]FY2012-13 Initial'!$K26</f>
        <v>2275</v>
      </c>
      <c r="N25" s="1088">
        <f t="shared" si="16"/>
        <v>0</v>
      </c>
      <c r="O25" s="1155">
        <f t="shared" si="23"/>
        <v>0</v>
      </c>
      <c r="P25" s="1088">
        <f t="shared" si="24"/>
        <v>0</v>
      </c>
      <c r="Q25" s="1088"/>
      <c r="R25" s="1088">
        <f t="shared" si="25"/>
        <v>0</v>
      </c>
      <c r="S25" s="1088">
        <f t="shared" si="26"/>
        <v>0</v>
      </c>
      <c r="T25" s="1089">
        <f t="shared" si="27"/>
        <v>0</v>
      </c>
      <c r="U25" s="1089">
        <f t="shared" si="17"/>
        <v>0</v>
      </c>
    </row>
    <row r="26" spans="1:21">
      <c r="A26" s="1032">
        <v>20</v>
      </c>
      <c r="B26" s="1033" t="s">
        <v>121</v>
      </c>
      <c r="C26" s="1293">
        <f>'Table 8 2.1.12 MFP Funded'!K23</f>
        <v>0</v>
      </c>
      <c r="D26" s="1035">
        <f>'Table 3 Levels 1&amp;2'!AL27</f>
        <v>5441.7799844976798</v>
      </c>
      <c r="E26" s="1138">
        <f t="shared" si="14"/>
        <v>0</v>
      </c>
      <c r="F26" s="1138">
        <f t="shared" si="18"/>
        <v>0</v>
      </c>
      <c r="G26" s="1090">
        <f t="shared" si="15"/>
        <v>0</v>
      </c>
      <c r="H26" s="1148">
        <f t="shared" si="19"/>
        <v>0</v>
      </c>
      <c r="I26" s="1090">
        <f t="shared" si="20"/>
        <v>0</v>
      </c>
      <c r="J26" s="1090"/>
      <c r="K26" s="1090">
        <f t="shared" si="21"/>
        <v>0</v>
      </c>
      <c r="L26" s="1090">
        <f t="shared" si="22"/>
        <v>0</v>
      </c>
      <c r="M26" s="1091">
        <f>'[8]FY2012-13 Initial'!$K27</f>
        <v>2308</v>
      </c>
      <c r="N26" s="1092">
        <f t="shared" si="16"/>
        <v>0</v>
      </c>
      <c r="O26" s="1156">
        <f t="shared" si="23"/>
        <v>0</v>
      </c>
      <c r="P26" s="1092">
        <f t="shared" si="24"/>
        <v>0</v>
      </c>
      <c r="Q26" s="1092"/>
      <c r="R26" s="1092">
        <f t="shared" si="25"/>
        <v>0</v>
      </c>
      <c r="S26" s="1092">
        <f t="shared" si="26"/>
        <v>0</v>
      </c>
      <c r="T26" s="1093">
        <f t="shared" si="27"/>
        <v>0</v>
      </c>
      <c r="U26" s="1093">
        <f t="shared" si="17"/>
        <v>0</v>
      </c>
    </row>
    <row r="27" spans="1:21" ht="12.75" customHeight="1">
      <c r="A27" s="1021">
        <v>21</v>
      </c>
      <c r="B27" s="1022" t="s">
        <v>122</v>
      </c>
      <c r="C27" s="1294">
        <f>'Table 8 2.1.12 MFP Funded'!K24</f>
        <v>0</v>
      </c>
      <c r="D27" s="1024">
        <f>'Table 3 Levels 1&amp;2'!AL28</f>
        <v>5718.7800910915075</v>
      </c>
      <c r="E27" s="1136">
        <f t="shared" si="14"/>
        <v>0</v>
      </c>
      <c r="F27" s="1136">
        <f t="shared" si="18"/>
        <v>0</v>
      </c>
      <c r="G27" s="1025">
        <f t="shared" si="15"/>
        <v>0</v>
      </c>
      <c r="H27" s="1146">
        <f t="shared" si="19"/>
        <v>0</v>
      </c>
      <c r="I27" s="1025">
        <f t="shared" si="20"/>
        <v>0</v>
      </c>
      <c r="J27" s="1025"/>
      <c r="K27" s="1025">
        <f t="shared" si="21"/>
        <v>0</v>
      </c>
      <c r="L27" s="1025">
        <f t="shared" si="22"/>
        <v>0</v>
      </c>
      <c r="M27" s="1086">
        <f>'[8]FY2012-13 Initial'!$K28</f>
        <v>2245</v>
      </c>
      <c r="N27" s="1026">
        <f t="shared" si="16"/>
        <v>0</v>
      </c>
      <c r="O27" s="1154">
        <f t="shared" si="23"/>
        <v>0</v>
      </c>
      <c r="P27" s="1026">
        <f t="shared" si="24"/>
        <v>0</v>
      </c>
      <c r="Q27" s="1026"/>
      <c r="R27" s="1026">
        <f t="shared" si="25"/>
        <v>0</v>
      </c>
      <c r="S27" s="1026">
        <f t="shared" si="26"/>
        <v>0</v>
      </c>
      <c r="T27" s="1027">
        <f t="shared" si="27"/>
        <v>0</v>
      </c>
      <c r="U27" s="1027">
        <f t="shared" si="17"/>
        <v>0</v>
      </c>
    </row>
    <row r="28" spans="1:21">
      <c r="A28" s="1028">
        <v>22</v>
      </c>
      <c r="B28" s="1029" t="s">
        <v>123</v>
      </c>
      <c r="C28" s="1292">
        <f>'Table 8 2.1.12 MFP Funded'!K25</f>
        <v>0</v>
      </c>
      <c r="D28" s="1031">
        <f>'Table 3 Levels 1&amp;2'!AL29</f>
        <v>6198.830003500153</v>
      </c>
      <c r="E28" s="1137">
        <f t="shared" si="14"/>
        <v>0</v>
      </c>
      <c r="F28" s="1137">
        <f t="shared" si="18"/>
        <v>0</v>
      </c>
      <c r="G28" s="1087">
        <f t="shared" si="15"/>
        <v>0</v>
      </c>
      <c r="H28" s="1147">
        <f t="shared" si="19"/>
        <v>0</v>
      </c>
      <c r="I28" s="1087">
        <f t="shared" si="20"/>
        <v>0</v>
      </c>
      <c r="J28" s="1087"/>
      <c r="K28" s="1087">
        <f t="shared" si="21"/>
        <v>0</v>
      </c>
      <c r="L28" s="1087">
        <f t="shared" si="22"/>
        <v>0</v>
      </c>
      <c r="M28" s="1086">
        <f>'[8]FY2012-13 Initial'!$K29</f>
        <v>1445</v>
      </c>
      <c r="N28" s="1088">
        <f t="shared" si="16"/>
        <v>0</v>
      </c>
      <c r="O28" s="1155">
        <f t="shared" si="23"/>
        <v>0</v>
      </c>
      <c r="P28" s="1088">
        <f t="shared" si="24"/>
        <v>0</v>
      </c>
      <c r="Q28" s="1088"/>
      <c r="R28" s="1088">
        <f t="shared" si="25"/>
        <v>0</v>
      </c>
      <c r="S28" s="1088">
        <f t="shared" si="26"/>
        <v>0</v>
      </c>
      <c r="T28" s="1089">
        <f t="shared" si="27"/>
        <v>0</v>
      </c>
      <c r="U28" s="1089">
        <f t="shared" si="17"/>
        <v>0</v>
      </c>
    </row>
    <row r="29" spans="1:21" ht="12.75" customHeight="1">
      <c r="A29" s="1028">
        <v>23</v>
      </c>
      <c r="B29" s="1029" t="s">
        <v>124</v>
      </c>
      <c r="C29" s="1292">
        <f>'Table 8 2.1.12 MFP Funded'!K26</f>
        <v>0</v>
      </c>
      <c r="D29" s="1031">
        <f>'Table 3 Levels 1&amp;2'!AL30</f>
        <v>4809.0299298140199</v>
      </c>
      <c r="E29" s="1137">
        <f t="shared" si="14"/>
        <v>0</v>
      </c>
      <c r="F29" s="1137">
        <f t="shared" si="18"/>
        <v>0</v>
      </c>
      <c r="G29" s="1087">
        <f t="shared" si="15"/>
        <v>0</v>
      </c>
      <c r="H29" s="1147">
        <f t="shared" si="19"/>
        <v>0</v>
      </c>
      <c r="I29" s="1087">
        <f t="shared" si="20"/>
        <v>0</v>
      </c>
      <c r="J29" s="1087"/>
      <c r="K29" s="1087">
        <f t="shared" si="21"/>
        <v>0</v>
      </c>
      <c r="L29" s="1087">
        <f t="shared" si="22"/>
        <v>0</v>
      </c>
      <c r="M29" s="1086">
        <f>'[8]FY2012-13 Initial'!$K30</f>
        <v>3295</v>
      </c>
      <c r="N29" s="1088">
        <f t="shared" si="16"/>
        <v>0</v>
      </c>
      <c r="O29" s="1155">
        <f t="shared" si="23"/>
        <v>0</v>
      </c>
      <c r="P29" s="1088">
        <f t="shared" si="24"/>
        <v>0</v>
      </c>
      <c r="Q29" s="1088"/>
      <c r="R29" s="1088">
        <f t="shared" si="25"/>
        <v>0</v>
      </c>
      <c r="S29" s="1088">
        <f t="shared" si="26"/>
        <v>0</v>
      </c>
      <c r="T29" s="1089">
        <f t="shared" si="27"/>
        <v>0</v>
      </c>
      <c r="U29" s="1089">
        <f t="shared" si="17"/>
        <v>0</v>
      </c>
    </row>
    <row r="30" spans="1:21">
      <c r="A30" s="1028">
        <v>24</v>
      </c>
      <c r="B30" s="1029" t="s">
        <v>125</v>
      </c>
      <c r="C30" s="1292">
        <f>'Table 8 2.1.12 MFP Funded'!K27</f>
        <v>0</v>
      </c>
      <c r="D30" s="1031">
        <f>'Table 3 Levels 1&amp;2'!AL31</f>
        <v>2649.7787452556372</v>
      </c>
      <c r="E30" s="1137">
        <f t="shared" si="14"/>
        <v>0</v>
      </c>
      <c r="F30" s="1137">
        <f t="shared" si="18"/>
        <v>0</v>
      </c>
      <c r="G30" s="1087">
        <f t="shared" si="15"/>
        <v>0</v>
      </c>
      <c r="H30" s="1147">
        <f t="shared" si="19"/>
        <v>0</v>
      </c>
      <c r="I30" s="1087">
        <f t="shared" si="20"/>
        <v>0</v>
      </c>
      <c r="J30" s="1087"/>
      <c r="K30" s="1087">
        <f t="shared" si="21"/>
        <v>0</v>
      </c>
      <c r="L30" s="1087">
        <f t="shared" si="22"/>
        <v>0</v>
      </c>
      <c r="M30" s="1086">
        <f>'[8]FY2012-13 Initial'!$K31</f>
        <v>8769</v>
      </c>
      <c r="N30" s="1088">
        <f t="shared" si="16"/>
        <v>0</v>
      </c>
      <c r="O30" s="1155">
        <f t="shared" si="23"/>
        <v>0</v>
      </c>
      <c r="P30" s="1088">
        <f t="shared" si="24"/>
        <v>0</v>
      </c>
      <c r="Q30" s="1088"/>
      <c r="R30" s="1088">
        <f t="shared" si="25"/>
        <v>0</v>
      </c>
      <c r="S30" s="1088">
        <f t="shared" si="26"/>
        <v>0</v>
      </c>
      <c r="T30" s="1089">
        <f t="shared" si="27"/>
        <v>0</v>
      </c>
      <c r="U30" s="1089">
        <f t="shared" si="17"/>
        <v>0</v>
      </c>
    </row>
    <row r="31" spans="1:21" ht="12.75" customHeight="1">
      <c r="A31" s="1032">
        <v>25</v>
      </c>
      <c r="B31" s="1033" t="s">
        <v>126</v>
      </c>
      <c r="C31" s="1293">
        <f>'Table 8 2.1.12 MFP Funded'!K28</f>
        <v>0</v>
      </c>
      <c r="D31" s="1035">
        <f>'Table 3 Levels 1&amp;2'!AL32</f>
        <v>3848.3923674564248</v>
      </c>
      <c r="E31" s="1138">
        <f t="shared" si="14"/>
        <v>0</v>
      </c>
      <c r="F31" s="1138">
        <f t="shared" si="18"/>
        <v>0</v>
      </c>
      <c r="G31" s="1090">
        <f t="shared" si="15"/>
        <v>0</v>
      </c>
      <c r="H31" s="1148">
        <f t="shared" si="19"/>
        <v>0</v>
      </c>
      <c r="I31" s="1090">
        <f t="shared" si="20"/>
        <v>0</v>
      </c>
      <c r="J31" s="1090"/>
      <c r="K31" s="1090">
        <f t="shared" si="21"/>
        <v>0</v>
      </c>
      <c r="L31" s="1090">
        <f t="shared" si="22"/>
        <v>0</v>
      </c>
      <c r="M31" s="1091">
        <f>'[8]FY2012-13 Initial'!$K32</f>
        <v>5187</v>
      </c>
      <c r="N31" s="1092">
        <f t="shared" si="16"/>
        <v>0</v>
      </c>
      <c r="O31" s="1156">
        <f t="shared" si="23"/>
        <v>0</v>
      </c>
      <c r="P31" s="1092">
        <f t="shared" si="24"/>
        <v>0</v>
      </c>
      <c r="Q31" s="1092"/>
      <c r="R31" s="1092">
        <f t="shared" si="25"/>
        <v>0</v>
      </c>
      <c r="S31" s="1092">
        <f t="shared" si="26"/>
        <v>0</v>
      </c>
      <c r="T31" s="1093">
        <f t="shared" si="27"/>
        <v>0</v>
      </c>
      <c r="U31" s="1093">
        <f t="shared" si="17"/>
        <v>0</v>
      </c>
    </row>
    <row r="32" spans="1:21">
      <c r="A32" s="1021">
        <v>26</v>
      </c>
      <c r="B32" s="1022" t="s">
        <v>127</v>
      </c>
      <c r="C32" s="1294">
        <f>'Table 8 2.1.12 MFP Funded'!K29</f>
        <v>0</v>
      </c>
      <c r="D32" s="1024">
        <f>'Table 3 Levels 1&amp;2'!AL33</f>
        <v>3145.9192082835102</v>
      </c>
      <c r="E32" s="1136">
        <f t="shared" si="14"/>
        <v>0</v>
      </c>
      <c r="F32" s="1136">
        <f t="shared" si="18"/>
        <v>0</v>
      </c>
      <c r="G32" s="1025">
        <f t="shared" si="15"/>
        <v>0</v>
      </c>
      <c r="H32" s="1146">
        <f t="shared" si="19"/>
        <v>0</v>
      </c>
      <c r="I32" s="1025">
        <f t="shared" si="20"/>
        <v>0</v>
      </c>
      <c r="J32" s="1025"/>
      <c r="K32" s="1025">
        <f t="shared" si="21"/>
        <v>0</v>
      </c>
      <c r="L32" s="1025">
        <f t="shared" si="22"/>
        <v>0</v>
      </c>
      <c r="M32" s="1086">
        <f>'[8]FY2012-13 Initial'!$K33</f>
        <v>5197</v>
      </c>
      <c r="N32" s="1026">
        <f t="shared" si="16"/>
        <v>0</v>
      </c>
      <c r="O32" s="1154">
        <f t="shared" si="23"/>
        <v>0</v>
      </c>
      <c r="P32" s="1026">
        <f t="shared" si="24"/>
        <v>0</v>
      </c>
      <c r="Q32" s="1026"/>
      <c r="R32" s="1026">
        <f t="shared" si="25"/>
        <v>0</v>
      </c>
      <c r="S32" s="1026">
        <f t="shared" si="26"/>
        <v>0</v>
      </c>
      <c r="T32" s="1027">
        <f t="shared" si="27"/>
        <v>0</v>
      </c>
      <c r="U32" s="1027">
        <f t="shared" si="17"/>
        <v>0</v>
      </c>
    </row>
    <row r="33" spans="1:21" ht="12.75" customHeight="1">
      <c r="A33" s="1028">
        <v>27</v>
      </c>
      <c r="B33" s="1029" t="s">
        <v>128</v>
      </c>
      <c r="C33" s="1295">
        <f>'Table 8 2.1.12 MFP Funded'!K30</f>
        <v>0</v>
      </c>
      <c r="D33" s="1037">
        <f>'Table 3 Levels 1&amp;2'!AL34</f>
        <v>5653.5502977926608</v>
      </c>
      <c r="E33" s="1139">
        <f t="shared" si="14"/>
        <v>0</v>
      </c>
      <c r="F33" s="1139">
        <f t="shared" si="18"/>
        <v>0</v>
      </c>
      <c r="G33" s="1094">
        <f t="shared" si="15"/>
        <v>0</v>
      </c>
      <c r="H33" s="1149">
        <f t="shared" si="19"/>
        <v>0</v>
      </c>
      <c r="I33" s="1094">
        <f t="shared" si="20"/>
        <v>0</v>
      </c>
      <c r="J33" s="1094"/>
      <c r="K33" s="1094">
        <f t="shared" si="21"/>
        <v>0</v>
      </c>
      <c r="L33" s="1094">
        <f t="shared" si="22"/>
        <v>0</v>
      </c>
      <c r="M33" s="1086">
        <f>'[8]FY2012-13 Initial'!$K34</f>
        <v>3073</v>
      </c>
      <c r="N33" s="1088">
        <f t="shared" si="16"/>
        <v>0</v>
      </c>
      <c r="O33" s="1155">
        <f t="shared" si="23"/>
        <v>0</v>
      </c>
      <c r="P33" s="1088">
        <f t="shared" si="24"/>
        <v>0</v>
      </c>
      <c r="Q33" s="1088"/>
      <c r="R33" s="1088">
        <f t="shared" si="25"/>
        <v>0</v>
      </c>
      <c r="S33" s="1088">
        <f t="shared" si="26"/>
        <v>0</v>
      </c>
      <c r="T33" s="1089">
        <f t="shared" si="27"/>
        <v>0</v>
      </c>
      <c r="U33" s="1089">
        <f t="shared" si="17"/>
        <v>0</v>
      </c>
    </row>
    <row r="34" spans="1:21">
      <c r="A34" s="1028">
        <v>28</v>
      </c>
      <c r="B34" s="1029" t="s">
        <v>129</v>
      </c>
      <c r="C34" s="1295">
        <f>'Table 8 2.1.12 MFP Funded'!K31</f>
        <v>0</v>
      </c>
      <c r="D34" s="1037">
        <f>'Table 3 Levels 1&amp;2'!AL35</f>
        <v>3200.5356505169011</v>
      </c>
      <c r="E34" s="1139">
        <f t="shared" si="14"/>
        <v>0</v>
      </c>
      <c r="F34" s="1139">
        <f t="shared" si="18"/>
        <v>0</v>
      </c>
      <c r="G34" s="1094">
        <f t="shared" si="15"/>
        <v>0</v>
      </c>
      <c r="H34" s="1149">
        <f t="shared" si="19"/>
        <v>0</v>
      </c>
      <c r="I34" s="1094">
        <f t="shared" si="20"/>
        <v>0</v>
      </c>
      <c r="J34" s="1094"/>
      <c r="K34" s="1094">
        <f t="shared" si="21"/>
        <v>0</v>
      </c>
      <c r="L34" s="1094">
        <f t="shared" si="22"/>
        <v>0</v>
      </c>
      <c r="M34" s="1086">
        <f>'[8]FY2012-13 Initial'!$K35</f>
        <v>5082</v>
      </c>
      <c r="N34" s="1088">
        <f t="shared" si="16"/>
        <v>0</v>
      </c>
      <c r="O34" s="1155">
        <f t="shared" si="23"/>
        <v>0</v>
      </c>
      <c r="P34" s="1088">
        <f t="shared" si="24"/>
        <v>0</v>
      </c>
      <c r="Q34" s="1088"/>
      <c r="R34" s="1088">
        <f t="shared" si="25"/>
        <v>0</v>
      </c>
      <c r="S34" s="1088">
        <f t="shared" si="26"/>
        <v>0</v>
      </c>
      <c r="T34" s="1089">
        <f t="shared" si="27"/>
        <v>0</v>
      </c>
      <c r="U34" s="1089">
        <f t="shared" si="17"/>
        <v>0</v>
      </c>
    </row>
    <row r="35" spans="1:21" ht="12.75" customHeight="1">
      <c r="A35" s="1028">
        <v>29</v>
      </c>
      <c r="B35" s="1029" t="s">
        <v>130</v>
      </c>
      <c r="C35" s="1295">
        <f>'Table 8 2.1.12 MFP Funded'!K32</f>
        <v>0</v>
      </c>
      <c r="D35" s="1037">
        <f>'Table 3 Levels 1&amp;2'!AL36</f>
        <v>3945.0399545376122</v>
      </c>
      <c r="E35" s="1139">
        <f t="shared" si="14"/>
        <v>0</v>
      </c>
      <c r="F35" s="1139">
        <f t="shared" si="18"/>
        <v>0</v>
      </c>
      <c r="G35" s="1094">
        <f t="shared" si="15"/>
        <v>0</v>
      </c>
      <c r="H35" s="1149">
        <f t="shared" si="19"/>
        <v>0</v>
      </c>
      <c r="I35" s="1094">
        <f t="shared" si="20"/>
        <v>0</v>
      </c>
      <c r="J35" s="1094"/>
      <c r="K35" s="1094">
        <f t="shared" si="21"/>
        <v>0</v>
      </c>
      <c r="L35" s="1094">
        <f t="shared" si="22"/>
        <v>0</v>
      </c>
      <c r="M35" s="1086">
        <f>'[8]FY2012-13 Initial'!$K36</f>
        <v>4295</v>
      </c>
      <c r="N35" s="1088">
        <f t="shared" si="16"/>
        <v>0</v>
      </c>
      <c r="O35" s="1155">
        <f t="shared" si="23"/>
        <v>0</v>
      </c>
      <c r="P35" s="1088">
        <f t="shared" si="24"/>
        <v>0</v>
      </c>
      <c r="Q35" s="1088"/>
      <c r="R35" s="1088">
        <f t="shared" si="25"/>
        <v>0</v>
      </c>
      <c r="S35" s="1088">
        <f t="shared" si="26"/>
        <v>0</v>
      </c>
      <c r="T35" s="1089">
        <f t="shared" si="27"/>
        <v>0</v>
      </c>
      <c r="U35" s="1089">
        <f t="shared" si="17"/>
        <v>0</v>
      </c>
    </row>
    <row r="36" spans="1:21">
      <c r="A36" s="1032">
        <v>30</v>
      </c>
      <c r="B36" s="1033" t="s">
        <v>131</v>
      </c>
      <c r="C36" s="1296">
        <f>'Table 8 2.1.12 MFP Funded'!K33</f>
        <v>0</v>
      </c>
      <c r="D36" s="1039">
        <f>'Table 3 Levels 1&amp;2'!AL37</f>
        <v>5594.8916667625617</v>
      </c>
      <c r="E36" s="1140">
        <f t="shared" si="14"/>
        <v>0</v>
      </c>
      <c r="F36" s="1140">
        <f t="shared" si="18"/>
        <v>0</v>
      </c>
      <c r="G36" s="1095">
        <f t="shared" si="15"/>
        <v>0</v>
      </c>
      <c r="H36" s="1150">
        <f t="shared" si="19"/>
        <v>0</v>
      </c>
      <c r="I36" s="1095">
        <f t="shared" si="20"/>
        <v>0</v>
      </c>
      <c r="J36" s="1095"/>
      <c r="K36" s="1095">
        <f t="shared" si="21"/>
        <v>0</v>
      </c>
      <c r="L36" s="1095">
        <f t="shared" si="22"/>
        <v>0</v>
      </c>
      <c r="M36" s="1091">
        <f>'[8]FY2012-13 Initial'!$K37</f>
        <v>3553</v>
      </c>
      <c r="N36" s="1092">
        <f t="shared" si="16"/>
        <v>0</v>
      </c>
      <c r="O36" s="1156">
        <f t="shared" si="23"/>
        <v>0</v>
      </c>
      <c r="P36" s="1092">
        <f t="shared" si="24"/>
        <v>0</v>
      </c>
      <c r="Q36" s="1092"/>
      <c r="R36" s="1092">
        <f t="shared" si="25"/>
        <v>0</v>
      </c>
      <c r="S36" s="1092">
        <f t="shared" si="26"/>
        <v>0</v>
      </c>
      <c r="T36" s="1093">
        <f t="shared" si="27"/>
        <v>0</v>
      </c>
      <c r="U36" s="1093">
        <f t="shared" si="17"/>
        <v>0</v>
      </c>
    </row>
    <row r="37" spans="1:21" ht="12.75" customHeight="1">
      <c r="A37" s="1021">
        <v>31</v>
      </c>
      <c r="B37" s="1022" t="s">
        <v>132</v>
      </c>
      <c r="C37" s="1297">
        <f>'Table 8 2.1.12 MFP Funded'!K34</f>
        <v>0</v>
      </c>
      <c r="D37" s="1041">
        <f>'Table 3 Levels 1&amp;2'!AL38</f>
        <v>4159.5846806435638</v>
      </c>
      <c r="E37" s="1141">
        <f t="shared" si="14"/>
        <v>0</v>
      </c>
      <c r="F37" s="1141">
        <f t="shared" si="18"/>
        <v>0</v>
      </c>
      <c r="G37" s="1096">
        <f t="shared" si="15"/>
        <v>0</v>
      </c>
      <c r="H37" s="1151">
        <f t="shared" si="19"/>
        <v>0</v>
      </c>
      <c r="I37" s="1096">
        <f t="shared" si="20"/>
        <v>0</v>
      </c>
      <c r="J37" s="1096"/>
      <c r="K37" s="1096">
        <f t="shared" si="21"/>
        <v>0</v>
      </c>
      <c r="L37" s="1096">
        <f t="shared" si="22"/>
        <v>0</v>
      </c>
      <c r="M37" s="1086">
        <f>'[8]FY2012-13 Initial'!$K38</f>
        <v>4719</v>
      </c>
      <c r="N37" s="1026">
        <f t="shared" si="16"/>
        <v>0</v>
      </c>
      <c r="O37" s="1154">
        <f t="shared" si="23"/>
        <v>0</v>
      </c>
      <c r="P37" s="1026">
        <f t="shared" si="24"/>
        <v>0</v>
      </c>
      <c r="Q37" s="1026"/>
      <c r="R37" s="1026">
        <f t="shared" si="25"/>
        <v>0</v>
      </c>
      <c r="S37" s="1026">
        <f t="shared" si="26"/>
        <v>0</v>
      </c>
      <c r="T37" s="1027">
        <f t="shared" si="27"/>
        <v>0</v>
      </c>
      <c r="U37" s="1027">
        <f t="shared" si="17"/>
        <v>0</v>
      </c>
    </row>
    <row r="38" spans="1:21">
      <c r="A38" s="1028">
        <v>32</v>
      </c>
      <c r="B38" s="1029" t="s">
        <v>133</v>
      </c>
      <c r="C38" s="1295">
        <f>'Table 8 2.1.12 MFP Funded'!K35</f>
        <v>0</v>
      </c>
      <c r="D38" s="1037">
        <f>'Table 3 Levels 1&amp;2'!AL39</f>
        <v>5475.1436637248598</v>
      </c>
      <c r="E38" s="1139">
        <f t="shared" si="14"/>
        <v>0</v>
      </c>
      <c r="F38" s="1139">
        <f t="shared" si="18"/>
        <v>0</v>
      </c>
      <c r="G38" s="1094">
        <f t="shared" si="15"/>
        <v>0</v>
      </c>
      <c r="H38" s="1149">
        <f t="shared" si="19"/>
        <v>0</v>
      </c>
      <c r="I38" s="1094">
        <f t="shared" si="20"/>
        <v>0</v>
      </c>
      <c r="J38" s="1094"/>
      <c r="K38" s="1094">
        <f t="shared" si="21"/>
        <v>0</v>
      </c>
      <c r="L38" s="1094">
        <f t="shared" si="22"/>
        <v>0</v>
      </c>
      <c r="M38" s="1086">
        <f>'[8]FY2012-13 Initial'!$K39</f>
        <v>1979</v>
      </c>
      <c r="N38" s="1088">
        <f t="shared" si="16"/>
        <v>0</v>
      </c>
      <c r="O38" s="1155">
        <f t="shared" si="23"/>
        <v>0</v>
      </c>
      <c r="P38" s="1088">
        <f t="shared" si="24"/>
        <v>0</v>
      </c>
      <c r="Q38" s="1088"/>
      <c r="R38" s="1088">
        <f t="shared" si="25"/>
        <v>0</v>
      </c>
      <c r="S38" s="1088">
        <f t="shared" si="26"/>
        <v>0</v>
      </c>
      <c r="T38" s="1089">
        <f t="shared" si="27"/>
        <v>0</v>
      </c>
      <c r="U38" s="1089">
        <f t="shared" si="17"/>
        <v>0</v>
      </c>
    </row>
    <row r="39" spans="1:21" ht="12.75" customHeight="1">
      <c r="A39" s="1028">
        <v>33</v>
      </c>
      <c r="B39" s="1029" t="s">
        <v>134</v>
      </c>
      <c r="C39" s="1295">
        <f>'Table 8 2.1.12 MFP Funded'!K36</f>
        <v>0</v>
      </c>
      <c r="D39" s="1037">
        <f>'Table 3 Levels 1&amp;2'!AL40</f>
        <v>5397.5678422891451</v>
      </c>
      <c r="E39" s="1139">
        <f t="shared" ref="E39:E70" si="28">D39*C39</f>
        <v>0</v>
      </c>
      <c r="F39" s="1139">
        <f t="shared" si="18"/>
        <v>0</v>
      </c>
      <c r="G39" s="1094">
        <f t="shared" ref="G39:G70" si="29">E39+F39</f>
        <v>0</v>
      </c>
      <c r="H39" s="1149">
        <f t="shared" si="19"/>
        <v>0</v>
      </c>
      <c r="I39" s="1094">
        <f t="shared" si="20"/>
        <v>0</v>
      </c>
      <c r="J39" s="1094"/>
      <c r="K39" s="1094">
        <f t="shared" si="21"/>
        <v>0</v>
      </c>
      <c r="L39" s="1094">
        <f t="shared" si="22"/>
        <v>0</v>
      </c>
      <c r="M39" s="1086">
        <f>'[8]FY2012-13 Initial'!$K40</f>
        <v>3055</v>
      </c>
      <c r="N39" s="1088">
        <f t="shared" ref="N39:N70" si="30">M39*C39</f>
        <v>0</v>
      </c>
      <c r="O39" s="1155">
        <f t="shared" si="23"/>
        <v>0</v>
      </c>
      <c r="P39" s="1088">
        <f t="shared" si="24"/>
        <v>0</v>
      </c>
      <c r="Q39" s="1088"/>
      <c r="R39" s="1088">
        <f t="shared" si="25"/>
        <v>0</v>
      </c>
      <c r="S39" s="1088">
        <f t="shared" si="26"/>
        <v>0</v>
      </c>
      <c r="T39" s="1089">
        <f t="shared" si="27"/>
        <v>0</v>
      </c>
      <c r="U39" s="1089">
        <f t="shared" ref="U39:U75" si="31">L39+S39</f>
        <v>0</v>
      </c>
    </row>
    <row r="40" spans="1:21">
      <c r="A40" s="1028">
        <v>34</v>
      </c>
      <c r="B40" s="1029" t="s">
        <v>135</v>
      </c>
      <c r="C40" s="1295">
        <f>'Table 8 2.1.12 MFP Funded'!K37</f>
        <v>8</v>
      </c>
      <c r="D40" s="1037">
        <f>'Table 3 Levels 1&amp;2'!AL41</f>
        <v>5843.9642210290731</v>
      </c>
      <c r="E40" s="1139">
        <f t="shared" si="28"/>
        <v>46751.713768232585</v>
      </c>
      <c r="F40" s="1139">
        <f t="shared" si="18"/>
        <v>5730.3641750841743</v>
      </c>
      <c r="G40" s="1094">
        <f t="shared" si="29"/>
        <v>52482.077943316763</v>
      </c>
      <c r="H40" s="1149">
        <f t="shared" si="19"/>
        <v>-131.20519485829192</v>
      </c>
      <c r="I40" s="1094">
        <f t="shared" si="20"/>
        <v>52350.872748458474</v>
      </c>
      <c r="J40" s="1094"/>
      <c r="K40" s="1094">
        <f t="shared" si="21"/>
        <v>52350.872748458474</v>
      </c>
      <c r="L40" s="1094">
        <f t="shared" si="22"/>
        <v>4363</v>
      </c>
      <c r="M40" s="1086">
        <f>'[8]FY2012-13 Initial'!$K41</f>
        <v>2782</v>
      </c>
      <c r="N40" s="1088">
        <f t="shared" si="30"/>
        <v>22256</v>
      </c>
      <c r="O40" s="1155">
        <f t="shared" si="23"/>
        <v>-55.64</v>
      </c>
      <c r="P40" s="1088">
        <f t="shared" si="24"/>
        <v>22200.36</v>
      </c>
      <c r="Q40" s="1088"/>
      <c r="R40" s="1088">
        <f t="shared" si="25"/>
        <v>22200.36</v>
      </c>
      <c r="S40" s="1088">
        <f t="shared" si="26"/>
        <v>1850</v>
      </c>
      <c r="T40" s="1089">
        <f t="shared" si="27"/>
        <v>74551.232748458482</v>
      </c>
      <c r="U40" s="1089">
        <f t="shared" si="31"/>
        <v>6213</v>
      </c>
    </row>
    <row r="41" spans="1:21" ht="12.75" customHeight="1">
      <c r="A41" s="1032">
        <v>35</v>
      </c>
      <c r="B41" s="1033" t="s">
        <v>136</v>
      </c>
      <c r="C41" s="1296">
        <f>'Table 8 2.1.12 MFP Funded'!K38</f>
        <v>0</v>
      </c>
      <c r="D41" s="1039">
        <f>'Table 3 Levels 1&amp;2'!AL42</f>
        <v>4830.9633412658623</v>
      </c>
      <c r="E41" s="1140">
        <f t="shared" si="28"/>
        <v>0</v>
      </c>
      <c r="F41" s="1140">
        <f t="shared" si="18"/>
        <v>0</v>
      </c>
      <c r="G41" s="1095">
        <f t="shared" si="29"/>
        <v>0</v>
      </c>
      <c r="H41" s="1150">
        <f t="shared" si="19"/>
        <v>0</v>
      </c>
      <c r="I41" s="1095">
        <f t="shared" si="20"/>
        <v>0</v>
      </c>
      <c r="J41" s="1095"/>
      <c r="K41" s="1095">
        <f t="shared" si="21"/>
        <v>0</v>
      </c>
      <c r="L41" s="1095">
        <f t="shared" si="22"/>
        <v>0</v>
      </c>
      <c r="M41" s="1091">
        <f>'[8]FY2012-13 Initial'!$K42</f>
        <v>3175</v>
      </c>
      <c r="N41" s="1092">
        <f t="shared" si="30"/>
        <v>0</v>
      </c>
      <c r="O41" s="1156">
        <f t="shared" si="23"/>
        <v>0</v>
      </c>
      <c r="P41" s="1092">
        <f t="shared" si="24"/>
        <v>0</v>
      </c>
      <c r="Q41" s="1092"/>
      <c r="R41" s="1092">
        <f t="shared" si="25"/>
        <v>0</v>
      </c>
      <c r="S41" s="1092">
        <f t="shared" si="26"/>
        <v>0</v>
      </c>
      <c r="T41" s="1093">
        <f t="shared" si="27"/>
        <v>0</v>
      </c>
      <c r="U41" s="1093">
        <f t="shared" si="31"/>
        <v>0</v>
      </c>
    </row>
    <row r="42" spans="1:21">
      <c r="A42" s="1021">
        <v>36</v>
      </c>
      <c r="B42" s="1022" t="s">
        <v>137</v>
      </c>
      <c r="C42" s="1297">
        <f>'Table 8 2.1.12 MFP Funded'!K39</f>
        <v>0</v>
      </c>
      <c r="D42" s="1041">
        <f>'Table 3 Levels 1&amp;2'!AL43</f>
        <v>3493.4615493208294</v>
      </c>
      <c r="E42" s="1141">
        <f t="shared" si="28"/>
        <v>0</v>
      </c>
      <c r="F42" s="1141">
        <f t="shared" si="18"/>
        <v>0</v>
      </c>
      <c r="G42" s="1096">
        <f t="shared" si="29"/>
        <v>0</v>
      </c>
      <c r="H42" s="1151">
        <f t="shared" si="19"/>
        <v>0</v>
      </c>
      <c r="I42" s="1096">
        <f t="shared" si="20"/>
        <v>0</v>
      </c>
      <c r="J42" s="1096"/>
      <c r="K42" s="1096">
        <f t="shared" si="21"/>
        <v>0</v>
      </c>
      <c r="L42" s="1096">
        <f t="shared" si="22"/>
        <v>0</v>
      </c>
      <c r="M42" s="1086">
        <f>'[8]FY2012-13 Initial'!$K43</f>
        <v>4785</v>
      </c>
      <c r="N42" s="1026">
        <f t="shared" si="30"/>
        <v>0</v>
      </c>
      <c r="O42" s="1154">
        <f t="shared" si="23"/>
        <v>0</v>
      </c>
      <c r="P42" s="1026">
        <f t="shared" si="24"/>
        <v>0</v>
      </c>
      <c r="Q42" s="1026"/>
      <c r="R42" s="1026">
        <f t="shared" si="25"/>
        <v>0</v>
      </c>
      <c r="S42" s="1026">
        <f t="shared" si="26"/>
        <v>0</v>
      </c>
      <c r="T42" s="1027">
        <f t="shared" si="27"/>
        <v>0</v>
      </c>
      <c r="U42" s="1027">
        <f t="shared" si="31"/>
        <v>0</v>
      </c>
    </row>
    <row r="43" spans="1:21" ht="12.75" customHeight="1">
      <c r="A43" s="1028">
        <v>37</v>
      </c>
      <c r="B43" s="1029" t="s">
        <v>138</v>
      </c>
      <c r="C43" s="1295">
        <f>'Table 8 2.1.12 MFP Funded'!K40</f>
        <v>141</v>
      </c>
      <c r="D43" s="1037">
        <f>'Table 3 Levels 1&amp;2'!AL44</f>
        <v>5484.3026094077886</v>
      </c>
      <c r="E43" s="1139">
        <f t="shared" si="28"/>
        <v>773286.66792649822</v>
      </c>
      <c r="F43" s="1139">
        <f t="shared" si="18"/>
        <v>100997.66858585857</v>
      </c>
      <c r="G43" s="1094">
        <f t="shared" si="29"/>
        <v>874284.33651235676</v>
      </c>
      <c r="H43" s="1149">
        <f t="shared" si="19"/>
        <v>-2185.7108412808921</v>
      </c>
      <c r="I43" s="1094">
        <f t="shared" si="20"/>
        <v>872098.62567107589</v>
      </c>
      <c r="J43" s="1094"/>
      <c r="K43" s="1094">
        <f t="shared" si="21"/>
        <v>872098.62567107589</v>
      </c>
      <c r="L43" s="1094">
        <f t="shared" si="22"/>
        <v>72675</v>
      </c>
      <c r="M43" s="1086">
        <f>'[8]FY2012-13 Initial'!$K44</f>
        <v>3112</v>
      </c>
      <c r="N43" s="1088">
        <f t="shared" si="30"/>
        <v>438792</v>
      </c>
      <c r="O43" s="1155">
        <f t="shared" si="23"/>
        <v>-1096.98</v>
      </c>
      <c r="P43" s="1088">
        <f t="shared" si="24"/>
        <v>437695.02</v>
      </c>
      <c r="Q43" s="1088"/>
      <c r="R43" s="1088">
        <f t="shared" si="25"/>
        <v>437695.02</v>
      </c>
      <c r="S43" s="1088">
        <f t="shared" si="26"/>
        <v>36475</v>
      </c>
      <c r="T43" s="1089">
        <f t="shared" si="27"/>
        <v>1309793.6456710759</v>
      </c>
      <c r="U43" s="1089">
        <f t="shared" si="31"/>
        <v>109150</v>
      </c>
    </row>
    <row r="44" spans="1:21">
      <c r="A44" s="1028">
        <v>38</v>
      </c>
      <c r="B44" s="1029" t="s">
        <v>139</v>
      </c>
      <c r="C44" s="1295">
        <f>'Table 8 2.1.12 MFP Funded'!K41</f>
        <v>0</v>
      </c>
      <c r="D44" s="1037">
        <f>'Table 3 Levels 1&amp;2'!AL45</f>
        <v>2191.7415364583335</v>
      </c>
      <c r="E44" s="1139">
        <f t="shared" si="28"/>
        <v>0</v>
      </c>
      <c r="F44" s="1139">
        <f t="shared" si="18"/>
        <v>0</v>
      </c>
      <c r="G44" s="1094">
        <f t="shared" si="29"/>
        <v>0</v>
      </c>
      <c r="H44" s="1149">
        <f t="shared" si="19"/>
        <v>0</v>
      </c>
      <c r="I44" s="1094">
        <f t="shared" si="20"/>
        <v>0</v>
      </c>
      <c r="J44" s="1094"/>
      <c r="K44" s="1094">
        <f t="shared" si="21"/>
        <v>0</v>
      </c>
      <c r="L44" s="1094">
        <f t="shared" si="22"/>
        <v>0</v>
      </c>
      <c r="M44" s="1086">
        <f>'[8]FY2012-13 Initial'!$K45</f>
        <v>9771</v>
      </c>
      <c r="N44" s="1088">
        <f t="shared" si="30"/>
        <v>0</v>
      </c>
      <c r="O44" s="1155">
        <f t="shared" si="23"/>
        <v>0</v>
      </c>
      <c r="P44" s="1088">
        <f t="shared" si="24"/>
        <v>0</v>
      </c>
      <c r="Q44" s="1088"/>
      <c r="R44" s="1088">
        <f t="shared" si="25"/>
        <v>0</v>
      </c>
      <c r="S44" s="1088">
        <f t="shared" si="26"/>
        <v>0</v>
      </c>
      <c r="T44" s="1089">
        <f t="shared" si="27"/>
        <v>0</v>
      </c>
      <c r="U44" s="1089">
        <f t="shared" si="31"/>
        <v>0</v>
      </c>
    </row>
    <row r="45" spans="1:21" ht="12.75" customHeight="1">
      <c r="A45" s="1028">
        <v>39</v>
      </c>
      <c r="B45" s="1029" t="s">
        <v>140</v>
      </c>
      <c r="C45" s="1295">
        <f>'Table 8 2.1.12 MFP Funded'!K42</f>
        <v>0</v>
      </c>
      <c r="D45" s="1037">
        <f>'Table 3 Levels 1&amp;2'!AL46</f>
        <v>3686.1886996918806</v>
      </c>
      <c r="E45" s="1139">
        <f t="shared" si="28"/>
        <v>0</v>
      </c>
      <c r="F45" s="1139">
        <f t="shared" si="18"/>
        <v>0</v>
      </c>
      <c r="G45" s="1094">
        <f t="shared" si="29"/>
        <v>0</v>
      </c>
      <c r="H45" s="1149">
        <f t="shared" si="19"/>
        <v>0</v>
      </c>
      <c r="I45" s="1094">
        <f t="shared" si="20"/>
        <v>0</v>
      </c>
      <c r="J45" s="1094"/>
      <c r="K45" s="1094">
        <f t="shared" si="21"/>
        <v>0</v>
      </c>
      <c r="L45" s="1094">
        <f t="shared" si="22"/>
        <v>0</v>
      </c>
      <c r="M45" s="1086">
        <f>'[8]FY2012-13 Initial'!$K46</f>
        <v>4190</v>
      </c>
      <c r="N45" s="1088">
        <f t="shared" si="30"/>
        <v>0</v>
      </c>
      <c r="O45" s="1155">
        <f t="shared" si="23"/>
        <v>0</v>
      </c>
      <c r="P45" s="1088">
        <f t="shared" si="24"/>
        <v>0</v>
      </c>
      <c r="Q45" s="1088"/>
      <c r="R45" s="1088">
        <f t="shared" si="25"/>
        <v>0</v>
      </c>
      <c r="S45" s="1088">
        <f t="shared" si="26"/>
        <v>0</v>
      </c>
      <c r="T45" s="1089">
        <f t="shared" si="27"/>
        <v>0</v>
      </c>
      <c r="U45" s="1089">
        <f t="shared" si="31"/>
        <v>0</v>
      </c>
    </row>
    <row r="46" spans="1:21">
      <c r="A46" s="1032">
        <v>40</v>
      </c>
      <c r="B46" s="1033" t="s">
        <v>141</v>
      </c>
      <c r="C46" s="1296">
        <f>'Table 8 2.1.12 MFP Funded'!K43</f>
        <v>0</v>
      </c>
      <c r="D46" s="1039">
        <f>'Table 3 Levels 1&amp;2'!AL47</f>
        <v>4879.0185326187402</v>
      </c>
      <c r="E46" s="1140">
        <f t="shared" si="28"/>
        <v>0</v>
      </c>
      <c r="F46" s="1140">
        <f t="shared" si="18"/>
        <v>0</v>
      </c>
      <c r="G46" s="1095">
        <f t="shared" si="29"/>
        <v>0</v>
      </c>
      <c r="H46" s="1150">
        <f t="shared" si="19"/>
        <v>0</v>
      </c>
      <c r="I46" s="1095">
        <f t="shared" si="20"/>
        <v>0</v>
      </c>
      <c r="J46" s="1095"/>
      <c r="K46" s="1095">
        <f t="shared" si="21"/>
        <v>0</v>
      </c>
      <c r="L46" s="1095">
        <f t="shared" si="22"/>
        <v>0</v>
      </c>
      <c r="M46" s="1091">
        <f>'[8]FY2012-13 Initial'!$K47</f>
        <v>2887</v>
      </c>
      <c r="N46" s="1092">
        <f t="shared" si="30"/>
        <v>0</v>
      </c>
      <c r="O46" s="1156">
        <f t="shared" si="23"/>
        <v>0</v>
      </c>
      <c r="P46" s="1092">
        <f t="shared" si="24"/>
        <v>0</v>
      </c>
      <c r="Q46" s="1092"/>
      <c r="R46" s="1092">
        <f t="shared" si="25"/>
        <v>0</v>
      </c>
      <c r="S46" s="1092">
        <f t="shared" si="26"/>
        <v>0</v>
      </c>
      <c r="T46" s="1093">
        <f t="shared" si="27"/>
        <v>0</v>
      </c>
      <c r="U46" s="1093">
        <f t="shared" si="31"/>
        <v>0</v>
      </c>
    </row>
    <row r="47" spans="1:21" ht="12.75" customHeight="1">
      <c r="A47" s="1021">
        <v>41</v>
      </c>
      <c r="B47" s="1022" t="s">
        <v>142</v>
      </c>
      <c r="C47" s="1297">
        <f>'Table 8 2.1.12 MFP Funded'!K44</f>
        <v>0</v>
      </c>
      <c r="D47" s="1041">
        <f>'Table 3 Levels 1&amp;2'!AL48</f>
        <v>1608.4303482587065</v>
      </c>
      <c r="E47" s="1141">
        <f t="shared" si="28"/>
        <v>0</v>
      </c>
      <c r="F47" s="1141">
        <f t="shared" si="18"/>
        <v>0</v>
      </c>
      <c r="G47" s="1096">
        <f t="shared" si="29"/>
        <v>0</v>
      </c>
      <c r="H47" s="1151">
        <f t="shared" si="19"/>
        <v>0</v>
      </c>
      <c r="I47" s="1096">
        <f t="shared" si="20"/>
        <v>0</v>
      </c>
      <c r="J47" s="1096"/>
      <c r="K47" s="1096">
        <f t="shared" si="21"/>
        <v>0</v>
      </c>
      <c r="L47" s="1096">
        <f t="shared" si="22"/>
        <v>0</v>
      </c>
      <c r="M47" s="1086">
        <f>'[8]FY2012-13 Initial'!$K48</f>
        <v>12470</v>
      </c>
      <c r="N47" s="1026">
        <f t="shared" si="30"/>
        <v>0</v>
      </c>
      <c r="O47" s="1154">
        <f t="shared" si="23"/>
        <v>0</v>
      </c>
      <c r="P47" s="1026">
        <f t="shared" si="24"/>
        <v>0</v>
      </c>
      <c r="Q47" s="1026"/>
      <c r="R47" s="1026">
        <f t="shared" si="25"/>
        <v>0</v>
      </c>
      <c r="S47" s="1026">
        <f t="shared" si="26"/>
        <v>0</v>
      </c>
      <c r="T47" s="1027">
        <f t="shared" si="27"/>
        <v>0</v>
      </c>
      <c r="U47" s="1027">
        <f t="shared" si="31"/>
        <v>0</v>
      </c>
    </row>
    <row r="48" spans="1:21">
      <c r="A48" s="1028">
        <v>42</v>
      </c>
      <c r="B48" s="1029" t="s">
        <v>143</v>
      </c>
      <c r="C48" s="1295">
        <f>'Table 8 2.1.12 MFP Funded'!K45</f>
        <v>2</v>
      </c>
      <c r="D48" s="1037">
        <f>'Table 3 Levels 1&amp;2'!AL49</f>
        <v>5260.3047779801664</v>
      </c>
      <c r="E48" s="1139">
        <f t="shared" si="28"/>
        <v>10520.609555960333</v>
      </c>
      <c r="F48" s="1139">
        <f t="shared" si="18"/>
        <v>1432.5910437710436</v>
      </c>
      <c r="G48" s="1094">
        <f t="shared" si="29"/>
        <v>11953.200599731375</v>
      </c>
      <c r="H48" s="1149">
        <f t="shared" si="19"/>
        <v>-29.88300149932844</v>
      </c>
      <c r="I48" s="1094">
        <f t="shared" si="20"/>
        <v>11923.317598232046</v>
      </c>
      <c r="J48" s="1094"/>
      <c r="K48" s="1094">
        <f t="shared" si="21"/>
        <v>11923.317598232046</v>
      </c>
      <c r="L48" s="1094">
        <f t="shared" si="22"/>
        <v>994</v>
      </c>
      <c r="M48" s="1086">
        <f>'[8]FY2012-13 Initial'!$K49</f>
        <v>2353</v>
      </c>
      <c r="N48" s="1088">
        <f t="shared" si="30"/>
        <v>4706</v>
      </c>
      <c r="O48" s="1155">
        <f t="shared" si="23"/>
        <v>-11.765000000000001</v>
      </c>
      <c r="P48" s="1088">
        <f t="shared" si="24"/>
        <v>4694.2349999999997</v>
      </c>
      <c r="Q48" s="1088"/>
      <c r="R48" s="1088">
        <f t="shared" si="25"/>
        <v>4694.2349999999997</v>
      </c>
      <c r="S48" s="1088">
        <f t="shared" si="26"/>
        <v>391</v>
      </c>
      <c r="T48" s="1089">
        <f t="shared" si="27"/>
        <v>16617.552598232047</v>
      </c>
      <c r="U48" s="1089">
        <f t="shared" si="31"/>
        <v>1385</v>
      </c>
    </row>
    <row r="49" spans="1:21" ht="12.75" customHeight="1">
      <c r="A49" s="1028">
        <v>43</v>
      </c>
      <c r="B49" s="1029" t="s">
        <v>144</v>
      </c>
      <c r="C49" s="1295">
        <f>'Table 8 2.1.12 MFP Funded'!K46</f>
        <v>0</v>
      </c>
      <c r="D49" s="1037">
        <f>'Table 3 Levels 1&amp;2'!AL50</f>
        <v>5587.3492327608728</v>
      </c>
      <c r="E49" s="1139">
        <f t="shared" si="28"/>
        <v>0</v>
      </c>
      <c r="F49" s="1139">
        <f t="shared" si="18"/>
        <v>0</v>
      </c>
      <c r="G49" s="1094">
        <f t="shared" si="29"/>
        <v>0</v>
      </c>
      <c r="H49" s="1149">
        <f t="shared" si="19"/>
        <v>0</v>
      </c>
      <c r="I49" s="1094">
        <f t="shared" si="20"/>
        <v>0</v>
      </c>
      <c r="J49" s="1094"/>
      <c r="K49" s="1094">
        <f t="shared" si="21"/>
        <v>0</v>
      </c>
      <c r="L49" s="1094">
        <f t="shared" si="22"/>
        <v>0</v>
      </c>
      <c r="M49" s="1086">
        <f>'[8]FY2012-13 Initial'!$K50</f>
        <v>5599</v>
      </c>
      <c r="N49" s="1088">
        <f t="shared" si="30"/>
        <v>0</v>
      </c>
      <c r="O49" s="1155">
        <f t="shared" si="23"/>
        <v>0</v>
      </c>
      <c r="P49" s="1088">
        <f t="shared" si="24"/>
        <v>0</v>
      </c>
      <c r="Q49" s="1088"/>
      <c r="R49" s="1088">
        <f t="shared" si="25"/>
        <v>0</v>
      </c>
      <c r="S49" s="1088">
        <f t="shared" si="26"/>
        <v>0</v>
      </c>
      <c r="T49" s="1089">
        <f t="shared" si="27"/>
        <v>0</v>
      </c>
      <c r="U49" s="1089">
        <f t="shared" si="31"/>
        <v>0</v>
      </c>
    </row>
    <row r="50" spans="1:21">
      <c r="A50" s="1028">
        <v>44</v>
      </c>
      <c r="B50" s="1029" t="s">
        <v>145</v>
      </c>
      <c r="C50" s="1295">
        <f>'Table 8 2.1.12 MFP Funded'!K47</f>
        <v>0</v>
      </c>
      <c r="D50" s="1037">
        <f>'Table 3 Levels 1&amp;2'!AL51</f>
        <v>4113.1787591918992</v>
      </c>
      <c r="E50" s="1139">
        <f t="shared" si="28"/>
        <v>0</v>
      </c>
      <c r="F50" s="1139">
        <f t="shared" si="18"/>
        <v>0</v>
      </c>
      <c r="G50" s="1094">
        <f t="shared" si="29"/>
        <v>0</v>
      </c>
      <c r="H50" s="1149">
        <f t="shared" si="19"/>
        <v>0</v>
      </c>
      <c r="I50" s="1094">
        <f t="shared" si="20"/>
        <v>0</v>
      </c>
      <c r="J50" s="1094"/>
      <c r="K50" s="1094">
        <f t="shared" si="21"/>
        <v>0</v>
      </c>
      <c r="L50" s="1094">
        <f t="shared" si="22"/>
        <v>0</v>
      </c>
      <c r="M50" s="1086">
        <f>'[8]FY2012-13 Initial'!$K51</f>
        <v>4661</v>
      </c>
      <c r="N50" s="1088">
        <f t="shared" si="30"/>
        <v>0</v>
      </c>
      <c r="O50" s="1155">
        <f t="shared" si="23"/>
        <v>0</v>
      </c>
      <c r="P50" s="1088">
        <f t="shared" si="24"/>
        <v>0</v>
      </c>
      <c r="Q50" s="1088"/>
      <c r="R50" s="1088">
        <f t="shared" si="25"/>
        <v>0</v>
      </c>
      <c r="S50" s="1088">
        <f t="shared" si="26"/>
        <v>0</v>
      </c>
      <c r="T50" s="1089">
        <f t="shared" si="27"/>
        <v>0</v>
      </c>
      <c r="U50" s="1089">
        <f t="shared" si="31"/>
        <v>0</v>
      </c>
    </row>
    <row r="51" spans="1:21" ht="12.75" customHeight="1">
      <c r="A51" s="1032">
        <v>45</v>
      </c>
      <c r="B51" s="1033" t="s">
        <v>146</v>
      </c>
      <c r="C51" s="1296">
        <f>'Table 8 2.1.12 MFP Funded'!K48</f>
        <v>0</v>
      </c>
      <c r="D51" s="1039">
        <f>'Table 3 Levels 1&amp;2'!AL52</f>
        <v>2414.8479898164846</v>
      </c>
      <c r="E51" s="1140">
        <f t="shared" si="28"/>
        <v>0</v>
      </c>
      <c r="F51" s="1140">
        <f t="shared" si="18"/>
        <v>0</v>
      </c>
      <c r="G51" s="1095">
        <f t="shared" si="29"/>
        <v>0</v>
      </c>
      <c r="H51" s="1150">
        <f t="shared" si="19"/>
        <v>0</v>
      </c>
      <c r="I51" s="1095">
        <f t="shared" si="20"/>
        <v>0</v>
      </c>
      <c r="J51" s="1095"/>
      <c r="K51" s="1095">
        <f t="shared" si="21"/>
        <v>0</v>
      </c>
      <c r="L51" s="1095">
        <f t="shared" si="22"/>
        <v>0</v>
      </c>
      <c r="M51" s="1091">
        <f>'[8]FY2012-13 Initial'!$K52</f>
        <v>11650</v>
      </c>
      <c r="N51" s="1092">
        <f t="shared" si="30"/>
        <v>0</v>
      </c>
      <c r="O51" s="1156">
        <f t="shared" si="23"/>
        <v>0</v>
      </c>
      <c r="P51" s="1092">
        <f t="shared" si="24"/>
        <v>0</v>
      </c>
      <c r="Q51" s="1092"/>
      <c r="R51" s="1092">
        <f t="shared" si="25"/>
        <v>0</v>
      </c>
      <c r="S51" s="1092">
        <f t="shared" si="26"/>
        <v>0</v>
      </c>
      <c r="T51" s="1093">
        <f t="shared" si="27"/>
        <v>0</v>
      </c>
      <c r="U51" s="1093">
        <f t="shared" si="31"/>
        <v>0</v>
      </c>
    </row>
    <row r="52" spans="1:21">
      <c r="A52" s="1021">
        <v>46</v>
      </c>
      <c r="B52" s="1022" t="s">
        <v>147</v>
      </c>
      <c r="C52" s="1297">
        <f>'Table 8 2.1.12 MFP Funded'!K49</f>
        <v>0</v>
      </c>
      <c r="D52" s="1041">
        <f>'Table 3 Levels 1&amp;2'!AL53</f>
        <v>5765.0314518803261</v>
      </c>
      <c r="E52" s="1141">
        <f t="shared" si="28"/>
        <v>0</v>
      </c>
      <c r="F52" s="1141">
        <f t="shared" si="18"/>
        <v>0</v>
      </c>
      <c r="G52" s="1096">
        <f t="shared" si="29"/>
        <v>0</v>
      </c>
      <c r="H52" s="1151">
        <f t="shared" si="19"/>
        <v>0</v>
      </c>
      <c r="I52" s="1096">
        <f t="shared" si="20"/>
        <v>0</v>
      </c>
      <c r="J52" s="1096"/>
      <c r="K52" s="1096">
        <f t="shared" si="21"/>
        <v>0</v>
      </c>
      <c r="L52" s="1096">
        <f t="shared" si="22"/>
        <v>0</v>
      </c>
      <c r="M52" s="1086">
        <f>'[8]FY2012-13 Initial'!$K53</f>
        <v>1789</v>
      </c>
      <c r="N52" s="1026">
        <f t="shared" si="30"/>
        <v>0</v>
      </c>
      <c r="O52" s="1154">
        <f t="shared" si="23"/>
        <v>0</v>
      </c>
      <c r="P52" s="1026">
        <f t="shared" si="24"/>
        <v>0</v>
      </c>
      <c r="Q52" s="1026"/>
      <c r="R52" s="1026">
        <f t="shared" si="25"/>
        <v>0</v>
      </c>
      <c r="S52" s="1026">
        <f t="shared" si="26"/>
        <v>0</v>
      </c>
      <c r="T52" s="1027">
        <f t="shared" si="27"/>
        <v>0</v>
      </c>
      <c r="U52" s="1027">
        <f t="shared" si="31"/>
        <v>0</v>
      </c>
    </row>
    <row r="53" spans="1:21" ht="12.75" customHeight="1">
      <c r="A53" s="1028">
        <v>47</v>
      </c>
      <c r="B53" s="1029" t="s">
        <v>148</v>
      </c>
      <c r="C53" s="1295">
        <f>'Table 8 2.1.12 MFP Funded'!K50</f>
        <v>0</v>
      </c>
      <c r="D53" s="1037">
        <f>'Table 3 Levels 1&amp;2'!AL54</f>
        <v>3186.1712081166847</v>
      </c>
      <c r="E53" s="1139">
        <f t="shared" si="28"/>
        <v>0</v>
      </c>
      <c r="F53" s="1139">
        <f t="shared" si="18"/>
        <v>0</v>
      </c>
      <c r="G53" s="1094">
        <f t="shared" si="29"/>
        <v>0</v>
      </c>
      <c r="H53" s="1149">
        <f t="shared" si="19"/>
        <v>0</v>
      </c>
      <c r="I53" s="1094">
        <f t="shared" si="20"/>
        <v>0</v>
      </c>
      <c r="J53" s="1094"/>
      <c r="K53" s="1094">
        <f t="shared" si="21"/>
        <v>0</v>
      </c>
      <c r="L53" s="1094">
        <f t="shared" si="22"/>
        <v>0</v>
      </c>
      <c r="M53" s="1086">
        <f>'[8]FY2012-13 Initial'!$K54</f>
        <v>9947</v>
      </c>
      <c r="N53" s="1088">
        <f t="shared" si="30"/>
        <v>0</v>
      </c>
      <c r="O53" s="1155">
        <f t="shared" si="23"/>
        <v>0</v>
      </c>
      <c r="P53" s="1088">
        <f t="shared" si="24"/>
        <v>0</v>
      </c>
      <c r="Q53" s="1088"/>
      <c r="R53" s="1088">
        <f t="shared" si="25"/>
        <v>0</v>
      </c>
      <c r="S53" s="1088">
        <f t="shared" si="26"/>
        <v>0</v>
      </c>
      <c r="T53" s="1089">
        <f t="shared" si="27"/>
        <v>0</v>
      </c>
      <c r="U53" s="1089">
        <f t="shared" si="31"/>
        <v>0</v>
      </c>
    </row>
    <row r="54" spans="1:21">
      <c r="A54" s="1028">
        <v>48</v>
      </c>
      <c r="B54" s="1029" t="s">
        <v>222</v>
      </c>
      <c r="C54" s="1295">
        <f>'Table 8 2.1.12 MFP Funded'!K51</f>
        <v>0</v>
      </c>
      <c r="D54" s="1037">
        <f>'Table 3 Levels 1&amp;2'!AL55</f>
        <v>4260.4872196136057</v>
      </c>
      <c r="E54" s="1139">
        <f t="shared" si="28"/>
        <v>0</v>
      </c>
      <c r="F54" s="1139">
        <f t="shared" si="18"/>
        <v>0</v>
      </c>
      <c r="G54" s="1094">
        <f t="shared" si="29"/>
        <v>0</v>
      </c>
      <c r="H54" s="1149">
        <f t="shared" si="19"/>
        <v>0</v>
      </c>
      <c r="I54" s="1094">
        <f t="shared" si="20"/>
        <v>0</v>
      </c>
      <c r="J54" s="1094"/>
      <c r="K54" s="1094">
        <f t="shared" si="21"/>
        <v>0</v>
      </c>
      <c r="L54" s="1094">
        <f t="shared" si="22"/>
        <v>0</v>
      </c>
      <c r="M54" s="1086">
        <f>'[8]FY2012-13 Initial'!$K55</f>
        <v>5325</v>
      </c>
      <c r="N54" s="1088">
        <f t="shared" si="30"/>
        <v>0</v>
      </c>
      <c r="O54" s="1155">
        <f t="shared" si="23"/>
        <v>0</v>
      </c>
      <c r="P54" s="1088">
        <f t="shared" si="24"/>
        <v>0</v>
      </c>
      <c r="Q54" s="1088"/>
      <c r="R54" s="1088">
        <f t="shared" si="25"/>
        <v>0</v>
      </c>
      <c r="S54" s="1088">
        <f t="shared" si="26"/>
        <v>0</v>
      </c>
      <c r="T54" s="1089">
        <f t="shared" si="27"/>
        <v>0</v>
      </c>
      <c r="U54" s="1089">
        <f t="shared" si="31"/>
        <v>0</v>
      </c>
    </row>
    <row r="55" spans="1:21" ht="12.75" customHeight="1">
      <c r="A55" s="1028">
        <v>49</v>
      </c>
      <c r="B55" s="1029" t="s">
        <v>149</v>
      </c>
      <c r="C55" s="1295">
        <f>'Table 8 2.1.12 MFP Funded'!K52</f>
        <v>0</v>
      </c>
      <c r="D55" s="1037">
        <f>'Table 3 Levels 1&amp;2'!AL56</f>
        <v>4800.2172145077111</v>
      </c>
      <c r="E55" s="1139">
        <f t="shared" si="28"/>
        <v>0</v>
      </c>
      <c r="F55" s="1139">
        <f t="shared" si="18"/>
        <v>0</v>
      </c>
      <c r="G55" s="1094">
        <f t="shared" si="29"/>
        <v>0</v>
      </c>
      <c r="H55" s="1149">
        <f t="shared" si="19"/>
        <v>0</v>
      </c>
      <c r="I55" s="1094">
        <f t="shared" si="20"/>
        <v>0</v>
      </c>
      <c r="J55" s="1094"/>
      <c r="K55" s="1094">
        <f t="shared" si="21"/>
        <v>0</v>
      </c>
      <c r="L55" s="1094">
        <f t="shared" si="22"/>
        <v>0</v>
      </c>
      <c r="M55" s="1086">
        <f>'[8]FY2012-13 Initial'!$K56</f>
        <v>2326</v>
      </c>
      <c r="N55" s="1088">
        <f t="shared" si="30"/>
        <v>0</v>
      </c>
      <c r="O55" s="1155">
        <f t="shared" si="23"/>
        <v>0</v>
      </c>
      <c r="P55" s="1088">
        <f t="shared" si="24"/>
        <v>0</v>
      </c>
      <c r="Q55" s="1088"/>
      <c r="R55" s="1088">
        <f t="shared" si="25"/>
        <v>0</v>
      </c>
      <c r="S55" s="1088">
        <f t="shared" si="26"/>
        <v>0</v>
      </c>
      <c r="T55" s="1089">
        <f t="shared" si="27"/>
        <v>0</v>
      </c>
      <c r="U55" s="1089">
        <f t="shared" si="31"/>
        <v>0</v>
      </c>
    </row>
    <row r="56" spans="1:21">
      <c r="A56" s="1032">
        <v>50</v>
      </c>
      <c r="B56" s="1033" t="s">
        <v>150</v>
      </c>
      <c r="C56" s="1296">
        <f>'Table 8 2.1.12 MFP Funded'!K53</f>
        <v>0</v>
      </c>
      <c r="D56" s="1039">
        <f>'Table 3 Levels 1&amp;2'!AL57</f>
        <v>5059.523754419537</v>
      </c>
      <c r="E56" s="1140">
        <f t="shared" si="28"/>
        <v>0</v>
      </c>
      <c r="F56" s="1140">
        <f t="shared" si="18"/>
        <v>0</v>
      </c>
      <c r="G56" s="1095">
        <f t="shared" si="29"/>
        <v>0</v>
      </c>
      <c r="H56" s="1150">
        <f t="shared" si="19"/>
        <v>0</v>
      </c>
      <c r="I56" s="1095">
        <f t="shared" si="20"/>
        <v>0</v>
      </c>
      <c r="J56" s="1095"/>
      <c r="K56" s="1095">
        <f t="shared" si="21"/>
        <v>0</v>
      </c>
      <c r="L56" s="1095">
        <f t="shared" si="22"/>
        <v>0</v>
      </c>
      <c r="M56" s="1091">
        <f>'[8]FY2012-13 Initial'!$K57</f>
        <v>2574</v>
      </c>
      <c r="N56" s="1092">
        <f t="shared" si="30"/>
        <v>0</v>
      </c>
      <c r="O56" s="1156">
        <f t="shared" si="23"/>
        <v>0</v>
      </c>
      <c r="P56" s="1092">
        <f t="shared" si="24"/>
        <v>0</v>
      </c>
      <c r="Q56" s="1092"/>
      <c r="R56" s="1092">
        <f t="shared" si="25"/>
        <v>0</v>
      </c>
      <c r="S56" s="1092">
        <f t="shared" si="26"/>
        <v>0</v>
      </c>
      <c r="T56" s="1093">
        <f t="shared" si="27"/>
        <v>0</v>
      </c>
      <c r="U56" s="1093">
        <f t="shared" si="31"/>
        <v>0</v>
      </c>
    </row>
    <row r="57" spans="1:21" ht="12.75" customHeight="1">
      <c r="A57" s="1021">
        <v>51</v>
      </c>
      <c r="B57" s="1022" t="s">
        <v>151</v>
      </c>
      <c r="C57" s="1297">
        <f>'Table 8 2.1.12 MFP Funded'!K54</f>
        <v>0</v>
      </c>
      <c r="D57" s="1041">
        <f>'Table 3 Levels 1&amp;2'!AL58</f>
        <v>4384.0477116019692</v>
      </c>
      <c r="E57" s="1141">
        <f t="shared" si="28"/>
        <v>0</v>
      </c>
      <c r="F57" s="1141">
        <f t="shared" si="18"/>
        <v>0</v>
      </c>
      <c r="G57" s="1096">
        <f t="shared" si="29"/>
        <v>0</v>
      </c>
      <c r="H57" s="1151">
        <f t="shared" si="19"/>
        <v>0</v>
      </c>
      <c r="I57" s="1096">
        <f t="shared" si="20"/>
        <v>0</v>
      </c>
      <c r="J57" s="1096"/>
      <c r="K57" s="1096">
        <f t="shared" si="21"/>
        <v>0</v>
      </c>
      <c r="L57" s="1096">
        <f t="shared" si="22"/>
        <v>0</v>
      </c>
      <c r="M57" s="1086">
        <f>'[8]FY2012-13 Initial'!$K58</f>
        <v>3943</v>
      </c>
      <c r="N57" s="1026">
        <f t="shared" si="30"/>
        <v>0</v>
      </c>
      <c r="O57" s="1154">
        <f t="shared" si="23"/>
        <v>0</v>
      </c>
      <c r="P57" s="1026">
        <f t="shared" si="24"/>
        <v>0</v>
      </c>
      <c r="Q57" s="1026"/>
      <c r="R57" s="1026">
        <f t="shared" si="25"/>
        <v>0</v>
      </c>
      <c r="S57" s="1026">
        <f t="shared" si="26"/>
        <v>0</v>
      </c>
      <c r="T57" s="1027">
        <f t="shared" si="27"/>
        <v>0</v>
      </c>
      <c r="U57" s="1027">
        <f t="shared" si="31"/>
        <v>0</v>
      </c>
    </row>
    <row r="58" spans="1:21">
      <c r="A58" s="1028">
        <v>52</v>
      </c>
      <c r="B58" s="1029" t="s">
        <v>152</v>
      </c>
      <c r="C58" s="1295">
        <f>'Table 8 2.1.12 MFP Funded'!K55</f>
        <v>0</v>
      </c>
      <c r="D58" s="1037">
        <f>'Table 3 Levels 1&amp;2'!AL59</f>
        <v>4920.0697942988754</v>
      </c>
      <c r="E58" s="1139">
        <f t="shared" si="28"/>
        <v>0</v>
      </c>
      <c r="F58" s="1139">
        <f t="shared" si="18"/>
        <v>0</v>
      </c>
      <c r="G58" s="1094">
        <f t="shared" si="29"/>
        <v>0</v>
      </c>
      <c r="H58" s="1149">
        <f t="shared" si="19"/>
        <v>0</v>
      </c>
      <c r="I58" s="1094">
        <f t="shared" si="20"/>
        <v>0</v>
      </c>
      <c r="J58" s="1094"/>
      <c r="K58" s="1094">
        <f t="shared" si="21"/>
        <v>0</v>
      </c>
      <c r="L58" s="1094">
        <f t="shared" si="22"/>
        <v>0</v>
      </c>
      <c r="M58" s="1086">
        <f>'[8]FY2012-13 Initial'!$K59</f>
        <v>4750</v>
      </c>
      <c r="N58" s="1088">
        <f t="shared" si="30"/>
        <v>0</v>
      </c>
      <c r="O58" s="1155">
        <f t="shared" si="23"/>
        <v>0</v>
      </c>
      <c r="P58" s="1088">
        <f t="shared" si="24"/>
        <v>0</v>
      </c>
      <c r="Q58" s="1088"/>
      <c r="R58" s="1088">
        <f t="shared" si="25"/>
        <v>0</v>
      </c>
      <c r="S58" s="1088">
        <f t="shared" si="26"/>
        <v>0</v>
      </c>
      <c r="T58" s="1089">
        <f t="shared" si="27"/>
        <v>0</v>
      </c>
      <c r="U58" s="1089">
        <f t="shared" si="31"/>
        <v>0</v>
      </c>
    </row>
    <row r="59" spans="1:21" ht="12.75" customHeight="1">
      <c r="A59" s="1028">
        <v>53</v>
      </c>
      <c r="B59" s="1029" t="s">
        <v>153</v>
      </c>
      <c r="C59" s="1295">
        <f>'Table 8 2.1.12 MFP Funded'!K56</f>
        <v>0</v>
      </c>
      <c r="D59" s="1037">
        <f>'Table 3 Levels 1&amp;2'!AL60</f>
        <v>4784.2719870767614</v>
      </c>
      <c r="E59" s="1139">
        <f t="shared" si="28"/>
        <v>0</v>
      </c>
      <c r="F59" s="1139">
        <f t="shared" si="18"/>
        <v>0</v>
      </c>
      <c r="G59" s="1094">
        <f t="shared" si="29"/>
        <v>0</v>
      </c>
      <c r="H59" s="1149">
        <f t="shared" si="19"/>
        <v>0</v>
      </c>
      <c r="I59" s="1094">
        <f t="shared" si="20"/>
        <v>0</v>
      </c>
      <c r="J59" s="1094"/>
      <c r="K59" s="1094">
        <f t="shared" si="21"/>
        <v>0</v>
      </c>
      <c r="L59" s="1094">
        <f t="shared" si="22"/>
        <v>0</v>
      </c>
      <c r="M59" s="1086">
        <f>'[8]FY2012-13 Initial'!$K60</f>
        <v>1913</v>
      </c>
      <c r="N59" s="1088">
        <f t="shared" si="30"/>
        <v>0</v>
      </c>
      <c r="O59" s="1155">
        <f t="shared" si="23"/>
        <v>0</v>
      </c>
      <c r="P59" s="1088">
        <f t="shared" si="24"/>
        <v>0</v>
      </c>
      <c r="Q59" s="1088"/>
      <c r="R59" s="1088">
        <f t="shared" si="25"/>
        <v>0</v>
      </c>
      <c r="S59" s="1088">
        <f t="shared" si="26"/>
        <v>0</v>
      </c>
      <c r="T59" s="1089">
        <f t="shared" si="27"/>
        <v>0</v>
      </c>
      <c r="U59" s="1089">
        <f t="shared" si="31"/>
        <v>0</v>
      </c>
    </row>
    <row r="60" spans="1:21">
      <c r="A60" s="1028">
        <v>54</v>
      </c>
      <c r="B60" s="1029" t="s">
        <v>154</v>
      </c>
      <c r="C60" s="1295">
        <f>'Table 8 2.1.12 MFP Funded'!K57</f>
        <v>0</v>
      </c>
      <c r="D60" s="1037">
        <f>'Table 3 Levels 1&amp;2'!AL61</f>
        <v>5982.5555386476462</v>
      </c>
      <c r="E60" s="1139">
        <f t="shared" si="28"/>
        <v>0</v>
      </c>
      <c r="F60" s="1139">
        <f t="shared" si="18"/>
        <v>0</v>
      </c>
      <c r="G60" s="1094">
        <f t="shared" si="29"/>
        <v>0</v>
      </c>
      <c r="H60" s="1149">
        <f t="shared" si="19"/>
        <v>0</v>
      </c>
      <c r="I60" s="1094">
        <f t="shared" si="20"/>
        <v>0</v>
      </c>
      <c r="J60" s="1094"/>
      <c r="K60" s="1094">
        <f t="shared" si="21"/>
        <v>0</v>
      </c>
      <c r="L60" s="1094">
        <f t="shared" si="22"/>
        <v>0</v>
      </c>
      <c r="M60" s="1086">
        <f>'[8]FY2012-13 Initial'!$K61</f>
        <v>3264</v>
      </c>
      <c r="N60" s="1088">
        <f t="shared" si="30"/>
        <v>0</v>
      </c>
      <c r="O60" s="1155">
        <f t="shared" si="23"/>
        <v>0</v>
      </c>
      <c r="P60" s="1088">
        <f t="shared" si="24"/>
        <v>0</v>
      </c>
      <c r="Q60" s="1088"/>
      <c r="R60" s="1088">
        <f t="shared" si="25"/>
        <v>0</v>
      </c>
      <c r="S60" s="1088">
        <f t="shared" si="26"/>
        <v>0</v>
      </c>
      <c r="T60" s="1089">
        <f t="shared" si="27"/>
        <v>0</v>
      </c>
      <c r="U60" s="1089">
        <f t="shared" si="31"/>
        <v>0</v>
      </c>
    </row>
    <row r="61" spans="1:21" ht="12.75" customHeight="1">
      <c r="A61" s="1032">
        <v>55</v>
      </c>
      <c r="B61" s="1033" t="s">
        <v>155</v>
      </c>
      <c r="C61" s="1296">
        <f>'Table 8 2.1.12 MFP Funded'!K58</f>
        <v>0</v>
      </c>
      <c r="D61" s="1039">
        <f>'Table 3 Levels 1&amp;2'!AL62</f>
        <v>4087.4017448818722</v>
      </c>
      <c r="E61" s="1140">
        <f t="shared" si="28"/>
        <v>0</v>
      </c>
      <c r="F61" s="1140">
        <f t="shared" si="18"/>
        <v>0</v>
      </c>
      <c r="G61" s="1095">
        <f t="shared" si="29"/>
        <v>0</v>
      </c>
      <c r="H61" s="1150">
        <f t="shared" si="19"/>
        <v>0</v>
      </c>
      <c r="I61" s="1095">
        <f t="shared" si="20"/>
        <v>0</v>
      </c>
      <c r="J61" s="1095"/>
      <c r="K61" s="1095">
        <f t="shared" si="21"/>
        <v>0</v>
      </c>
      <c r="L61" s="1095">
        <f t="shared" si="22"/>
        <v>0</v>
      </c>
      <c r="M61" s="1091">
        <f>'[8]FY2012-13 Initial'!$K62</f>
        <v>3071</v>
      </c>
      <c r="N61" s="1092">
        <f t="shared" si="30"/>
        <v>0</v>
      </c>
      <c r="O61" s="1156">
        <f t="shared" si="23"/>
        <v>0</v>
      </c>
      <c r="P61" s="1092">
        <f t="shared" si="24"/>
        <v>0</v>
      </c>
      <c r="Q61" s="1092"/>
      <c r="R61" s="1092">
        <f t="shared" si="25"/>
        <v>0</v>
      </c>
      <c r="S61" s="1092">
        <f t="shared" si="26"/>
        <v>0</v>
      </c>
      <c r="T61" s="1093">
        <f t="shared" si="27"/>
        <v>0</v>
      </c>
      <c r="U61" s="1093">
        <f t="shared" si="31"/>
        <v>0</v>
      </c>
    </row>
    <row r="62" spans="1:21">
      <c r="A62" s="1021">
        <v>56</v>
      </c>
      <c r="B62" s="1022" t="s">
        <v>156</v>
      </c>
      <c r="C62" s="1297">
        <f>'Table 8 2.1.12 MFP Funded'!K59</f>
        <v>0</v>
      </c>
      <c r="D62" s="1041">
        <f>'Table 3 Levels 1&amp;2'!AL63</f>
        <v>5052.2250942802684</v>
      </c>
      <c r="E62" s="1141">
        <f t="shared" si="28"/>
        <v>0</v>
      </c>
      <c r="F62" s="1141">
        <f t="shared" si="18"/>
        <v>0</v>
      </c>
      <c r="G62" s="1096">
        <f t="shared" si="29"/>
        <v>0</v>
      </c>
      <c r="H62" s="1151">
        <f t="shared" si="19"/>
        <v>0</v>
      </c>
      <c r="I62" s="1096">
        <f t="shared" si="20"/>
        <v>0</v>
      </c>
      <c r="J62" s="1096"/>
      <c r="K62" s="1096">
        <f t="shared" si="21"/>
        <v>0</v>
      </c>
      <c r="L62" s="1096">
        <f t="shared" si="22"/>
        <v>0</v>
      </c>
      <c r="M62" s="1086">
        <f>'[8]FY2012-13 Initial'!$K63</f>
        <v>2630</v>
      </c>
      <c r="N62" s="1026">
        <f t="shared" si="30"/>
        <v>0</v>
      </c>
      <c r="O62" s="1154">
        <f t="shared" si="23"/>
        <v>0</v>
      </c>
      <c r="P62" s="1026">
        <f t="shared" si="24"/>
        <v>0</v>
      </c>
      <c r="Q62" s="1026"/>
      <c r="R62" s="1026">
        <f t="shared" si="25"/>
        <v>0</v>
      </c>
      <c r="S62" s="1026">
        <f t="shared" si="26"/>
        <v>0</v>
      </c>
      <c r="T62" s="1027">
        <f t="shared" si="27"/>
        <v>0</v>
      </c>
      <c r="U62" s="1027">
        <f t="shared" si="31"/>
        <v>0</v>
      </c>
    </row>
    <row r="63" spans="1:21" ht="12.75" customHeight="1">
      <c r="A63" s="1028">
        <v>57</v>
      </c>
      <c r="B63" s="1029" t="s">
        <v>157</v>
      </c>
      <c r="C63" s="1295">
        <f>'Table 8 2.1.12 MFP Funded'!K60</f>
        <v>0</v>
      </c>
      <c r="D63" s="1037">
        <f>'Table 3 Levels 1&amp;2'!AL64</f>
        <v>4389.3863180380931</v>
      </c>
      <c r="E63" s="1139">
        <f t="shared" si="28"/>
        <v>0</v>
      </c>
      <c r="F63" s="1139">
        <f t="shared" si="18"/>
        <v>0</v>
      </c>
      <c r="G63" s="1094">
        <f t="shared" si="29"/>
        <v>0</v>
      </c>
      <c r="H63" s="1149">
        <f t="shared" si="19"/>
        <v>0</v>
      </c>
      <c r="I63" s="1094">
        <f t="shared" si="20"/>
        <v>0</v>
      </c>
      <c r="J63" s="1094"/>
      <c r="K63" s="1094">
        <f t="shared" si="21"/>
        <v>0</v>
      </c>
      <c r="L63" s="1094">
        <f t="shared" si="22"/>
        <v>0</v>
      </c>
      <c r="M63" s="1086">
        <f>'[8]FY2012-13 Initial'!$K64</f>
        <v>3053</v>
      </c>
      <c r="N63" s="1088">
        <f t="shared" si="30"/>
        <v>0</v>
      </c>
      <c r="O63" s="1155">
        <f t="shared" si="23"/>
        <v>0</v>
      </c>
      <c r="P63" s="1088">
        <f t="shared" si="24"/>
        <v>0</v>
      </c>
      <c r="Q63" s="1088"/>
      <c r="R63" s="1088">
        <f t="shared" si="25"/>
        <v>0</v>
      </c>
      <c r="S63" s="1088">
        <f t="shared" si="26"/>
        <v>0</v>
      </c>
      <c r="T63" s="1089">
        <f t="shared" si="27"/>
        <v>0</v>
      </c>
      <c r="U63" s="1089">
        <f t="shared" si="31"/>
        <v>0</v>
      </c>
    </row>
    <row r="64" spans="1:21">
      <c r="A64" s="1028">
        <v>58</v>
      </c>
      <c r="B64" s="1029" t="s">
        <v>158</v>
      </c>
      <c r="C64" s="1295">
        <f>'Table 8 2.1.12 MFP Funded'!K61</f>
        <v>0</v>
      </c>
      <c r="D64" s="1037">
        <f>'Table 3 Levels 1&amp;2'!AL65</f>
        <v>5325.8881107130073</v>
      </c>
      <c r="E64" s="1139">
        <f t="shared" si="28"/>
        <v>0</v>
      </c>
      <c r="F64" s="1139">
        <f t="shared" si="18"/>
        <v>0</v>
      </c>
      <c r="G64" s="1094">
        <f t="shared" si="29"/>
        <v>0</v>
      </c>
      <c r="H64" s="1149">
        <f t="shared" si="19"/>
        <v>0</v>
      </c>
      <c r="I64" s="1094">
        <f t="shared" si="20"/>
        <v>0</v>
      </c>
      <c r="J64" s="1094"/>
      <c r="K64" s="1094">
        <f t="shared" si="21"/>
        <v>0</v>
      </c>
      <c r="L64" s="1094">
        <f t="shared" si="22"/>
        <v>0</v>
      </c>
      <c r="M64" s="1086">
        <f>'[8]FY2012-13 Initial'!$K65</f>
        <v>1917</v>
      </c>
      <c r="N64" s="1088">
        <f t="shared" si="30"/>
        <v>0</v>
      </c>
      <c r="O64" s="1155">
        <f t="shared" si="23"/>
        <v>0</v>
      </c>
      <c r="P64" s="1088">
        <f t="shared" si="24"/>
        <v>0</v>
      </c>
      <c r="Q64" s="1088"/>
      <c r="R64" s="1088">
        <f t="shared" si="25"/>
        <v>0</v>
      </c>
      <c r="S64" s="1088">
        <f t="shared" si="26"/>
        <v>0</v>
      </c>
      <c r="T64" s="1089">
        <f t="shared" si="27"/>
        <v>0</v>
      </c>
      <c r="U64" s="1089">
        <f t="shared" si="31"/>
        <v>0</v>
      </c>
    </row>
    <row r="65" spans="1:21" ht="12.75" customHeight="1">
      <c r="A65" s="1028">
        <v>59</v>
      </c>
      <c r="B65" s="1029" t="s">
        <v>159</v>
      </c>
      <c r="C65" s="1295">
        <f>'Table 8 2.1.12 MFP Funded'!K62</f>
        <v>0</v>
      </c>
      <c r="D65" s="1037">
        <f>'Table 3 Levels 1&amp;2'!AL66</f>
        <v>6328.4963620482158</v>
      </c>
      <c r="E65" s="1139">
        <f t="shared" si="28"/>
        <v>0</v>
      </c>
      <c r="F65" s="1139">
        <f t="shared" si="18"/>
        <v>0</v>
      </c>
      <c r="G65" s="1094">
        <f t="shared" si="29"/>
        <v>0</v>
      </c>
      <c r="H65" s="1149">
        <f t="shared" si="19"/>
        <v>0</v>
      </c>
      <c r="I65" s="1094">
        <f t="shared" si="20"/>
        <v>0</v>
      </c>
      <c r="J65" s="1094"/>
      <c r="K65" s="1094">
        <f t="shared" si="21"/>
        <v>0</v>
      </c>
      <c r="L65" s="1094">
        <f t="shared" si="22"/>
        <v>0</v>
      </c>
      <c r="M65" s="1086">
        <f>'[8]FY2012-13 Initial'!$K66</f>
        <v>1553</v>
      </c>
      <c r="N65" s="1088">
        <f t="shared" si="30"/>
        <v>0</v>
      </c>
      <c r="O65" s="1155">
        <f t="shared" si="23"/>
        <v>0</v>
      </c>
      <c r="P65" s="1088">
        <f t="shared" si="24"/>
        <v>0</v>
      </c>
      <c r="Q65" s="1088"/>
      <c r="R65" s="1088">
        <f t="shared" si="25"/>
        <v>0</v>
      </c>
      <c r="S65" s="1088">
        <f t="shared" si="26"/>
        <v>0</v>
      </c>
      <c r="T65" s="1089">
        <f t="shared" si="27"/>
        <v>0</v>
      </c>
      <c r="U65" s="1089">
        <f t="shared" si="31"/>
        <v>0</v>
      </c>
    </row>
    <row r="66" spans="1:21">
      <c r="A66" s="1032">
        <v>60</v>
      </c>
      <c r="B66" s="1033" t="s">
        <v>160</v>
      </c>
      <c r="C66" s="1296">
        <f>'Table 8 2.1.12 MFP Funded'!K63</f>
        <v>0</v>
      </c>
      <c r="D66" s="1039">
        <f>'Table 3 Levels 1&amp;2'!AL67</f>
        <v>4825.1723230627122</v>
      </c>
      <c r="E66" s="1140">
        <f t="shared" si="28"/>
        <v>0</v>
      </c>
      <c r="F66" s="1140">
        <f t="shared" si="18"/>
        <v>0</v>
      </c>
      <c r="G66" s="1095">
        <f t="shared" si="29"/>
        <v>0</v>
      </c>
      <c r="H66" s="1150">
        <f t="shared" si="19"/>
        <v>0</v>
      </c>
      <c r="I66" s="1095">
        <f t="shared" si="20"/>
        <v>0</v>
      </c>
      <c r="J66" s="1095"/>
      <c r="K66" s="1095">
        <f t="shared" si="21"/>
        <v>0</v>
      </c>
      <c r="L66" s="1095">
        <f t="shared" si="22"/>
        <v>0</v>
      </c>
      <c r="M66" s="1091">
        <f>'[8]FY2012-13 Initial'!$K67</f>
        <v>3798</v>
      </c>
      <c r="N66" s="1092">
        <f t="shared" si="30"/>
        <v>0</v>
      </c>
      <c r="O66" s="1156">
        <f t="shared" si="23"/>
        <v>0</v>
      </c>
      <c r="P66" s="1092">
        <f t="shared" si="24"/>
        <v>0</v>
      </c>
      <c r="Q66" s="1092"/>
      <c r="R66" s="1092">
        <f t="shared" si="25"/>
        <v>0</v>
      </c>
      <c r="S66" s="1092">
        <f t="shared" si="26"/>
        <v>0</v>
      </c>
      <c r="T66" s="1093">
        <f t="shared" si="27"/>
        <v>0</v>
      </c>
      <c r="U66" s="1093">
        <f t="shared" si="31"/>
        <v>0</v>
      </c>
    </row>
    <row r="67" spans="1:21" ht="12.75" customHeight="1">
      <c r="A67" s="1021">
        <v>61</v>
      </c>
      <c r="B67" s="1022" t="s">
        <v>161</v>
      </c>
      <c r="C67" s="1297">
        <f>'Table 8 2.1.12 MFP Funded'!K64</f>
        <v>0</v>
      </c>
      <c r="D67" s="1041">
        <f>'Table 3 Levels 1&amp;2'!AL68</f>
        <v>3063.3110364585282</v>
      </c>
      <c r="E67" s="1141">
        <f t="shared" si="28"/>
        <v>0</v>
      </c>
      <c r="F67" s="1141">
        <f t="shared" si="18"/>
        <v>0</v>
      </c>
      <c r="G67" s="1096">
        <f t="shared" si="29"/>
        <v>0</v>
      </c>
      <c r="H67" s="1151">
        <f t="shared" si="19"/>
        <v>0</v>
      </c>
      <c r="I67" s="1096">
        <f t="shared" si="20"/>
        <v>0</v>
      </c>
      <c r="J67" s="1096"/>
      <c r="K67" s="1096">
        <f t="shared" si="21"/>
        <v>0</v>
      </c>
      <c r="L67" s="1096">
        <f t="shared" si="22"/>
        <v>0</v>
      </c>
      <c r="M67" s="1086">
        <f>'[8]FY2012-13 Initial'!$K68</f>
        <v>6727</v>
      </c>
      <c r="N67" s="1026">
        <f t="shared" si="30"/>
        <v>0</v>
      </c>
      <c r="O67" s="1154">
        <f t="shared" si="23"/>
        <v>0</v>
      </c>
      <c r="P67" s="1026">
        <f t="shared" si="24"/>
        <v>0</v>
      </c>
      <c r="Q67" s="1026"/>
      <c r="R67" s="1026">
        <f t="shared" si="25"/>
        <v>0</v>
      </c>
      <c r="S67" s="1026">
        <f t="shared" si="26"/>
        <v>0</v>
      </c>
      <c r="T67" s="1027">
        <f t="shared" si="27"/>
        <v>0</v>
      </c>
      <c r="U67" s="1027">
        <f t="shared" si="31"/>
        <v>0</v>
      </c>
    </row>
    <row r="68" spans="1:21">
      <c r="A68" s="1028">
        <v>62</v>
      </c>
      <c r="B68" s="1029" t="s">
        <v>162</v>
      </c>
      <c r="C68" s="1295">
        <f>'Table 8 2.1.12 MFP Funded'!K65</f>
        <v>0</v>
      </c>
      <c r="D68" s="1037">
        <f>'Table 3 Levels 1&amp;2'!AL69</f>
        <v>5564.645485869667</v>
      </c>
      <c r="E68" s="1139">
        <f t="shared" si="28"/>
        <v>0</v>
      </c>
      <c r="F68" s="1139">
        <f t="shared" si="18"/>
        <v>0</v>
      </c>
      <c r="G68" s="1094">
        <f t="shared" si="29"/>
        <v>0</v>
      </c>
      <c r="H68" s="1149">
        <f t="shared" si="19"/>
        <v>0</v>
      </c>
      <c r="I68" s="1094">
        <f t="shared" si="20"/>
        <v>0</v>
      </c>
      <c r="J68" s="1094"/>
      <c r="K68" s="1094">
        <f t="shared" si="21"/>
        <v>0</v>
      </c>
      <c r="L68" s="1094">
        <f t="shared" si="22"/>
        <v>0</v>
      </c>
      <c r="M68" s="1086">
        <f>'[8]FY2012-13 Initial'!$K69</f>
        <v>1678</v>
      </c>
      <c r="N68" s="1088">
        <f t="shared" si="30"/>
        <v>0</v>
      </c>
      <c r="O68" s="1155">
        <f t="shared" si="23"/>
        <v>0</v>
      </c>
      <c r="P68" s="1088">
        <f t="shared" si="24"/>
        <v>0</v>
      </c>
      <c r="Q68" s="1088"/>
      <c r="R68" s="1088">
        <f t="shared" si="25"/>
        <v>0</v>
      </c>
      <c r="S68" s="1088">
        <f t="shared" si="26"/>
        <v>0</v>
      </c>
      <c r="T68" s="1089">
        <f t="shared" si="27"/>
        <v>0</v>
      </c>
      <c r="U68" s="1089">
        <f t="shared" si="31"/>
        <v>0</v>
      </c>
    </row>
    <row r="69" spans="1:21" ht="12.75" customHeight="1">
      <c r="A69" s="1028">
        <v>63</v>
      </c>
      <c r="B69" s="1029" t="s">
        <v>163</v>
      </c>
      <c r="C69" s="1295">
        <f>'Table 8 2.1.12 MFP Funded'!K66</f>
        <v>0</v>
      </c>
      <c r="D69" s="1037">
        <f>'Table 3 Levels 1&amp;2'!AL70</f>
        <v>4414.1775336636538</v>
      </c>
      <c r="E69" s="1139">
        <f t="shared" si="28"/>
        <v>0</v>
      </c>
      <c r="F69" s="1139">
        <f t="shared" si="18"/>
        <v>0</v>
      </c>
      <c r="G69" s="1094">
        <f t="shared" si="29"/>
        <v>0</v>
      </c>
      <c r="H69" s="1149">
        <f t="shared" si="19"/>
        <v>0</v>
      </c>
      <c r="I69" s="1094">
        <f t="shared" si="20"/>
        <v>0</v>
      </c>
      <c r="J69" s="1094"/>
      <c r="K69" s="1094">
        <f t="shared" si="21"/>
        <v>0</v>
      </c>
      <c r="L69" s="1094">
        <f t="shared" si="22"/>
        <v>0</v>
      </c>
      <c r="M69" s="1086">
        <f>'[8]FY2012-13 Initial'!$K70</f>
        <v>6524</v>
      </c>
      <c r="N69" s="1088">
        <f t="shared" si="30"/>
        <v>0</v>
      </c>
      <c r="O69" s="1155">
        <f t="shared" si="23"/>
        <v>0</v>
      </c>
      <c r="P69" s="1088">
        <f t="shared" si="24"/>
        <v>0</v>
      </c>
      <c r="Q69" s="1088"/>
      <c r="R69" s="1088">
        <f t="shared" si="25"/>
        <v>0</v>
      </c>
      <c r="S69" s="1088">
        <f t="shared" si="26"/>
        <v>0</v>
      </c>
      <c r="T69" s="1089">
        <f t="shared" si="27"/>
        <v>0</v>
      </c>
      <c r="U69" s="1089">
        <f t="shared" si="31"/>
        <v>0</v>
      </c>
    </row>
    <row r="70" spans="1:21">
      <c r="A70" s="1028">
        <v>64</v>
      </c>
      <c r="B70" s="1029" t="s">
        <v>164</v>
      </c>
      <c r="C70" s="1295">
        <f>'Table 8 2.1.12 MFP Funded'!K67</f>
        <v>0</v>
      </c>
      <c r="D70" s="1037">
        <f>'Table 3 Levels 1&amp;2'!AL71</f>
        <v>5871.0485811924027</v>
      </c>
      <c r="E70" s="1139">
        <f t="shared" si="28"/>
        <v>0</v>
      </c>
      <c r="F70" s="1139">
        <f t="shared" si="18"/>
        <v>0</v>
      </c>
      <c r="G70" s="1094">
        <f t="shared" si="29"/>
        <v>0</v>
      </c>
      <c r="H70" s="1149">
        <f t="shared" si="19"/>
        <v>0</v>
      </c>
      <c r="I70" s="1094">
        <f t="shared" si="20"/>
        <v>0</v>
      </c>
      <c r="J70" s="1094"/>
      <c r="K70" s="1094">
        <f t="shared" si="21"/>
        <v>0</v>
      </c>
      <c r="L70" s="1094">
        <f t="shared" si="22"/>
        <v>0</v>
      </c>
      <c r="M70" s="1086">
        <f>'[8]FY2012-13 Initial'!$K71</f>
        <v>2658</v>
      </c>
      <c r="N70" s="1088">
        <f t="shared" si="30"/>
        <v>0</v>
      </c>
      <c r="O70" s="1155">
        <f t="shared" si="23"/>
        <v>0</v>
      </c>
      <c r="P70" s="1088">
        <f t="shared" si="24"/>
        <v>0</v>
      </c>
      <c r="Q70" s="1088"/>
      <c r="R70" s="1088">
        <f t="shared" si="25"/>
        <v>0</v>
      </c>
      <c r="S70" s="1088">
        <f t="shared" si="26"/>
        <v>0</v>
      </c>
      <c r="T70" s="1089">
        <f t="shared" si="27"/>
        <v>0</v>
      </c>
      <c r="U70" s="1089">
        <f t="shared" si="31"/>
        <v>0</v>
      </c>
    </row>
    <row r="71" spans="1:21" ht="12.75" customHeight="1">
      <c r="A71" s="1032">
        <v>65</v>
      </c>
      <c r="B71" s="1033" t="s">
        <v>165</v>
      </c>
      <c r="C71" s="1296">
        <f>'Table 8 2.1.12 MFP Funded'!K68</f>
        <v>179</v>
      </c>
      <c r="D71" s="1039">
        <f>'Table 3 Levels 1&amp;2'!AL72</f>
        <v>4602.2046951319899</v>
      </c>
      <c r="E71" s="1140">
        <f t="shared" ref="E71:E75" si="32">D71*C71</f>
        <v>823794.64042862621</v>
      </c>
      <c r="F71" s="1140">
        <f t="shared" si="18"/>
        <v>128216.8984175084</v>
      </c>
      <c r="G71" s="1095">
        <f t="shared" ref="G71:G75" si="33">E71+F71</f>
        <v>952011.53884613467</v>
      </c>
      <c r="H71" s="1150">
        <f t="shared" si="19"/>
        <v>-2380.0288471153367</v>
      </c>
      <c r="I71" s="1095">
        <f t="shared" si="20"/>
        <v>949631.50999901933</v>
      </c>
      <c r="J71" s="1095">
        <v>8.3400291723955888</v>
      </c>
      <c r="K71" s="1095">
        <f t="shared" si="21"/>
        <v>949639.85002819169</v>
      </c>
      <c r="L71" s="1095">
        <f t="shared" si="22"/>
        <v>79137</v>
      </c>
      <c r="M71" s="1091">
        <f>'[8]FY2012-13 Initial'!$K72</f>
        <v>4631</v>
      </c>
      <c r="N71" s="1092">
        <f t="shared" ref="N71:N75" si="34">M71*C71</f>
        <v>828949</v>
      </c>
      <c r="O71" s="1156">
        <f t="shared" si="23"/>
        <v>-2072.3724999999999</v>
      </c>
      <c r="P71" s="1092">
        <f t="shared" si="24"/>
        <v>826876.62749999994</v>
      </c>
      <c r="Q71" s="1092">
        <v>0</v>
      </c>
      <c r="R71" s="1092">
        <f t="shared" si="25"/>
        <v>826876.62749999994</v>
      </c>
      <c r="S71" s="1092">
        <f t="shared" si="26"/>
        <v>68906</v>
      </c>
      <c r="T71" s="1093">
        <f t="shared" si="27"/>
        <v>1776516.4775281916</v>
      </c>
      <c r="U71" s="1093">
        <f t="shared" si="31"/>
        <v>148043</v>
      </c>
    </row>
    <row r="72" spans="1:21">
      <c r="A72" s="1021">
        <v>66</v>
      </c>
      <c r="B72" s="1022" t="s">
        <v>166</v>
      </c>
      <c r="C72" s="1297">
        <f>'Table 8 2.1.12 MFP Funded'!K69</f>
        <v>0</v>
      </c>
      <c r="D72" s="1041">
        <f>'Table 3 Levels 1&amp;2'!AL73</f>
        <v>6243.8912249150071</v>
      </c>
      <c r="E72" s="1141">
        <f t="shared" si="32"/>
        <v>0</v>
      </c>
      <c r="F72" s="1141">
        <f t="shared" ref="F72:F75" si="35">C72*$F$4</f>
        <v>0</v>
      </c>
      <c r="G72" s="1096">
        <f t="shared" si="33"/>
        <v>0</v>
      </c>
      <c r="H72" s="1151">
        <f t="shared" ref="H72:H75" si="36">-G72*$H$4</f>
        <v>0</v>
      </c>
      <c r="I72" s="1096">
        <f t="shared" ref="I72:I75" si="37">SUM(G72:H72)</f>
        <v>0</v>
      </c>
      <c r="J72" s="1096"/>
      <c r="K72" s="1096">
        <f t="shared" ref="K72:K75" si="38">SUM(I72:J72)</f>
        <v>0</v>
      </c>
      <c r="L72" s="1096">
        <f t="shared" ref="L72:L75" si="39">ROUND(K72/12,0)</f>
        <v>0</v>
      </c>
      <c r="M72" s="1086">
        <f>'[8]FY2012-13 Initial'!$K73</f>
        <v>3443</v>
      </c>
      <c r="N72" s="1026">
        <f t="shared" si="34"/>
        <v>0</v>
      </c>
      <c r="O72" s="1154">
        <f t="shared" ref="O72:O75" si="40">-N72*$O$4</f>
        <v>0</v>
      </c>
      <c r="P72" s="1026">
        <f t="shared" ref="P72:P75" si="41">SUM(N72:O72)</f>
        <v>0</v>
      </c>
      <c r="Q72" s="1026"/>
      <c r="R72" s="1026">
        <f t="shared" ref="R72:R75" si="42">SUM(P72:Q72)</f>
        <v>0</v>
      </c>
      <c r="S72" s="1026">
        <f t="shared" ref="S72:S75" si="43">ROUND(R72/12,0)</f>
        <v>0</v>
      </c>
      <c r="T72" s="1027">
        <f t="shared" ref="T72:T75" si="44">K72+R72</f>
        <v>0</v>
      </c>
      <c r="U72" s="1027">
        <f t="shared" si="31"/>
        <v>0</v>
      </c>
    </row>
    <row r="73" spans="1:21" ht="12.75" customHeight="1">
      <c r="A73" s="1028">
        <v>67</v>
      </c>
      <c r="B73" s="1029" t="s">
        <v>33</v>
      </c>
      <c r="C73" s="1295">
        <f>'Table 8 2.1.12 MFP Funded'!K70</f>
        <v>0</v>
      </c>
      <c r="D73" s="1037">
        <f>'Table 3 Levels 1&amp;2'!AL74</f>
        <v>5049.6489898847567</v>
      </c>
      <c r="E73" s="1139">
        <f t="shared" si="32"/>
        <v>0</v>
      </c>
      <c r="F73" s="1139">
        <f t="shared" si="35"/>
        <v>0</v>
      </c>
      <c r="G73" s="1094">
        <f t="shared" si="33"/>
        <v>0</v>
      </c>
      <c r="H73" s="1149">
        <f t="shared" si="36"/>
        <v>0</v>
      </c>
      <c r="I73" s="1094">
        <f t="shared" si="37"/>
        <v>0</v>
      </c>
      <c r="J73" s="1094"/>
      <c r="K73" s="1094">
        <f t="shared" si="38"/>
        <v>0</v>
      </c>
      <c r="L73" s="1094">
        <f t="shared" si="39"/>
        <v>0</v>
      </c>
      <c r="M73" s="1086">
        <f>'[8]FY2012-13 Initial'!$K74</f>
        <v>4502</v>
      </c>
      <c r="N73" s="1088">
        <f t="shared" si="34"/>
        <v>0</v>
      </c>
      <c r="O73" s="1155">
        <f t="shared" si="40"/>
        <v>0</v>
      </c>
      <c r="P73" s="1088">
        <f t="shared" si="41"/>
        <v>0</v>
      </c>
      <c r="Q73" s="1088"/>
      <c r="R73" s="1088">
        <f t="shared" si="42"/>
        <v>0</v>
      </c>
      <c r="S73" s="1088">
        <f t="shared" si="43"/>
        <v>0</v>
      </c>
      <c r="T73" s="1089">
        <f t="shared" si="44"/>
        <v>0</v>
      </c>
      <c r="U73" s="1089">
        <f t="shared" si="31"/>
        <v>0</v>
      </c>
    </row>
    <row r="74" spans="1:21">
      <c r="A74" s="1028">
        <v>68</v>
      </c>
      <c r="B74" s="1029" t="s">
        <v>31</v>
      </c>
      <c r="C74" s="1295">
        <f>'Table 8 2.1.12 MFP Funded'!K71</f>
        <v>0</v>
      </c>
      <c r="D74" s="1037">
        <f>'Table 3 Levels 1&amp;2'!AL75</f>
        <v>5861.7500805575619</v>
      </c>
      <c r="E74" s="1139">
        <f t="shared" si="32"/>
        <v>0</v>
      </c>
      <c r="F74" s="1139">
        <f t="shared" si="35"/>
        <v>0</v>
      </c>
      <c r="G74" s="1094">
        <f t="shared" si="33"/>
        <v>0</v>
      </c>
      <c r="H74" s="1149">
        <f t="shared" si="36"/>
        <v>0</v>
      </c>
      <c r="I74" s="1094">
        <f t="shared" si="37"/>
        <v>0</v>
      </c>
      <c r="J74" s="1094"/>
      <c r="K74" s="1094">
        <f t="shared" si="38"/>
        <v>0</v>
      </c>
      <c r="L74" s="1094">
        <f t="shared" si="39"/>
        <v>0</v>
      </c>
      <c r="M74" s="1086">
        <f>'[8]FY2012-13 Initial'!$K75</f>
        <v>2587</v>
      </c>
      <c r="N74" s="1088">
        <f t="shared" si="34"/>
        <v>0</v>
      </c>
      <c r="O74" s="1155">
        <f t="shared" si="40"/>
        <v>0</v>
      </c>
      <c r="P74" s="1088">
        <f t="shared" si="41"/>
        <v>0</v>
      </c>
      <c r="Q74" s="1088"/>
      <c r="R74" s="1088">
        <f t="shared" si="42"/>
        <v>0</v>
      </c>
      <c r="S74" s="1088">
        <f t="shared" si="43"/>
        <v>0</v>
      </c>
      <c r="T74" s="1089">
        <f t="shared" si="44"/>
        <v>0</v>
      </c>
      <c r="U74" s="1089">
        <f t="shared" si="31"/>
        <v>0</v>
      </c>
    </row>
    <row r="75" spans="1:21" ht="12.75" customHeight="1">
      <c r="A75" s="1042">
        <v>69</v>
      </c>
      <c r="B75" s="1043" t="s">
        <v>235</v>
      </c>
      <c r="C75" s="1298">
        <f>'Table 8 2.1.12 MFP Funded'!K72</f>
        <v>0</v>
      </c>
      <c r="D75" s="1045">
        <f>'Table 3 Levels 1&amp;2'!AL76</f>
        <v>5508.3397285189958</v>
      </c>
      <c r="E75" s="1142">
        <f t="shared" si="32"/>
        <v>0</v>
      </c>
      <c r="F75" s="1142">
        <f t="shared" si="35"/>
        <v>0</v>
      </c>
      <c r="G75" s="1097">
        <f t="shared" si="33"/>
        <v>0</v>
      </c>
      <c r="H75" s="1152">
        <f t="shared" si="36"/>
        <v>0</v>
      </c>
      <c r="I75" s="1097">
        <f t="shared" si="37"/>
        <v>0</v>
      </c>
      <c r="J75" s="1097"/>
      <c r="K75" s="1097">
        <f t="shared" si="38"/>
        <v>0</v>
      </c>
      <c r="L75" s="1097">
        <f t="shared" si="39"/>
        <v>0</v>
      </c>
      <c r="M75" s="1086">
        <f>'[8]FY2012-13 Initial'!$K76</f>
        <v>3233</v>
      </c>
      <c r="N75" s="1098">
        <f t="shared" si="34"/>
        <v>0</v>
      </c>
      <c r="O75" s="1157">
        <f t="shared" si="40"/>
        <v>0</v>
      </c>
      <c r="P75" s="1098">
        <f t="shared" si="41"/>
        <v>0</v>
      </c>
      <c r="Q75" s="1098"/>
      <c r="R75" s="1098">
        <f t="shared" si="42"/>
        <v>0</v>
      </c>
      <c r="S75" s="1098">
        <f t="shared" si="43"/>
        <v>0</v>
      </c>
      <c r="T75" s="1099">
        <f t="shared" si="44"/>
        <v>0</v>
      </c>
      <c r="U75" s="1099">
        <f t="shared" si="31"/>
        <v>0</v>
      </c>
    </row>
    <row r="76" spans="1:21" s="1053" customFormat="1" ht="13.5" thickBot="1">
      <c r="A76" s="1046"/>
      <c r="B76" s="1047" t="s">
        <v>167</v>
      </c>
      <c r="C76" s="1048">
        <f>SUM(C7:C75)</f>
        <v>332</v>
      </c>
      <c r="D76" s="1049">
        <f>'Table 3 Levels 1&amp;2'!AL77</f>
        <v>4325.8670725247357</v>
      </c>
      <c r="E76" s="1143">
        <f>SUM(E7:E75)</f>
        <v>1667834.1104704989</v>
      </c>
      <c r="F76" s="1143">
        <f>SUM(F7:F75)</f>
        <v>237810.11326599325</v>
      </c>
      <c r="G76" s="1050">
        <f>SUM(G7:G75)</f>
        <v>1905644.2237364925</v>
      </c>
      <c r="H76" s="1153">
        <f t="shared" ref="H76:J76" si="45">SUM(H7:H75)</f>
        <v>-4764.1105593412312</v>
      </c>
      <c r="I76" s="1050">
        <f t="shared" si="45"/>
        <v>1900880.1131771512</v>
      </c>
      <c r="J76" s="1050">
        <f t="shared" si="45"/>
        <v>8.3400291723955888</v>
      </c>
      <c r="K76" s="1050">
        <f>SUM(K7:K75)</f>
        <v>1900888.4532063236</v>
      </c>
      <c r="L76" s="1050">
        <f>SUM(L7:L75)</f>
        <v>158409</v>
      </c>
      <c r="M76" s="1100"/>
      <c r="N76" s="1051">
        <f>SUM(N7:N75)</f>
        <v>1300711</v>
      </c>
      <c r="O76" s="1158">
        <f t="shared" ref="O76" si="46">SUM(O7:O75)</f>
        <v>-3251.7775000000001</v>
      </c>
      <c r="P76" s="1051">
        <f t="shared" ref="P76:U76" si="47">SUM(P7:P75)</f>
        <v>1297459.2224999999</v>
      </c>
      <c r="Q76" s="1051">
        <f t="shared" si="47"/>
        <v>0</v>
      </c>
      <c r="R76" s="1051">
        <f t="shared" si="47"/>
        <v>1297459.2224999999</v>
      </c>
      <c r="S76" s="1051">
        <f t="shared" si="47"/>
        <v>108121</v>
      </c>
      <c r="T76" s="1052">
        <f t="shared" si="47"/>
        <v>3198347.6757063232</v>
      </c>
      <c r="U76" s="1052">
        <f t="shared" si="47"/>
        <v>266530</v>
      </c>
    </row>
    <row r="77" spans="1:21" s="1053" customFormat="1" ht="13.5" customHeight="1" thickTop="1">
      <c r="A77" s="1054"/>
      <c r="B77" s="1054"/>
      <c r="C77" s="1055"/>
      <c r="D77" s="1055"/>
      <c r="M77" s="1057"/>
      <c r="N77" s="1057"/>
      <c r="O77" s="1057"/>
      <c r="P77" s="1057"/>
      <c r="Q77" s="1057"/>
      <c r="R77" s="1057"/>
      <c r="S77" s="1057"/>
    </row>
    <row r="78" spans="1:21" ht="12.75" customHeight="1">
      <c r="A78" s="1059"/>
      <c r="C78" s="1060"/>
    </row>
    <row r="79" spans="1:21" ht="12.75" hidden="1" customHeight="1"/>
    <row r="80" spans="1:21" ht="12.75" hidden="1" customHeight="1"/>
    <row r="81" spans="3:12" ht="12.75" hidden="1" customHeight="1"/>
    <row r="82" spans="3:12" ht="12.75" hidden="1" customHeight="1"/>
    <row r="83" spans="3:12" ht="12.75" hidden="1" customHeight="1">
      <c r="E83" s="1061" t="s">
        <v>581</v>
      </c>
      <c r="F83" s="1061"/>
      <c r="G83" s="1061"/>
      <c r="H83" s="1061"/>
      <c r="I83" s="1061"/>
      <c r="J83" s="1061"/>
      <c r="K83" s="1061"/>
      <c r="L83" s="1061"/>
    </row>
    <row r="84" spans="3:12" ht="10.5" hidden="1" customHeight="1"/>
    <row r="85" spans="3:12" ht="12.75" hidden="1" customHeight="1"/>
    <row r="86" spans="3:12" ht="12.75" hidden="1" customHeight="1">
      <c r="C86" s="1063">
        <v>85661</v>
      </c>
      <c r="D86" s="1064" t="s">
        <v>582</v>
      </c>
    </row>
    <row r="87" spans="3:12" ht="12.75" hidden="1" customHeight="1">
      <c r="C87" s="1063">
        <v>650290</v>
      </c>
      <c r="D87" s="1064" t="s">
        <v>583</v>
      </c>
    </row>
    <row r="88" spans="3:12" ht="12.75" hidden="1" customHeight="1">
      <c r="C88" s="1065">
        <f>C86/C87</f>
        <v>0.13172738316750987</v>
      </c>
      <c r="D88" s="1064" t="s">
        <v>584</v>
      </c>
    </row>
    <row r="89" spans="3:12" ht="12.75" hidden="1" customHeight="1">
      <c r="C89" s="1063"/>
      <c r="D89" s="1064"/>
    </row>
    <row r="90" spans="3:12" ht="12.75" hidden="1" customHeight="1">
      <c r="C90" s="1063">
        <v>128510</v>
      </c>
      <c r="D90" s="1064" t="s">
        <v>585</v>
      </c>
    </row>
    <row r="91" spans="3:12" ht="12.75" hidden="1" customHeight="1">
      <c r="C91" s="1063">
        <v>911320</v>
      </c>
      <c r="D91" s="1064" t="s">
        <v>586</v>
      </c>
    </row>
    <row r="92" spans="3:12" ht="12.75" hidden="1" customHeight="1">
      <c r="C92" s="1065">
        <f>C90/C91</f>
        <v>0.14101523065443533</v>
      </c>
      <c r="D92" s="1064" t="s">
        <v>587</v>
      </c>
    </row>
    <row r="93" spans="3:12" ht="12.75" hidden="1" customHeight="1">
      <c r="C93" s="1063"/>
      <c r="D93" s="1064"/>
    </row>
    <row r="94" spans="3:12" ht="12.75" hidden="1" customHeight="1">
      <c r="C94" s="1066">
        <v>2663489616</v>
      </c>
      <c r="D94" s="1067" t="s">
        <v>588</v>
      </c>
    </row>
    <row r="95" spans="3:12" ht="12.75" hidden="1" customHeight="1">
      <c r="C95" s="1068">
        <f>C92</f>
        <v>0.14101523065443533</v>
      </c>
      <c r="D95" s="1067"/>
    </row>
    <row r="96" spans="3:12" ht="12.75" hidden="1" customHeight="1">
      <c r="C96" s="1069">
        <f>C94*C95</f>
        <v>375592602.54593337</v>
      </c>
      <c r="D96" s="1064" t="s">
        <v>589</v>
      </c>
    </row>
    <row r="97" spans="3:4" ht="12.75" hidden="1" customHeight="1">
      <c r="C97" s="1070">
        <f>50%/C92</f>
        <v>3.5457162866702978</v>
      </c>
      <c r="D97" s="1067" t="s">
        <v>590</v>
      </c>
    </row>
    <row r="98" spans="3:4" ht="12.75" hidden="1" customHeight="1">
      <c r="C98" s="1069">
        <f>C96*C97</f>
        <v>1331744808</v>
      </c>
      <c r="D98" s="1071" t="s">
        <v>591</v>
      </c>
    </row>
    <row r="99" spans="3:4" ht="12.75" hidden="1" customHeight="1">
      <c r="C99" s="1072">
        <f>C87</f>
        <v>650290</v>
      </c>
      <c r="D99" s="1067" t="s">
        <v>592</v>
      </c>
    </row>
    <row r="100" spans="3:4" ht="12.75" hidden="1" customHeight="1">
      <c r="C100" s="1069">
        <f>C98/C99</f>
        <v>2047.9244767719017</v>
      </c>
      <c r="D100" s="1067" t="s">
        <v>593</v>
      </c>
    </row>
    <row r="101" spans="3:4" ht="12.75" hidden="1" customHeight="1">
      <c r="C101" s="1073">
        <f>(C96/C99)*-1</f>
        <v>-577.57708490970697</v>
      </c>
      <c r="D101" s="1067" t="s">
        <v>594</v>
      </c>
    </row>
    <row r="102" spans="3:4" ht="12.75" hidden="1" customHeight="1">
      <c r="C102" s="1074">
        <f>SUM(C100:C101)</f>
        <v>1470.3473918621949</v>
      </c>
      <c r="D102" s="1067" t="s">
        <v>595</v>
      </c>
    </row>
    <row r="103" spans="3:4" ht="12.75" hidden="1" customHeight="1">
      <c r="C103" s="1074"/>
      <c r="D103" s="1067"/>
    </row>
    <row r="104" spans="3:4" ht="12.75" hidden="1" customHeight="1">
      <c r="C104" s="1074"/>
      <c r="D104" s="1067"/>
    </row>
    <row r="105" spans="3:4" ht="12.75" hidden="1" customHeight="1">
      <c r="D105" s="1067"/>
    </row>
    <row r="106" spans="3:4" ht="12.75" hidden="1" customHeight="1"/>
  </sheetData>
  <mergeCells count="15">
    <mergeCell ref="U2:U4"/>
    <mergeCell ref="C3:C4"/>
    <mergeCell ref="D3:D4"/>
    <mergeCell ref="E3:E4"/>
    <mergeCell ref="L3:L4"/>
    <mergeCell ref="J3:J4"/>
    <mergeCell ref="K3:K4"/>
    <mergeCell ref="Q3:Q4"/>
    <mergeCell ref="R3:R4"/>
    <mergeCell ref="A2:B4"/>
    <mergeCell ref="C2:L2"/>
    <mergeCell ref="T2:T4"/>
    <mergeCell ref="G3:G4"/>
    <mergeCell ref="I3:I4"/>
    <mergeCell ref="M2:S2"/>
  </mergeCells>
  <printOptions horizontalCentered="1"/>
  <pageMargins left="0.27" right="0.25" top="0.87" bottom="0.2" header="0.25" footer="0.2"/>
  <pageSetup paperSize="5" scale="64" firstPageNumber="72" fitToWidth="3" orientation="portrait" useFirstPageNumber="1" r:id="rId1"/>
  <headerFooter alignWithMargins="0">
    <oddHeader xml:space="preserve">&amp;L&amp;"Arial,Bold"&amp;16Table 5D-1:  FY2012-13 MFP Budget Letter &amp;"Arial,Regular"&amp;10
&amp;"Arial,Bold"&amp;14Legacy Type 2 Charters &amp;R&amp;"Arial,Bold"&amp;12&amp;KFF0000
</oddHeader>
    <oddFooter>&amp;R&amp;P</oddFooter>
  </headerFooter>
  <colBreaks count="1" manualBreakCount="1">
    <brk id="12" min="1" max="78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106"/>
  <sheetViews>
    <sheetView view="pageBreakPreview" zoomScaleNormal="85" zoomScaleSheetLayoutView="10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85546875" style="1005" customWidth="1"/>
    <col min="2" max="2" width="23.7109375" style="1005" customWidth="1"/>
    <col min="3" max="3" width="11.140625" style="1008" customWidth="1"/>
    <col min="4" max="4" width="15.28515625" style="1008" customWidth="1"/>
    <col min="5" max="5" width="11" style="1008" customWidth="1"/>
    <col min="6" max="6" width="12.5703125" style="1008" bestFit="1" customWidth="1"/>
    <col min="7" max="7" width="11.85546875" style="1008" customWidth="1"/>
    <col min="8" max="8" width="11.7109375" style="1008" bestFit="1" customWidth="1"/>
    <col min="9" max="11" width="12.28515625" style="1008" customWidth="1"/>
    <col min="12" max="12" width="11.5703125" style="1008" customWidth="1"/>
    <col min="13" max="13" width="17.7109375" style="1084" customWidth="1"/>
    <col min="14" max="14" width="13.7109375" style="1008" bestFit="1" customWidth="1"/>
    <col min="15" max="18" width="13.7109375" style="1008" customWidth="1"/>
    <col min="19" max="19" width="10.85546875" style="1008" bestFit="1" customWidth="1"/>
    <col min="20" max="21" width="12.5703125" style="1005" customWidth="1"/>
    <col min="22" max="16384" width="12.5703125" style="1005"/>
  </cols>
  <sheetData>
    <row r="1" spans="1:21" ht="9" customHeight="1">
      <c r="B1" s="1006"/>
      <c r="C1" s="1007"/>
      <c r="D1" s="1007"/>
    </row>
    <row r="2" spans="1:21" s="1010" customFormat="1" ht="37.5" customHeight="1">
      <c r="A2" s="1773" t="s">
        <v>773</v>
      </c>
      <c r="B2" s="1774"/>
      <c r="C2" s="1843" t="s">
        <v>759</v>
      </c>
      <c r="D2" s="1791"/>
      <c r="E2" s="1791"/>
      <c r="F2" s="1791"/>
      <c r="G2" s="1791"/>
      <c r="H2" s="1791"/>
      <c r="I2" s="1791"/>
      <c r="J2" s="1791"/>
      <c r="K2" s="1791"/>
      <c r="L2" s="1792"/>
      <c r="M2" s="1770" t="s">
        <v>772</v>
      </c>
      <c r="N2" s="1771"/>
      <c r="O2" s="1771"/>
      <c r="P2" s="1771"/>
      <c r="Q2" s="1771"/>
      <c r="R2" s="1771"/>
      <c r="S2" s="1772"/>
      <c r="T2" s="1764" t="s">
        <v>1425</v>
      </c>
      <c r="U2" s="1764" t="s">
        <v>1389</v>
      </c>
    </row>
    <row r="3" spans="1:21" ht="90" customHeight="1">
      <c r="A3" s="1775"/>
      <c r="B3" s="1776"/>
      <c r="C3" s="1779" t="s">
        <v>1192</v>
      </c>
      <c r="D3" s="1781" t="s">
        <v>819</v>
      </c>
      <c r="E3" s="1781" t="s">
        <v>1406</v>
      </c>
      <c r="F3" s="1011" t="s">
        <v>779</v>
      </c>
      <c r="G3" s="1779" t="s">
        <v>1407</v>
      </c>
      <c r="H3" s="1133" t="s">
        <v>813</v>
      </c>
      <c r="I3" s="1779" t="s">
        <v>1408</v>
      </c>
      <c r="J3" s="1779" t="s">
        <v>1197</v>
      </c>
      <c r="K3" s="1779" t="s">
        <v>1409</v>
      </c>
      <c r="L3" s="1781" t="s">
        <v>1410</v>
      </c>
      <c r="M3" s="1793" t="s">
        <v>1305</v>
      </c>
      <c r="N3" s="1795" t="s">
        <v>1411</v>
      </c>
      <c r="O3" s="1135" t="s">
        <v>815</v>
      </c>
      <c r="P3" s="1135" t="s">
        <v>818</v>
      </c>
      <c r="Q3" s="1795" t="s">
        <v>1197</v>
      </c>
      <c r="R3" s="1795" t="s">
        <v>1412</v>
      </c>
      <c r="S3" s="1795" t="s">
        <v>1413</v>
      </c>
      <c r="T3" s="1765"/>
      <c r="U3" s="1765"/>
    </row>
    <row r="4" spans="1:21" ht="30.75" customHeight="1">
      <c r="A4" s="1777"/>
      <c r="B4" s="1778"/>
      <c r="C4" s="1780"/>
      <c r="D4" s="1781"/>
      <c r="E4" s="1781"/>
      <c r="F4" s="1102">
        <v>598.40363440561384</v>
      </c>
      <c r="G4" s="1780"/>
      <c r="H4" s="1144">
        <v>2.5000000000000001E-3</v>
      </c>
      <c r="I4" s="1780"/>
      <c r="J4" s="1780"/>
      <c r="K4" s="1780"/>
      <c r="L4" s="1781"/>
      <c r="M4" s="1794"/>
      <c r="N4" s="1787"/>
      <c r="O4" s="1145">
        <v>2.5000000000000001E-3</v>
      </c>
      <c r="P4" s="1134"/>
      <c r="Q4" s="1787"/>
      <c r="R4" s="1787"/>
      <c r="S4" s="1787"/>
      <c r="T4" s="1766"/>
      <c r="U4" s="1766"/>
    </row>
    <row r="5" spans="1:21" s="1015" customFormat="1" ht="14.25" customHeight="1">
      <c r="A5" s="1012"/>
      <c r="B5" s="1013"/>
      <c r="C5" s="1014">
        <v>1</v>
      </c>
      <c r="D5" s="1014">
        <f t="shared" ref="D5:N5" si="0">C5+1</f>
        <v>2</v>
      </c>
      <c r="E5" s="1014">
        <f>D5+1</f>
        <v>3</v>
      </c>
      <c r="F5" s="1014">
        <f t="shared" ref="F5:G5" si="1">E5+1</f>
        <v>4</v>
      </c>
      <c r="G5" s="1014">
        <f t="shared" si="1"/>
        <v>5</v>
      </c>
      <c r="H5" s="1014">
        <f t="shared" ref="H5" si="2">G5+1</f>
        <v>6</v>
      </c>
      <c r="I5" s="1014">
        <f t="shared" ref="I5" si="3">H5+1</f>
        <v>7</v>
      </c>
      <c r="J5" s="1014">
        <f t="shared" ref="J5" si="4">I5+1</f>
        <v>8</v>
      </c>
      <c r="K5" s="1014">
        <f t="shared" ref="K5" si="5">J5+1</f>
        <v>9</v>
      </c>
      <c r="L5" s="1014">
        <f t="shared" ref="L5" si="6">K5+1</f>
        <v>10</v>
      </c>
      <c r="M5" s="1014">
        <f t="shared" si="0"/>
        <v>11</v>
      </c>
      <c r="N5" s="1014">
        <f t="shared" si="0"/>
        <v>12</v>
      </c>
      <c r="O5" s="1014">
        <f t="shared" ref="O5" si="7">N5+1</f>
        <v>13</v>
      </c>
      <c r="P5" s="1014">
        <f t="shared" ref="P5" si="8">O5+1</f>
        <v>14</v>
      </c>
      <c r="Q5" s="1014">
        <f t="shared" ref="Q5" si="9">P5+1</f>
        <v>15</v>
      </c>
      <c r="R5" s="1014">
        <f t="shared" ref="R5" si="10">Q5+1</f>
        <v>16</v>
      </c>
      <c r="S5" s="1014">
        <f t="shared" ref="S5" si="11">R5+1</f>
        <v>17</v>
      </c>
      <c r="T5" s="1014">
        <f t="shared" ref="T5" si="12">S5+1</f>
        <v>18</v>
      </c>
      <c r="U5" s="1014">
        <f t="shared" ref="U5" si="13">T5+1</f>
        <v>19</v>
      </c>
    </row>
    <row r="6" spans="1:21" s="1020" customFormat="1" ht="27" customHeight="1">
      <c r="A6" s="1016"/>
      <c r="B6" s="1017"/>
      <c r="C6" s="1018" t="s">
        <v>660</v>
      </c>
      <c r="D6" s="1019" t="s">
        <v>571</v>
      </c>
      <c r="E6" s="1018" t="s">
        <v>864</v>
      </c>
      <c r="F6" s="1019" t="s">
        <v>781</v>
      </c>
      <c r="G6" s="1018" t="s">
        <v>780</v>
      </c>
      <c r="H6" s="1018" t="s">
        <v>814</v>
      </c>
      <c r="I6" s="1018" t="s">
        <v>816</v>
      </c>
      <c r="J6" s="1018"/>
      <c r="K6" s="1018" t="s">
        <v>1217</v>
      </c>
      <c r="L6" s="1018" t="s">
        <v>869</v>
      </c>
      <c r="M6" s="1085" t="s">
        <v>571</v>
      </c>
      <c r="N6" s="1079" t="s">
        <v>870</v>
      </c>
      <c r="O6" s="1079" t="s">
        <v>1218</v>
      </c>
      <c r="P6" s="1079" t="s">
        <v>1215</v>
      </c>
      <c r="Q6" s="1019"/>
      <c r="R6" s="1079" t="s">
        <v>1216</v>
      </c>
      <c r="S6" s="1079" t="s">
        <v>872</v>
      </c>
      <c r="T6" s="1079" t="s">
        <v>873</v>
      </c>
      <c r="U6" s="1079" t="s">
        <v>874</v>
      </c>
    </row>
    <row r="7" spans="1:21">
      <c r="A7" s="1021">
        <v>1</v>
      </c>
      <c r="B7" s="1022" t="s">
        <v>102</v>
      </c>
      <c r="C7" s="1023">
        <f>'Table 8 2.1.12 MFP Funded'!L4</f>
        <v>0</v>
      </c>
      <c r="D7" s="1024">
        <f>'Table 3 Levels 1&amp;2'!AL8</f>
        <v>4621.8175818834352</v>
      </c>
      <c r="E7" s="1136">
        <f t="shared" ref="E7:E38" si="14">D7*C7</f>
        <v>0</v>
      </c>
      <c r="F7" s="1136">
        <f>C7*$F$4</f>
        <v>0</v>
      </c>
      <c r="G7" s="1025">
        <f t="shared" ref="G7:G38" si="15">E7+F7</f>
        <v>0</v>
      </c>
      <c r="H7" s="1146">
        <f>-G7*$H$4</f>
        <v>0</v>
      </c>
      <c r="I7" s="1025">
        <f>SUM(G7:H7)</f>
        <v>0</v>
      </c>
      <c r="J7" s="1025"/>
      <c r="K7" s="1025">
        <f>SUM(I7:J7)</f>
        <v>0</v>
      </c>
      <c r="L7" s="1025">
        <f>ROUND(K7/12,0)</f>
        <v>0</v>
      </c>
      <c r="M7" s="1086">
        <f>'[8]FY2012-13 Initial'!$K8</f>
        <v>2094</v>
      </c>
      <c r="N7" s="1026">
        <f t="shared" ref="N7:N38" si="16">M7*C7</f>
        <v>0</v>
      </c>
      <c r="O7" s="1154">
        <f>-N7*$O$4</f>
        <v>0</v>
      </c>
      <c r="P7" s="1026">
        <f>SUM(N7:O7)</f>
        <v>0</v>
      </c>
      <c r="Q7" s="1026"/>
      <c r="R7" s="1026">
        <f>SUM(P7:Q7)</f>
        <v>0</v>
      </c>
      <c r="S7" s="1026">
        <f>ROUND(R7/12,0)</f>
        <v>0</v>
      </c>
      <c r="T7" s="1027">
        <f>K7+R7</f>
        <v>0</v>
      </c>
      <c r="U7" s="1027">
        <f>L7+S7</f>
        <v>0</v>
      </c>
    </row>
    <row r="8" spans="1:21">
      <c r="A8" s="1028">
        <v>2</v>
      </c>
      <c r="B8" s="1029" t="s">
        <v>103</v>
      </c>
      <c r="C8" s="1030">
        <f>'Table 8 2.1.12 MFP Funded'!L5</f>
        <v>0</v>
      </c>
      <c r="D8" s="1031">
        <f>'Table 3 Levels 1&amp;2'!AL9</f>
        <v>6131.8351665660375</v>
      </c>
      <c r="E8" s="1137">
        <f t="shared" si="14"/>
        <v>0</v>
      </c>
      <c r="F8" s="1137">
        <f t="shared" ref="F8:F71" si="17">C8*$F$4</f>
        <v>0</v>
      </c>
      <c r="G8" s="1087">
        <f t="shared" si="15"/>
        <v>0</v>
      </c>
      <c r="H8" s="1147">
        <f t="shared" ref="H8:H71" si="18">-G8*$H$4</f>
        <v>0</v>
      </c>
      <c r="I8" s="1087">
        <f t="shared" ref="I8:I71" si="19">SUM(G8:H8)</f>
        <v>0</v>
      </c>
      <c r="J8" s="1087"/>
      <c r="K8" s="1087">
        <f t="shared" ref="K8:K71" si="20">SUM(I8:J8)</f>
        <v>0</v>
      </c>
      <c r="L8" s="1087">
        <f t="shared" ref="L8:L71" si="21">ROUND(K8/12,0)</f>
        <v>0</v>
      </c>
      <c r="M8" s="1086">
        <f>'[8]FY2012-13 Initial'!$K9</f>
        <v>2554</v>
      </c>
      <c r="N8" s="1088">
        <f t="shared" si="16"/>
        <v>0</v>
      </c>
      <c r="O8" s="1155">
        <f t="shared" ref="O8:O71" si="22">-N8*$O$4</f>
        <v>0</v>
      </c>
      <c r="P8" s="1088">
        <f t="shared" ref="P8:P71" si="23">SUM(N8:O8)</f>
        <v>0</v>
      </c>
      <c r="Q8" s="1088"/>
      <c r="R8" s="1088">
        <f t="shared" ref="R8:R71" si="24">SUM(P8:Q8)</f>
        <v>0</v>
      </c>
      <c r="S8" s="1088">
        <f t="shared" ref="S8:S71" si="25">ROUND(R8/12,0)</f>
        <v>0</v>
      </c>
      <c r="T8" s="1089">
        <f t="shared" ref="T8:T71" si="26">K8+R8</f>
        <v>0</v>
      </c>
      <c r="U8" s="1089">
        <f t="shared" ref="U8:U70" si="27">L8+S8</f>
        <v>0</v>
      </c>
    </row>
    <row r="9" spans="1:21" ht="12.75" customHeight="1">
      <c r="A9" s="1028">
        <v>3</v>
      </c>
      <c r="B9" s="1029" t="s">
        <v>104</v>
      </c>
      <c r="C9" s="1030">
        <f>'Table 8 2.1.12 MFP Funded'!L6</f>
        <v>0</v>
      </c>
      <c r="D9" s="1031">
        <f>'Table 3 Levels 1&amp;2'!AL10</f>
        <v>4326.5384352059973</v>
      </c>
      <c r="E9" s="1137">
        <f t="shared" si="14"/>
        <v>0</v>
      </c>
      <c r="F9" s="1137">
        <f t="shared" si="17"/>
        <v>0</v>
      </c>
      <c r="G9" s="1087">
        <f t="shared" si="15"/>
        <v>0</v>
      </c>
      <c r="H9" s="1147">
        <f t="shared" si="18"/>
        <v>0</v>
      </c>
      <c r="I9" s="1087">
        <f t="shared" si="19"/>
        <v>0</v>
      </c>
      <c r="J9" s="1087"/>
      <c r="K9" s="1087">
        <f t="shared" si="20"/>
        <v>0</v>
      </c>
      <c r="L9" s="1087">
        <f t="shared" si="21"/>
        <v>0</v>
      </c>
      <c r="M9" s="1086">
        <f>'[8]FY2012-13 Initial'!$K10</f>
        <v>4995</v>
      </c>
      <c r="N9" s="1088">
        <f t="shared" si="16"/>
        <v>0</v>
      </c>
      <c r="O9" s="1155">
        <f t="shared" si="22"/>
        <v>0</v>
      </c>
      <c r="P9" s="1088">
        <f t="shared" si="23"/>
        <v>0</v>
      </c>
      <c r="Q9" s="1088"/>
      <c r="R9" s="1088">
        <f t="shared" si="24"/>
        <v>0</v>
      </c>
      <c r="S9" s="1088">
        <f t="shared" si="25"/>
        <v>0</v>
      </c>
      <c r="T9" s="1089">
        <f t="shared" si="26"/>
        <v>0</v>
      </c>
      <c r="U9" s="1089">
        <f t="shared" si="27"/>
        <v>0</v>
      </c>
    </row>
    <row r="10" spans="1:21" ht="12.75" customHeight="1">
      <c r="A10" s="1028">
        <v>4</v>
      </c>
      <c r="B10" s="1029" t="s">
        <v>105</v>
      </c>
      <c r="C10" s="1030">
        <f>'Table 8 2.1.12 MFP Funded'!L7</f>
        <v>0</v>
      </c>
      <c r="D10" s="1031">
        <f>'Table 3 Levels 1&amp;2'!AL11</f>
        <v>6066.2659652331004</v>
      </c>
      <c r="E10" s="1137">
        <f t="shared" si="14"/>
        <v>0</v>
      </c>
      <c r="F10" s="1137">
        <f t="shared" si="17"/>
        <v>0</v>
      </c>
      <c r="G10" s="1087">
        <f t="shared" si="15"/>
        <v>0</v>
      </c>
      <c r="H10" s="1147">
        <f t="shared" si="18"/>
        <v>0</v>
      </c>
      <c r="I10" s="1087">
        <f t="shared" si="19"/>
        <v>0</v>
      </c>
      <c r="J10" s="1087"/>
      <c r="K10" s="1087">
        <f t="shared" si="20"/>
        <v>0</v>
      </c>
      <c r="L10" s="1087">
        <f t="shared" si="21"/>
        <v>0</v>
      </c>
      <c r="M10" s="1086">
        <f>'[8]FY2012-13 Initial'!$K11</f>
        <v>3361</v>
      </c>
      <c r="N10" s="1088">
        <f t="shared" si="16"/>
        <v>0</v>
      </c>
      <c r="O10" s="1155">
        <f t="shared" si="22"/>
        <v>0</v>
      </c>
      <c r="P10" s="1088">
        <f t="shared" si="23"/>
        <v>0</v>
      </c>
      <c r="Q10" s="1088"/>
      <c r="R10" s="1088">
        <f t="shared" si="24"/>
        <v>0</v>
      </c>
      <c r="S10" s="1088">
        <f t="shared" si="25"/>
        <v>0</v>
      </c>
      <c r="T10" s="1089">
        <f t="shared" si="26"/>
        <v>0</v>
      </c>
      <c r="U10" s="1089">
        <f t="shared" si="27"/>
        <v>0</v>
      </c>
    </row>
    <row r="11" spans="1:21">
      <c r="A11" s="1032">
        <v>5</v>
      </c>
      <c r="B11" s="1033" t="s">
        <v>106</v>
      </c>
      <c r="C11" s="1034">
        <f>'Table 8 2.1.12 MFP Funded'!L8</f>
        <v>0</v>
      </c>
      <c r="D11" s="1035">
        <f>'Table 3 Levels 1&amp;2'!AL12</f>
        <v>4806.2126132223084</v>
      </c>
      <c r="E11" s="1138">
        <f t="shared" si="14"/>
        <v>0</v>
      </c>
      <c r="F11" s="1138">
        <f t="shared" si="17"/>
        <v>0</v>
      </c>
      <c r="G11" s="1090">
        <f t="shared" si="15"/>
        <v>0</v>
      </c>
      <c r="H11" s="1148">
        <f t="shared" si="18"/>
        <v>0</v>
      </c>
      <c r="I11" s="1090">
        <f t="shared" si="19"/>
        <v>0</v>
      </c>
      <c r="J11" s="1090"/>
      <c r="K11" s="1090">
        <f t="shared" si="20"/>
        <v>0</v>
      </c>
      <c r="L11" s="1090">
        <f t="shared" si="21"/>
        <v>0</v>
      </c>
      <c r="M11" s="1091">
        <f>'[8]FY2012-13 Initial'!$K12</f>
        <v>1146</v>
      </c>
      <c r="N11" s="1092">
        <f t="shared" si="16"/>
        <v>0</v>
      </c>
      <c r="O11" s="1156">
        <f t="shared" si="22"/>
        <v>0</v>
      </c>
      <c r="P11" s="1092">
        <f t="shared" si="23"/>
        <v>0</v>
      </c>
      <c r="Q11" s="1092"/>
      <c r="R11" s="1092">
        <f t="shared" si="24"/>
        <v>0</v>
      </c>
      <c r="S11" s="1092">
        <f t="shared" si="25"/>
        <v>0</v>
      </c>
      <c r="T11" s="1093">
        <f t="shared" si="26"/>
        <v>0</v>
      </c>
      <c r="U11" s="1093">
        <f t="shared" si="27"/>
        <v>0</v>
      </c>
    </row>
    <row r="12" spans="1:21" ht="12.75" customHeight="1">
      <c r="A12" s="1021">
        <v>6</v>
      </c>
      <c r="B12" s="1022" t="s">
        <v>107</v>
      </c>
      <c r="C12" s="1023">
        <f>'Table 8 2.1.12 MFP Funded'!L9</f>
        <v>0</v>
      </c>
      <c r="D12" s="1024">
        <f>'Table 3 Levels 1&amp;2'!AL13</f>
        <v>5538.0879878550813</v>
      </c>
      <c r="E12" s="1136">
        <f t="shared" si="14"/>
        <v>0</v>
      </c>
      <c r="F12" s="1136">
        <f t="shared" si="17"/>
        <v>0</v>
      </c>
      <c r="G12" s="1025">
        <f t="shared" si="15"/>
        <v>0</v>
      </c>
      <c r="H12" s="1146">
        <f t="shared" si="18"/>
        <v>0</v>
      </c>
      <c r="I12" s="1025">
        <f t="shared" si="19"/>
        <v>0</v>
      </c>
      <c r="J12" s="1025"/>
      <c r="K12" s="1025">
        <f t="shared" si="20"/>
        <v>0</v>
      </c>
      <c r="L12" s="1025">
        <f t="shared" si="21"/>
        <v>0</v>
      </c>
      <c r="M12" s="1086">
        <f>'[8]FY2012-13 Initial'!$K13</f>
        <v>3431</v>
      </c>
      <c r="N12" s="1026">
        <f t="shared" si="16"/>
        <v>0</v>
      </c>
      <c r="O12" s="1154">
        <f t="shared" si="22"/>
        <v>0</v>
      </c>
      <c r="P12" s="1026">
        <f t="shared" si="23"/>
        <v>0</v>
      </c>
      <c r="Q12" s="1026"/>
      <c r="R12" s="1026">
        <f t="shared" si="24"/>
        <v>0</v>
      </c>
      <c r="S12" s="1026">
        <f t="shared" si="25"/>
        <v>0</v>
      </c>
      <c r="T12" s="1027">
        <f t="shared" si="26"/>
        <v>0</v>
      </c>
      <c r="U12" s="1027">
        <f t="shared" si="27"/>
        <v>0</v>
      </c>
    </row>
    <row r="13" spans="1:21">
      <c r="A13" s="1028">
        <v>7</v>
      </c>
      <c r="B13" s="1029" t="s">
        <v>108</v>
      </c>
      <c r="C13" s="1030">
        <f>'Table 8 2.1.12 MFP Funded'!L10</f>
        <v>0</v>
      </c>
      <c r="D13" s="1031">
        <f>'Table 3 Levels 1&amp;2'!AL14</f>
        <v>1543.5712353471597</v>
      </c>
      <c r="E13" s="1137">
        <f t="shared" si="14"/>
        <v>0</v>
      </c>
      <c r="F13" s="1137">
        <f t="shared" si="17"/>
        <v>0</v>
      </c>
      <c r="G13" s="1087">
        <f t="shared" si="15"/>
        <v>0</v>
      </c>
      <c r="H13" s="1147">
        <f t="shared" si="18"/>
        <v>0</v>
      </c>
      <c r="I13" s="1087">
        <f t="shared" si="19"/>
        <v>0</v>
      </c>
      <c r="J13" s="1087"/>
      <c r="K13" s="1087">
        <f t="shared" si="20"/>
        <v>0</v>
      </c>
      <c r="L13" s="1087">
        <f t="shared" si="21"/>
        <v>0</v>
      </c>
      <c r="M13" s="1086">
        <f>'[8]FY2012-13 Initial'!$K14</f>
        <v>12974</v>
      </c>
      <c r="N13" s="1088">
        <f t="shared" si="16"/>
        <v>0</v>
      </c>
      <c r="O13" s="1155">
        <f t="shared" si="22"/>
        <v>0</v>
      </c>
      <c r="P13" s="1088">
        <f t="shared" si="23"/>
        <v>0</v>
      </c>
      <c r="Q13" s="1088"/>
      <c r="R13" s="1088">
        <f t="shared" si="24"/>
        <v>0</v>
      </c>
      <c r="S13" s="1088">
        <f t="shared" si="25"/>
        <v>0</v>
      </c>
      <c r="T13" s="1089">
        <f t="shared" si="26"/>
        <v>0</v>
      </c>
      <c r="U13" s="1089">
        <f t="shared" si="27"/>
        <v>0</v>
      </c>
    </row>
    <row r="14" spans="1:21">
      <c r="A14" s="1028">
        <v>8</v>
      </c>
      <c r="B14" s="1029" t="s">
        <v>109</v>
      </c>
      <c r="C14" s="1030">
        <f>'Table 8 2.1.12 MFP Funded'!L11</f>
        <v>0</v>
      </c>
      <c r="D14" s="1031">
        <f>'Table 3 Levels 1&amp;2'!AL15</f>
        <v>4033.4866571910334</v>
      </c>
      <c r="E14" s="1137">
        <f t="shared" si="14"/>
        <v>0</v>
      </c>
      <c r="F14" s="1137">
        <f t="shared" si="17"/>
        <v>0</v>
      </c>
      <c r="G14" s="1087">
        <f t="shared" si="15"/>
        <v>0</v>
      </c>
      <c r="H14" s="1147">
        <f t="shared" si="18"/>
        <v>0</v>
      </c>
      <c r="I14" s="1087">
        <f t="shared" si="19"/>
        <v>0</v>
      </c>
      <c r="J14" s="1087"/>
      <c r="K14" s="1087">
        <f t="shared" si="20"/>
        <v>0</v>
      </c>
      <c r="L14" s="1087">
        <f t="shared" si="21"/>
        <v>0</v>
      </c>
      <c r="M14" s="1086">
        <f>'[8]FY2012-13 Initial'!$K15</f>
        <v>4234</v>
      </c>
      <c r="N14" s="1088">
        <f t="shared" si="16"/>
        <v>0</v>
      </c>
      <c r="O14" s="1155">
        <f t="shared" si="22"/>
        <v>0</v>
      </c>
      <c r="P14" s="1088">
        <f t="shared" si="23"/>
        <v>0</v>
      </c>
      <c r="Q14" s="1088"/>
      <c r="R14" s="1088">
        <f t="shared" si="24"/>
        <v>0</v>
      </c>
      <c r="S14" s="1088">
        <f t="shared" si="25"/>
        <v>0</v>
      </c>
      <c r="T14" s="1089">
        <f t="shared" si="26"/>
        <v>0</v>
      </c>
      <c r="U14" s="1089">
        <f t="shared" si="27"/>
        <v>0</v>
      </c>
    </row>
    <row r="15" spans="1:21">
      <c r="A15" s="1028">
        <v>9</v>
      </c>
      <c r="B15" s="1029" t="s">
        <v>110</v>
      </c>
      <c r="C15" s="1030">
        <f>'Table 8 2.1.12 MFP Funded'!L12</f>
        <v>0</v>
      </c>
      <c r="D15" s="1031">
        <f>'Table 3 Levels 1&amp;2'!AL16</f>
        <v>4268.3217271902904</v>
      </c>
      <c r="E15" s="1137">
        <f t="shared" si="14"/>
        <v>0</v>
      </c>
      <c r="F15" s="1137">
        <f t="shared" si="17"/>
        <v>0</v>
      </c>
      <c r="G15" s="1087">
        <f t="shared" si="15"/>
        <v>0</v>
      </c>
      <c r="H15" s="1147">
        <f t="shared" si="18"/>
        <v>0</v>
      </c>
      <c r="I15" s="1087">
        <f t="shared" si="19"/>
        <v>0</v>
      </c>
      <c r="J15" s="1087"/>
      <c r="K15" s="1087">
        <f t="shared" si="20"/>
        <v>0</v>
      </c>
      <c r="L15" s="1087">
        <f t="shared" si="21"/>
        <v>0</v>
      </c>
      <c r="M15" s="1086">
        <f>'[8]FY2012-13 Initial'!$K16</f>
        <v>4539</v>
      </c>
      <c r="N15" s="1088">
        <f t="shared" si="16"/>
        <v>0</v>
      </c>
      <c r="O15" s="1155">
        <f t="shared" si="22"/>
        <v>0</v>
      </c>
      <c r="P15" s="1088">
        <f t="shared" si="23"/>
        <v>0</v>
      </c>
      <c r="Q15" s="1088"/>
      <c r="R15" s="1088">
        <f t="shared" si="24"/>
        <v>0</v>
      </c>
      <c r="S15" s="1088">
        <f t="shared" si="25"/>
        <v>0</v>
      </c>
      <c r="T15" s="1089">
        <f t="shared" si="26"/>
        <v>0</v>
      </c>
      <c r="U15" s="1089">
        <f t="shared" si="27"/>
        <v>0</v>
      </c>
    </row>
    <row r="16" spans="1:21">
      <c r="A16" s="1032">
        <v>10</v>
      </c>
      <c r="B16" s="1033" t="s">
        <v>111</v>
      </c>
      <c r="C16" s="1034">
        <f>'Table 8 2.1.12 MFP Funded'!L13</f>
        <v>0</v>
      </c>
      <c r="D16" s="1035">
        <f>'Table 3 Levels 1&amp;2'!AL17</f>
        <v>4300.0681374076885</v>
      </c>
      <c r="E16" s="1138">
        <f t="shared" si="14"/>
        <v>0</v>
      </c>
      <c r="F16" s="1138">
        <f t="shared" si="17"/>
        <v>0</v>
      </c>
      <c r="G16" s="1090">
        <f t="shared" si="15"/>
        <v>0</v>
      </c>
      <c r="H16" s="1148">
        <f t="shared" si="18"/>
        <v>0</v>
      </c>
      <c r="I16" s="1090">
        <f t="shared" si="19"/>
        <v>0</v>
      </c>
      <c r="J16" s="1090"/>
      <c r="K16" s="1090">
        <f t="shared" si="20"/>
        <v>0</v>
      </c>
      <c r="L16" s="1090">
        <f t="shared" si="21"/>
        <v>0</v>
      </c>
      <c r="M16" s="1091">
        <f>'[8]FY2012-13 Initial'!$K17</f>
        <v>4312</v>
      </c>
      <c r="N16" s="1092">
        <f t="shared" si="16"/>
        <v>0</v>
      </c>
      <c r="O16" s="1156">
        <f t="shared" si="22"/>
        <v>0</v>
      </c>
      <c r="P16" s="1092">
        <f t="shared" si="23"/>
        <v>0</v>
      </c>
      <c r="Q16" s="1092"/>
      <c r="R16" s="1092">
        <f t="shared" si="24"/>
        <v>0</v>
      </c>
      <c r="S16" s="1092">
        <f t="shared" si="25"/>
        <v>0</v>
      </c>
      <c r="T16" s="1093">
        <f t="shared" si="26"/>
        <v>0</v>
      </c>
      <c r="U16" s="1093">
        <f t="shared" si="27"/>
        <v>0</v>
      </c>
    </row>
    <row r="17" spans="1:21">
      <c r="A17" s="1021">
        <v>11</v>
      </c>
      <c r="B17" s="1022" t="s">
        <v>112</v>
      </c>
      <c r="C17" s="1023">
        <f>'Table 8 2.1.12 MFP Funded'!L14</f>
        <v>0</v>
      </c>
      <c r="D17" s="1024">
        <f>'Table 3 Levels 1&amp;2'!AL18</f>
        <v>6740.2393955908683</v>
      </c>
      <c r="E17" s="1136">
        <f t="shared" si="14"/>
        <v>0</v>
      </c>
      <c r="F17" s="1136">
        <f t="shared" si="17"/>
        <v>0</v>
      </c>
      <c r="G17" s="1025">
        <f t="shared" si="15"/>
        <v>0</v>
      </c>
      <c r="H17" s="1146">
        <f t="shared" si="18"/>
        <v>0</v>
      </c>
      <c r="I17" s="1025">
        <f t="shared" si="19"/>
        <v>0</v>
      </c>
      <c r="J17" s="1025"/>
      <c r="K17" s="1025">
        <f t="shared" si="20"/>
        <v>0</v>
      </c>
      <c r="L17" s="1025">
        <f t="shared" si="21"/>
        <v>0</v>
      </c>
      <c r="M17" s="1086">
        <f>'[8]FY2012-13 Initial'!$K18</f>
        <v>3004</v>
      </c>
      <c r="N17" s="1026">
        <f t="shared" si="16"/>
        <v>0</v>
      </c>
      <c r="O17" s="1154">
        <f t="shared" si="22"/>
        <v>0</v>
      </c>
      <c r="P17" s="1026">
        <f t="shared" si="23"/>
        <v>0</v>
      </c>
      <c r="Q17" s="1026"/>
      <c r="R17" s="1026">
        <f t="shared" si="24"/>
        <v>0</v>
      </c>
      <c r="S17" s="1026">
        <f t="shared" si="25"/>
        <v>0</v>
      </c>
      <c r="T17" s="1027">
        <f t="shared" si="26"/>
        <v>0</v>
      </c>
      <c r="U17" s="1027">
        <f t="shared" si="27"/>
        <v>0</v>
      </c>
    </row>
    <row r="18" spans="1:21">
      <c r="A18" s="1028">
        <v>12</v>
      </c>
      <c r="B18" s="1029" t="s">
        <v>113</v>
      </c>
      <c r="C18" s="1030">
        <f>'Table 8 2.1.12 MFP Funded'!L15</f>
        <v>0</v>
      </c>
      <c r="D18" s="1031">
        <f>'Table 3 Levels 1&amp;2'!AL19</f>
        <v>1781.2877551020408</v>
      </c>
      <c r="E18" s="1137">
        <f t="shared" si="14"/>
        <v>0</v>
      </c>
      <c r="F18" s="1137">
        <f t="shared" si="17"/>
        <v>0</v>
      </c>
      <c r="G18" s="1087">
        <f t="shared" si="15"/>
        <v>0</v>
      </c>
      <c r="H18" s="1147">
        <f t="shared" si="18"/>
        <v>0</v>
      </c>
      <c r="I18" s="1087">
        <f t="shared" si="19"/>
        <v>0</v>
      </c>
      <c r="J18" s="1087"/>
      <c r="K18" s="1087">
        <f t="shared" si="20"/>
        <v>0</v>
      </c>
      <c r="L18" s="1087">
        <f t="shared" si="21"/>
        <v>0</v>
      </c>
      <c r="M18" s="1086">
        <f>'[8]FY2012-13 Initial'!$K19</f>
        <v>12439</v>
      </c>
      <c r="N18" s="1088">
        <f t="shared" si="16"/>
        <v>0</v>
      </c>
      <c r="O18" s="1155">
        <f t="shared" si="22"/>
        <v>0</v>
      </c>
      <c r="P18" s="1088">
        <f t="shared" si="23"/>
        <v>0</v>
      </c>
      <c r="Q18" s="1088"/>
      <c r="R18" s="1088">
        <f t="shared" si="24"/>
        <v>0</v>
      </c>
      <c r="S18" s="1088">
        <f t="shared" si="25"/>
        <v>0</v>
      </c>
      <c r="T18" s="1089">
        <f t="shared" si="26"/>
        <v>0</v>
      </c>
      <c r="U18" s="1089">
        <f t="shared" si="27"/>
        <v>0</v>
      </c>
    </row>
    <row r="19" spans="1:21">
      <c r="A19" s="1028">
        <v>13</v>
      </c>
      <c r="B19" s="1029" t="s">
        <v>114</v>
      </c>
      <c r="C19" s="1030">
        <f>'Table 8 2.1.12 MFP Funded'!L16</f>
        <v>0</v>
      </c>
      <c r="D19" s="1031">
        <f>'Table 3 Levels 1&amp;2'!AL20</f>
        <v>6125.5331903699798</v>
      </c>
      <c r="E19" s="1137">
        <f t="shared" si="14"/>
        <v>0</v>
      </c>
      <c r="F19" s="1137">
        <f t="shared" si="17"/>
        <v>0</v>
      </c>
      <c r="G19" s="1087">
        <f t="shared" si="15"/>
        <v>0</v>
      </c>
      <c r="H19" s="1147">
        <f t="shared" si="18"/>
        <v>0</v>
      </c>
      <c r="I19" s="1087">
        <f t="shared" si="19"/>
        <v>0</v>
      </c>
      <c r="J19" s="1087"/>
      <c r="K19" s="1087">
        <f t="shared" si="20"/>
        <v>0</v>
      </c>
      <c r="L19" s="1087">
        <f t="shared" si="21"/>
        <v>0</v>
      </c>
      <c r="M19" s="1086">
        <f>'[8]FY2012-13 Initial'!$K20</f>
        <v>2518</v>
      </c>
      <c r="N19" s="1088">
        <f t="shared" si="16"/>
        <v>0</v>
      </c>
      <c r="O19" s="1155">
        <f t="shared" si="22"/>
        <v>0</v>
      </c>
      <c r="P19" s="1088">
        <f t="shared" si="23"/>
        <v>0</v>
      </c>
      <c r="Q19" s="1088"/>
      <c r="R19" s="1088">
        <f t="shared" si="24"/>
        <v>0</v>
      </c>
      <c r="S19" s="1088">
        <f t="shared" si="25"/>
        <v>0</v>
      </c>
      <c r="T19" s="1089">
        <f t="shared" si="26"/>
        <v>0</v>
      </c>
      <c r="U19" s="1089">
        <f t="shared" si="27"/>
        <v>0</v>
      </c>
    </row>
    <row r="20" spans="1:21" ht="12.75" customHeight="1">
      <c r="A20" s="1028">
        <v>14</v>
      </c>
      <c r="B20" s="1029" t="s">
        <v>115</v>
      </c>
      <c r="C20" s="1030">
        <f>'Table 8 2.1.12 MFP Funded'!L17</f>
        <v>0</v>
      </c>
      <c r="D20" s="1031">
        <f>'Table 3 Levels 1&amp;2'!AL21</f>
        <v>5278.0936993421856</v>
      </c>
      <c r="E20" s="1137">
        <f t="shared" si="14"/>
        <v>0</v>
      </c>
      <c r="F20" s="1137">
        <f t="shared" si="17"/>
        <v>0</v>
      </c>
      <c r="G20" s="1087">
        <f t="shared" si="15"/>
        <v>0</v>
      </c>
      <c r="H20" s="1147">
        <f t="shared" si="18"/>
        <v>0</v>
      </c>
      <c r="I20" s="1087">
        <f t="shared" si="19"/>
        <v>0</v>
      </c>
      <c r="J20" s="1087"/>
      <c r="K20" s="1087">
        <f t="shared" si="20"/>
        <v>0</v>
      </c>
      <c r="L20" s="1087">
        <f t="shared" si="21"/>
        <v>0</v>
      </c>
      <c r="M20" s="1086">
        <f>'[8]FY2012-13 Initial'!$K21</f>
        <v>3605</v>
      </c>
      <c r="N20" s="1088">
        <f t="shared" si="16"/>
        <v>0</v>
      </c>
      <c r="O20" s="1155">
        <f t="shared" si="22"/>
        <v>0</v>
      </c>
      <c r="P20" s="1088">
        <f t="shared" si="23"/>
        <v>0</v>
      </c>
      <c r="Q20" s="1088"/>
      <c r="R20" s="1088">
        <f t="shared" si="24"/>
        <v>0</v>
      </c>
      <c r="S20" s="1088">
        <f t="shared" si="25"/>
        <v>0</v>
      </c>
      <c r="T20" s="1089">
        <f t="shared" si="26"/>
        <v>0</v>
      </c>
      <c r="U20" s="1089">
        <f t="shared" si="27"/>
        <v>0</v>
      </c>
    </row>
    <row r="21" spans="1:21">
      <c r="A21" s="1032">
        <v>15</v>
      </c>
      <c r="B21" s="1033" t="s">
        <v>116</v>
      </c>
      <c r="C21" s="1034">
        <f>'Table 8 2.1.12 MFP Funded'!L18</f>
        <v>0</v>
      </c>
      <c r="D21" s="1035">
        <f>'Table 3 Levels 1&amp;2'!AL22</f>
        <v>5428.9842692179664</v>
      </c>
      <c r="E21" s="1138">
        <f t="shared" si="14"/>
        <v>0</v>
      </c>
      <c r="F21" s="1138">
        <f t="shared" si="17"/>
        <v>0</v>
      </c>
      <c r="G21" s="1090">
        <f t="shared" si="15"/>
        <v>0</v>
      </c>
      <c r="H21" s="1148">
        <f t="shared" si="18"/>
        <v>0</v>
      </c>
      <c r="I21" s="1090">
        <f t="shared" si="19"/>
        <v>0</v>
      </c>
      <c r="J21" s="1090"/>
      <c r="K21" s="1090">
        <f t="shared" si="20"/>
        <v>0</v>
      </c>
      <c r="L21" s="1090">
        <f t="shared" si="21"/>
        <v>0</v>
      </c>
      <c r="M21" s="1091">
        <f>'[8]FY2012-13 Initial'!$K22</f>
        <v>2614</v>
      </c>
      <c r="N21" s="1092">
        <f t="shared" si="16"/>
        <v>0</v>
      </c>
      <c r="O21" s="1156">
        <f t="shared" si="22"/>
        <v>0</v>
      </c>
      <c r="P21" s="1092">
        <f t="shared" si="23"/>
        <v>0</v>
      </c>
      <c r="Q21" s="1092"/>
      <c r="R21" s="1092">
        <f t="shared" si="24"/>
        <v>0</v>
      </c>
      <c r="S21" s="1092">
        <f t="shared" si="25"/>
        <v>0</v>
      </c>
      <c r="T21" s="1093">
        <f t="shared" si="26"/>
        <v>0</v>
      </c>
      <c r="U21" s="1093">
        <f t="shared" si="27"/>
        <v>0</v>
      </c>
    </row>
    <row r="22" spans="1:21">
      <c r="A22" s="1021">
        <v>16</v>
      </c>
      <c r="B22" s="1022" t="s">
        <v>117</v>
      </c>
      <c r="C22" s="1023">
        <f>'Table 8 2.1.12 MFP Funded'!L19</f>
        <v>0</v>
      </c>
      <c r="D22" s="1024">
        <f>'Table 3 Levels 1&amp;2'!AL23</f>
        <v>1501.2470754125757</v>
      </c>
      <c r="E22" s="1136">
        <f t="shared" si="14"/>
        <v>0</v>
      </c>
      <c r="F22" s="1136">
        <f t="shared" si="17"/>
        <v>0</v>
      </c>
      <c r="G22" s="1025">
        <f t="shared" si="15"/>
        <v>0</v>
      </c>
      <c r="H22" s="1146">
        <f t="shared" si="18"/>
        <v>0</v>
      </c>
      <c r="I22" s="1025">
        <f t="shared" si="19"/>
        <v>0</v>
      </c>
      <c r="J22" s="1025"/>
      <c r="K22" s="1025">
        <f t="shared" si="20"/>
        <v>0</v>
      </c>
      <c r="L22" s="1025">
        <f t="shared" si="21"/>
        <v>0</v>
      </c>
      <c r="M22" s="1086">
        <f>'[8]FY2012-13 Initial'!$K23</f>
        <v>16006</v>
      </c>
      <c r="N22" s="1026">
        <f t="shared" si="16"/>
        <v>0</v>
      </c>
      <c r="O22" s="1154">
        <f t="shared" si="22"/>
        <v>0</v>
      </c>
      <c r="P22" s="1026">
        <f t="shared" si="23"/>
        <v>0</v>
      </c>
      <c r="Q22" s="1026"/>
      <c r="R22" s="1026">
        <f t="shared" si="24"/>
        <v>0</v>
      </c>
      <c r="S22" s="1026">
        <f t="shared" si="25"/>
        <v>0</v>
      </c>
      <c r="T22" s="1027">
        <f t="shared" si="26"/>
        <v>0</v>
      </c>
      <c r="U22" s="1027">
        <f t="shared" si="27"/>
        <v>0</v>
      </c>
    </row>
    <row r="23" spans="1:21">
      <c r="A23" s="1028">
        <v>17</v>
      </c>
      <c r="B23" s="1029" t="s">
        <v>118</v>
      </c>
      <c r="C23" s="1030">
        <f>'Table 8 2.1.12 MFP Funded'!L20</f>
        <v>0</v>
      </c>
      <c r="D23" s="1031">
        <f>'Table 3 Levels 1&amp;2'!AL24</f>
        <v>3386.5716964570697</v>
      </c>
      <c r="E23" s="1137">
        <f t="shared" si="14"/>
        <v>0</v>
      </c>
      <c r="F23" s="1137">
        <f t="shared" si="17"/>
        <v>0</v>
      </c>
      <c r="G23" s="1087">
        <f t="shared" si="15"/>
        <v>0</v>
      </c>
      <c r="H23" s="1147">
        <f t="shared" si="18"/>
        <v>0</v>
      </c>
      <c r="I23" s="1087">
        <f t="shared" si="19"/>
        <v>0</v>
      </c>
      <c r="J23" s="1087"/>
      <c r="K23" s="1087">
        <f t="shared" si="20"/>
        <v>0</v>
      </c>
      <c r="L23" s="1087">
        <f t="shared" si="21"/>
        <v>0</v>
      </c>
      <c r="M23" s="1086">
        <f>'[8]FY2012-13 Initial'!$K24</f>
        <v>6493</v>
      </c>
      <c r="N23" s="1088">
        <f t="shared" si="16"/>
        <v>0</v>
      </c>
      <c r="O23" s="1155">
        <f t="shared" si="22"/>
        <v>0</v>
      </c>
      <c r="P23" s="1088">
        <f t="shared" si="23"/>
        <v>0</v>
      </c>
      <c r="Q23" s="1088"/>
      <c r="R23" s="1088">
        <f t="shared" si="24"/>
        <v>0</v>
      </c>
      <c r="S23" s="1088">
        <f t="shared" si="25"/>
        <v>0</v>
      </c>
      <c r="T23" s="1089">
        <f t="shared" si="26"/>
        <v>0</v>
      </c>
      <c r="U23" s="1089">
        <f t="shared" si="27"/>
        <v>0</v>
      </c>
    </row>
    <row r="24" spans="1:21">
      <c r="A24" s="1028">
        <v>18</v>
      </c>
      <c r="B24" s="1029" t="s">
        <v>119</v>
      </c>
      <c r="C24" s="1030">
        <f>'Table 8 2.1.12 MFP Funded'!L21</f>
        <v>0</v>
      </c>
      <c r="D24" s="1031">
        <f>'Table 3 Levels 1&amp;2'!AL25</f>
        <v>5798.0598063231446</v>
      </c>
      <c r="E24" s="1137">
        <f t="shared" si="14"/>
        <v>0</v>
      </c>
      <c r="F24" s="1137">
        <f t="shared" si="17"/>
        <v>0</v>
      </c>
      <c r="G24" s="1087">
        <f t="shared" si="15"/>
        <v>0</v>
      </c>
      <c r="H24" s="1147">
        <f t="shared" si="18"/>
        <v>0</v>
      </c>
      <c r="I24" s="1087">
        <f t="shared" si="19"/>
        <v>0</v>
      </c>
      <c r="J24" s="1087"/>
      <c r="K24" s="1087">
        <f t="shared" si="20"/>
        <v>0</v>
      </c>
      <c r="L24" s="1087">
        <f t="shared" si="21"/>
        <v>0</v>
      </c>
      <c r="M24" s="1086">
        <f>'[8]FY2012-13 Initial'!$K25</f>
        <v>2088</v>
      </c>
      <c r="N24" s="1088">
        <f t="shared" si="16"/>
        <v>0</v>
      </c>
      <c r="O24" s="1155">
        <f t="shared" si="22"/>
        <v>0</v>
      </c>
      <c r="P24" s="1088">
        <f t="shared" si="23"/>
        <v>0</v>
      </c>
      <c r="Q24" s="1088"/>
      <c r="R24" s="1088">
        <f t="shared" si="24"/>
        <v>0</v>
      </c>
      <c r="S24" s="1088">
        <f t="shared" si="25"/>
        <v>0</v>
      </c>
      <c r="T24" s="1089">
        <f t="shared" si="26"/>
        <v>0</v>
      </c>
      <c r="U24" s="1089">
        <f t="shared" si="27"/>
        <v>0</v>
      </c>
    </row>
    <row r="25" spans="1:21">
      <c r="A25" s="1028">
        <v>19</v>
      </c>
      <c r="B25" s="1029" t="s">
        <v>120</v>
      </c>
      <c r="C25" s="1030">
        <f>'Table 8 2.1.12 MFP Funded'!L22</f>
        <v>0</v>
      </c>
      <c r="D25" s="1031">
        <f>'Table 3 Levels 1&amp;2'!AL26</f>
        <v>5219.1012787873206</v>
      </c>
      <c r="E25" s="1137">
        <f t="shared" si="14"/>
        <v>0</v>
      </c>
      <c r="F25" s="1137">
        <f t="shared" si="17"/>
        <v>0</v>
      </c>
      <c r="G25" s="1087">
        <f t="shared" si="15"/>
        <v>0</v>
      </c>
      <c r="H25" s="1147">
        <f t="shared" si="18"/>
        <v>0</v>
      </c>
      <c r="I25" s="1087">
        <f t="shared" si="19"/>
        <v>0</v>
      </c>
      <c r="J25" s="1087"/>
      <c r="K25" s="1087">
        <f t="shared" si="20"/>
        <v>0</v>
      </c>
      <c r="L25" s="1087">
        <f t="shared" si="21"/>
        <v>0</v>
      </c>
      <c r="M25" s="1086">
        <f>'[8]FY2012-13 Initial'!$K26</f>
        <v>2275</v>
      </c>
      <c r="N25" s="1088">
        <f t="shared" si="16"/>
        <v>0</v>
      </c>
      <c r="O25" s="1155">
        <f t="shared" si="22"/>
        <v>0</v>
      </c>
      <c r="P25" s="1088">
        <f t="shared" si="23"/>
        <v>0</v>
      </c>
      <c r="Q25" s="1088"/>
      <c r="R25" s="1088">
        <f t="shared" si="24"/>
        <v>0</v>
      </c>
      <c r="S25" s="1088">
        <f t="shared" si="25"/>
        <v>0</v>
      </c>
      <c r="T25" s="1089">
        <f t="shared" si="26"/>
        <v>0</v>
      </c>
      <c r="U25" s="1089">
        <f t="shared" si="27"/>
        <v>0</v>
      </c>
    </row>
    <row r="26" spans="1:21">
      <c r="A26" s="1032">
        <v>20</v>
      </c>
      <c r="B26" s="1033" t="s">
        <v>121</v>
      </c>
      <c r="C26" s="1034">
        <f>'Table 8 2.1.12 MFP Funded'!L23</f>
        <v>0</v>
      </c>
      <c r="D26" s="1035">
        <f>'Table 3 Levels 1&amp;2'!AL27</f>
        <v>5441.7799844976798</v>
      </c>
      <c r="E26" s="1138">
        <f t="shared" si="14"/>
        <v>0</v>
      </c>
      <c r="F26" s="1138">
        <f t="shared" si="17"/>
        <v>0</v>
      </c>
      <c r="G26" s="1090">
        <f t="shared" si="15"/>
        <v>0</v>
      </c>
      <c r="H26" s="1148">
        <f t="shared" si="18"/>
        <v>0</v>
      </c>
      <c r="I26" s="1090">
        <f t="shared" si="19"/>
        <v>0</v>
      </c>
      <c r="J26" s="1090"/>
      <c r="K26" s="1090">
        <f t="shared" si="20"/>
        <v>0</v>
      </c>
      <c r="L26" s="1090">
        <f t="shared" si="21"/>
        <v>0</v>
      </c>
      <c r="M26" s="1091">
        <f>'[8]FY2012-13 Initial'!$K27</f>
        <v>2308</v>
      </c>
      <c r="N26" s="1092">
        <f t="shared" si="16"/>
        <v>0</v>
      </c>
      <c r="O26" s="1156">
        <f t="shared" si="22"/>
        <v>0</v>
      </c>
      <c r="P26" s="1092">
        <f t="shared" si="23"/>
        <v>0</v>
      </c>
      <c r="Q26" s="1092"/>
      <c r="R26" s="1092">
        <f t="shared" si="24"/>
        <v>0</v>
      </c>
      <c r="S26" s="1092">
        <f t="shared" si="25"/>
        <v>0</v>
      </c>
      <c r="T26" s="1093">
        <f t="shared" si="26"/>
        <v>0</v>
      </c>
      <c r="U26" s="1093">
        <f t="shared" si="27"/>
        <v>0</v>
      </c>
    </row>
    <row r="27" spans="1:21">
      <c r="A27" s="1021">
        <v>21</v>
      </c>
      <c r="B27" s="1022" t="s">
        <v>122</v>
      </c>
      <c r="C27" s="1023">
        <f>'Table 8 2.1.12 MFP Funded'!L24</f>
        <v>0</v>
      </c>
      <c r="D27" s="1024">
        <f>'Table 3 Levels 1&amp;2'!AL28</f>
        <v>5718.7800910915075</v>
      </c>
      <c r="E27" s="1136">
        <f t="shared" si="14"/>
        <v>0</v>
      </c>
      <c r="F27" s="1136">
        <f t="shared" si="17"/>
        <v>0</v>
      </c>
      <c r="G27" s="1025">
        <f t="shared" si="15"/>
        <v>0</v>
      </c>
      <c r="H27" s="1146">
        <f t="shared" si="18"/>
        <v>0</v>
      </c>
      <c r="I27" s="1025">
        <f t="shared" si="19"/>
        <v>0</v>
      </c>
      <c r="J27" s="1025"/>
      <c r="K27" s="1025">
        <f t="shared" si="20"/>
        <v>0</v>
      </c>
      <c r="L27" s="1025">
        <f t="shared" si="21"/>
        <v>0</v>
      </c>
      <c r="M27" s="1086">
        <f>'[8]FY2012-13 Initial'!$K28</f>
        <v>2245</v>
      </c>
      <c r="N27" s="1026">
        <f t="shared" si="16"/>
        <v>0</v>
      </c>
      <c r="O27" s="1154">
        <f t="shared" si="22"/>
        <v>0</v>
      </c>
      <c r="P27" s="1026">
        <f t="shared" si="23"/>
        <v>0</v>
      </c>
      <c r="Q27" s="1026"/>
      <c r="R27" s="1026">
        <f t="shared" si="24"/>
        <v>0</v>
      </c>
      <c r="S27" s="1026">
        <f t="shared" si="25"/>
        <v>0</v>
      </c>
      <c r="T27" s="1027">
        <f t="shared" si="26"/>
        <v>0</v>
      </c>
      <c r="U27" s="1027">
        <f t="shared" si="27"/>
        <v>0</v>
      </c>
    </row>
    <row r="28" spans="1:21">
      <c r="A28" s="1028">
        <v>22</v>
      </c>
      <c r="B28" s="1029" t="s">
        <v>123</v>
      </c>
      <c r="C28" s="1030">
        <f>'Table 8 2.1.12 MFP Funded'!L25</f>
        <v>0</v>
      </c>
      <c r="D28" s="1031">
        <f>'Table 3 Levels 1&amp;2'!AL29</f>
        <v>6198.830003500153</v>
      </c>
      <c r="E28" s="1137">
        <f t="shared" si="14"/>
        <v>0</v>
      </c>
      <c r="F28" s="1137">
        <f t="shared" si="17"/>
        <v>0</v>
      </c>
      <c r="G28" s="1087">
        <f t="shared" si="15"/>
        <v>0</v>
      </c>
      <c r="H28" s="1147">
        <f t="shared" si="18"/>
        <v>0</v>
      </c>
      <c r="I28" s="1087">
        <f t="shared" si="19"/>
        <v>0</v>
      </c>
      <c r="J28" s="1087"/>
      <c r="K28" s="1087">
        <f t="shared" si="20"/>
        <v>0</v>
      </c>
      <c r="L28" s="1087">
        <f t="shared" si="21"/>
        <v>0</v>
      </c>
      <c r="M28" s="1086">
        <f>'[8]FY2012-13 Initial'!$K29</f>
        <v>1445</v>
      </c>
      <c r="N28" s="1088">
        <f t="shared" si="16"/>
        <v>0</v>
      </c>
      <c r="O28" s="1155">
        <f t="shared" si="22"/>
        <v>0</v>
      </c>
      <c r="P28" s="1088">
        <f t="shared" si="23"/>
        <v>0</v>
      </c>
      <c r="Q28" s="1088"/>
      <c r="R28" s="1088">
        <f t="shared" si="24"/>
        <v>0</v>
      </c>
      <c r="S28" s="1088">
        <f t="shared" si="25"/>
        <v>0</v>
      </c>
      <c r="T28" s="1089">
        <f t="shared" si="26"/>
        <v>0</v>
      </c>
      <c r="U28" s="1089">
        <f t="shared" si="27"/>
        <v>0</v>
      </c>
    </row>
    <row r="29" spans="1:21">
      <c r="A29" s="1028">
        <v>23</v>
      </c>
      <c r="B29" s="1029" t="s">
        <v>124</v>
      </c>
      <c r="C29" s="1030">
        <f>'Table 8 2.1.12 MFP Funded'!L26</f>
        <v>78</v>
      </c>
      <c r="D29" s="1031">
        <f>'Table 3 Levels 1&amp;2'!AL30</f>
        <v>4809.0299298140199</v>
      </c>
      <c r="E29" s="1137">
        <f t="shared" si="14"/>
        <v>375104.33452549356</v>
      </c>
      <c r="F29" s="1137">
        <f t="shared" si="17"/>
        <v>46675.48348363788</v>
      </c>
      <c r="G29" s="1087">
        <f t="shared" si="15"/>
        <v>421779.81800913141</v>
      </c>
      <c r="H29" s="1147">
        <f t="shared" si="18"/>
        <v>-1054.4495450228285</v>
      </c>
      <c r="I29" s="1087">
        <f t="shared" si="19"/>
        <v>420725.36846410856</v>
      </c>
      <c r="J29" s="1087"/>
      <c r="K29" s="1087">
        <f t="shared" si="20"/>
        <v>420725.36846410856</v>
      </c>
      <c r="L29" s="1087">
        <f t="shared" si="21"/>
        <v>35060</v>
      </c>
      <c r="M29" s="1086">
        <f>'[8]FY2012-13 Initial'!$K30</f>
        <v>3295</v>
      </c>
      <c r="N29" s="1088">
        <f t="shared" si="16"/>
        <v>257010</v>
      </c>
      <c r="O29" s="1155">
        <f t="shared" si="22"/>
        <v>-642.52499999999998</v>
      </c>
      <c r="P29" s="1088">
        <f t="shared" si="23"/>
        <v>256367.47500000001</v>
      </c>
      <c r="Q29" s="1088"/>
      <c r="R29" s="1088">
        <f t="shared" si="24"/>
        <v>256367.47500000001</v>
      </c>
      <c r="S29" s="1088">
        <f t="shared" si="25"/>
        <v>21364</v>
      </c>
      <c r="T29" s="1089">
        <f t="shared" si="26"/>
        <v>677092.84346410853</v>
      </c>
      <c r="U29" s="1089">
        <f t="shared" si="27"/>
        <v>56424</v>
      </c>
    </row>
    <row r="30" spans="1:21">
      <c r="A30" s="1028">
        <v>24</v>
      </c>
      <c r="B30" s="1029" t="s">
        <v>125</v>
      </c>
      <c r="C30" s="1030">
        <f>'Table 8 2.1.12 MFP Funded'!L27</f>
        <v>0</v>
      </c>
      <c r="D30" s="1031">
        <f>'Table 3 Levels 1&amp;2'!AL31</f>
        <v>2649.7787452556372</v>
      </c>
      <c r="E30" s="1137">
        <f t="shared" si="14"/>
        <v>0</v>
      </c>
      <c r="F30" s="1137">
        <f t="shared" si="17"/>
        <v>0</v>
      </c>
      <c r="G30" s="1087">
        <f t="shared" si="15"/>
        <v>0</v>
      </c>
      <c r="H30" s="1147">
        <f t="shared" si="18"/>
        <v>0</v>
      </c>
      <c r="I30" s="1087">
        <f t="shared" si="19"/>
        <v>0</v>
      </c>
      <c r="J30" s="1087"/>
      <c r="K30" s="1087">
        <f t="shared" si="20"/>
        <v>0</v>
      </c>
      <c r="L30" s="1087">
        <f t="shared" si="21"/>
        <v>0</v>
      </c>
      <c r="M30" s="1086">
        <f>'[8]FY2012-13 Initial'!$K31</f>
        <v>8769</v>
      </c>
      <c r="N30" s="1088">
        <f t="shared" si="16"/>
        <v>0</v>
      </c>
      <c r="O30" s="1155">
        <f t="shared" si="22"/>
        <v>0</v>
      </c>
      <c r="P30" s="1088">
        <f t="shared" si="23"/>
        <v>0</v>
      </c>
      <c r="Q30" s="1088"/>
      <c r="R30" s="1088">
        <f t="shared" si="24"/>
        <v>0</v>
      </c>
      <c r="S30" s="1088">
        <f t="shared" si="25"/>
        <v>0</v>
      </c>
      <c r="T30" s="1089">
        <f t="shared" si="26"/>
        <v>0</v>
      </c>
      <c r="U30" s="1089">
        <f t="shared" si="27"/>
        <v>0</v>
      </c>
    </row>
    <row r="31" spans="1:21">
      <c r="A31" s="1032">
        <v>25</v>
      </c>
      <c r="B31" s="1033" t="s">
        <v>126</v>
      </c>
      <c r="C31" s="1034">
        <f>'Table 8 2.1.12 MFP Funded'!L28</f>
        <v>0</v>
      </c>
      <c r="D31" s="1035">
        <f>'Table 3 Levels 1&amp;2'!AL32</f>
        <v>3848.3923674564248</v>
      </c>
      <c r="E31" s="1138">
        <f t="shared" si="14"/>
        <v>0</v>
      </c>
      <c r="F31" s="1138">
        <f t="shared" si="17"/>
        <v>0</v>
      </c>
      <c r="G31" s="1090">
        <f t="shared" si="15"/>
        <v>0</v>
      </c>
      <c r="H31" s="1148">
        <f t="shared" si="18"/>
        <v>0</v>
      </c>
      <c r="I31" s="1090">
        <f t="shared" si="19"/>
        <v>0</v>
      </c>
      <c r="J31" s="1090"/>
      <c r="K31" s="1090">
        <f t="shared" si="20"/>
        <v>0</v>
      </c>
      <c r="L31" s="1090">
        <f t="shared" si="21"/>
        <v>0</v>
      </c>
      <c r="M31" s="1091">
        <f>'[8]FY2012-13 Initial'!$K32</f>
        <v>5187</v>
      </c>
      <c r="N31" s="1092">
        <f t="shared" si="16"/>
        <v>0</v>
      </c>
      <c r="O31" s="1156">
        <f t="shared" si="22"/>
        <v>0</v>
      </c>
      <c r="P31" s="1092">
        <f t="shared" si="23"/>
        <v>0</v>
      </c>
      <c r="Q31" s="1092"/>
      <c r="R31" s="1092">
        <f t="shared" si="24"/>
        <v>0</v>
      </c>
      <c r="S31" s="1092">
        <f t="shared" si="25"/>
        <v>0</v>
      </c>
      <c r="T31" s="1093">
        <f t="shared" si="26"/>
        <v>0</v>
      </c>
      <c r="U31" s="1093">
        <f t="shared" si="27"/>
        <v>0</v>
      </c>
    </row>
    <row r="32" spans="1:21">
      <c r="A32" s="1021">
        <v>26</v>
      </c>
      <c r="B32" s="1022" t="s">
        <v>127</v>
      </c>
      <c r="C32" s="1023">
        <f>'Table 8 2.1.12 MFP Funded'!L29</f>
        <v>0</v>
      </c>
      <c r="D32" s="1024">
        <f>'Table 3 Levels 1&amp;2'!AL33</f>
        <v>3145.9192082835102</v>
      </c>
      <c r="E32" s="1136">
        <f t="shared" si="14"/>
        <v>0</v>
      </c>
      <c r="F32" s="1136">
        <f t="shared" si="17"/>
        <v>0</v>
      </c>
      <c r="G32" s="1025">
        <f t="shared" si="15"/>
        <v>0</v>
      </c>
      <c r="H32" s="1146">
        <f t="shared" si="18"/>
        <v>0</v>
      </c>
      <c r="I32" s="1025">
        <f t="shared" si="19"/>
        <v>0</v>
      </c>
      <c r="J32" s="1025"/>
      <c r="K32" s="1025">
        <f t="shared" si="20"/>
        <v>0</v>
      </c>
      <c r="L32" s="1025">
        <f t="shared" si="21"/>
        <v>0</v>
      </c>
      <c r="M32" s="1086">
        <f>'[8]FY2012-13 Initial'!$K33</f>
        <v>5197</v>
      </c>
      <c r="N32" s="1026">
        <f t="shared" si="16"/>
        <v>0</v>
      </c>
      <c r="O32" s="1154">
        <f t="shared" si="22"/>
        <v>0</v>
      </c>
      <c r="P32" s="1026">
        <f t="shared" si="23"/>
        <v>0</v>
      </c>
      <c r="Q32" s="1026"/>
      <c r="R32" s="1026">
        <f t="shared" si="24"/>
        <v>0</v>
      </c>
      <c r="S32" s="1026">
        <f t="shared" si="25"/>
        <v>0</v>
      </c>
      <c r="T32" s="1027">
        <f t="shared" si="26"/>
        <v>0</v>
      </c>
      <c r="U32" s="1027">
        <f t="shared" si="27"/>
        <v>0</v>
      </c>
    </row>
    <row r="33" spans="1:21">
      <c r="A33" s="1028">
        <v>27</v>
      </c>
      <c r="B33" s="1029" t="s">
        <v>128</v>
      </c>
      <c r="C33" s="1036">
        <f>'Table 8 2.1.12 MFP Funded'!L30</f>
        <v>0</v>
      </c>
      <c r="D33" s="1037">
        <f>'Table 3 Levels 1&amp;2'!AL34</f>
        <v>5653.5502977926608</v>
      </c>
      <c r="E33" s="1139">
        <f t="shared" si="14"/>
        <v>0</v>
      </c>
      <c r="F33" s="1139">
        <f t="shared" si="17"/>
        <v>0</v>
      </c>
      <c r="G33" s="1094">
        <f t="shared" si="15"/>
        <v>0</v>
      </c>
      <c r="H33" s="1149">
        <f t="shared" si="18"/>
        <v>0</v>
      </c>
      <c r="I33" s="1094">
        <f t="shared" si="19"/>
        <v>0</v>
      </c>
      <c r="J33" s="1094"/>
      <c r="K33" s="1094">
        <f t="shared" si="20"/>
        <v>0</v>
      </c>
      <c r="L33" s="1094">
        <f t="shared" si="21"/>
        <v>0</v>
      </c>
      <c r="M33" s="1086">
        <f>'[8]FY2012-13 Initial'!$K34</f>
        <v>3073</v>
      </c>
      <c r="N33" s="1088">
        <f t="shared" si="16"/>
        <v>0</v>
      </c>
      <c r="O33" s="1155">
        <f t="shared" si="22"/>
        <v>0</v>
      </c>
      <c r="P33" s="1088">
        <f t="shared" si="23"/>
        <v>0</v>
      </c>
      <c r="Q33" s="1088"/>
      <c r="R33" s="1088">
        <f t="shared" si="24"/>
        <v>0</v>
      </c>
      <c r="S33" s="1088">
        <f t="shared" si="25"/>
        <v>0</v>
      </c>
      <c r="T33" s="1089">
        <f t="shared" si="26"/>
        <v>0</v>
      </c>
      <c r="U33" s="1089">
        <f t="shared" si="27"/>
        <v>0</v>
      </c>
    </row>
    <row r="34" spans="1:21">
      <c r="A34" s="1028">
        <v>28</v>
      </c>
      <c r="B34" s="1029" t="s">
        <v>129</v>
      </c>
      <c r="C34" s="1036">
        <f>'Table 8 2.1.12 MFP Funded'!L31</f>
        <v>1</v>
      </c>
      <c r="D34" s="1037">
        <f>'Table 3 Levels 1&amp;2'!AL35</f>
        <v>3200.5356505169011</v>
      </c>
      <c r="E34" s="1139">
        <f t="shared" si="14"/>
        <v>3200.5356505169011</v>
      </c>
      <c r="F34" s="1139">
        <f t="shared" si="17"/>
        <v>598.40363440561384</v>
      </c>
      <c r="G34" s="1094">
        <f t="shared" si="15"/>
        <v>3798.9392849225151</v>
      </c>
      <c r="H34" s="1149">
        <f t="shared" si="18"/>
        <v>-9.4973482123062887</v>
      </c>
      <c r="I34" s="1094">
        <f t="shared" si="19"/>
        <v>3789.4419367102087</v>
      </c>
      <c r="J34" s="1094"/>
      <c r="K34" s="1094">
        <f t="shared" si="20"/>
        <v>3789.4419367102087</v>
      </c>
      <c r="L34" s="1094">
        <f t="shared" si="21"/>
        <v>316</v>
      </c>
      <c r="M34" s="1086">
        <f>'[8]FY2012-13 Initial'!$K35</f>
        <v>5082</v>
      </c>
      <c r="N34" s="1088">
        <f t="shared" si="16"/>
        <v>5082</v>
      </c>
      <c r="O34" s="1155">
        <f t="shared" si="22"/>
        <v>-12.705</v>
      </c>
      <c r="P34" s="1088">
        <f t="shared" si="23"/>
        <v>5069.2950000000001</v>
      </c>
      <c r="Q34" s="1088"/>
      <c r="R34" s="1088">
        <f t="shared" si="24"/>
        <v>5069.2950000000001</v>
      </c>
      <c r="S34" s="1088">
        <f t="shared" si="25"/>
        <v>422</v>
      </c>
      <c r="T34" s="1089">
        <f t="shared" si="26"/>
        <v>8858.7369367102092</v>
      </c>
      <c r="U34" s="1089">
        <f t="shared" si="27"/>
        <v>738</v>
      </c>
    </row>
    <row r="35" spans="1:21">
      <c r="A35" s="1028">
        <v>29</v>
      </c>
      <c r="B35" s="1029" t="s">
        <v>130</v>
      </c>
      <c r="C35" s="1036">
        <f>'Table 8 2.1.12 MFP Funded'!L32</f>
        <v>0</v>
      </c>
      <c r="D35" s="1037">
        <f>'Table 3 Levels 1&amp;2'!AL36</f>
        <v>3945.0399545376122</v>
      </c>
      <c r="E35" s="1139">
        <f t="shared" si="14"/>
        <v>0</v>
      </c>
      <c r="F35" s="1139">
        <f t="shared" si="17"/>
        <v>0</v>
      </c>
      <c r="G35" s="1094">
        <f t="shared" si="15"/>
        <v>0</v>
      </c>
      <c r="H35" s="1149">
        <f t="shared" si="18"/>
        <v>0</v>
      </c>
      <c r="I35" s="1094">
        <f t="shared" si="19"/>
        <v>0</v>
      </c>
      <c r="J35" s="1094"/>
      <c r="K35" s="1094">
        <f t="shared" si="20"/>
        <v>0</v>
      </c>
      <c r="L35" s="1094">
        <f t="shared" si="21"/>
        <v>0</v>
      </c>
      <c r="M35" s="1086">
        <f>'[8]FY2012-13 Initial'!$K36</f>
        <v>4295</v>
      </c>
      <c r="N35" s="1088">
        <f t="shared" si="16"/>
        <v>0</v>
      </c>
      <c r="O35" s="1155">
        <f t="shared" si="22"/>
        <v>0</v>
      </c>
      <c r="P35" s="1088">
        <f t="shared" si="23"/>
        <v>0</v>
      </c>
      <c r="Q35" s="1088"/>
      <c r="R35" s="1088">
        <f t="shared" si="24"/>
        <v>0</v>
      </c>
      <c r="S35" s="1088">
        <f t="shared" si="25"/>
        <v>0</v>
      </c>
      <c r="T35" s="1089">
        <f t="shared" si="26"/>
        <v>0</v>
      </c>
      <c r="U35" s="1089">
        <f t="shared" si="27"/>
        <v>0</v>
      </c>
    </row>
    <row r="36" spans="1:21">
      <c r="A36" s="1032">
        <v>30</v>
      </c>
      <c r="B36" s="1033" t="s">
        <v>131</v>
      </c>
      <c r="C36" s="1038">
        <f>'Table 8 2.1.12 MFP Funded'!L33</f>
        <v>0</v>
      </c>
      <c r="D36" s="1039">
        <f>'Table 3 Levels 1&amp;2'!AL37</f>
        <v>5594.8916667625617</v>
      </c>
      <c r="E36" s="1140">
        <f t="shared" si="14"/>
        <v>0</v>
      </c>
      <c r="F36" s="1140">
        <f t="shared" si="17"/>
        <v>0</v>
      </c>
      <c r="G36" s="1095">
        <f t="shared" si="15"/>
        <v>0</v>
      </c>
      <c r="H36" s="1150">
        <f t="shared" si="18"/>
        <v>0</v>
      </c>
      <c r="I36" s="1095">
        <f t="shared" si="19"/>
        <v>0</v>
      </c>
      <c r="J36" s="1095"/>
      <c r="K36" s="1095">
        <f t="shared" si="20"/>
        <v>0</v>
      </c>
      <c r="L36" s="1095">
        <f t="shared" si="21"/>
        <v>0</v>
      </c>
      <c r="M36" s="1091">
        <f>'[8]FY2012-13 Initial'!$K37</f>
        <v>3553</v>
      </c>
      <c r="N36" s="1092">
        <f t="shared" si="16"/>
        <v>0</v>
      </c>
      <c r="O36" s="1156">
        <f t="shared" si="22"/>
        <v>0</v>
      </c>
      <c r="P36" s="1092">
        <f t="shared" si="23"/>
        <v>0</v>
      </c>
      <c r="Q36" s="1092"/>
      <c r="R36" s="1092">
        <f t="shared" si="24"/>
        <v>0</v>
      </c>
      <c r="S36" s="1092">
        <f t="shared" si="25"/>
        <v>0</v>
      </c>
      <c r="T36" s="1093">
        <f t="shared" si="26"/>
        <v>0</v>
      </c>
      <c r="U36" s="1093">
        <f t="shared" si="27"/>
        <v>0</v>
      </c>
    </row>
    <row r="37" spans="1:21">
      <c r="A37" s="1021">
        <v>31</v>
      </c>
      <c r="B37" s="1022" t="s">
        <v>132</v>
      </c>
      <c r="C37" s="1040">
        <f>'Table 8 2.1.12 MFP Funded'!L34</f>
        <v>0</v>
      </c>
      <c r="D37" s="1041">
        <f>'Table 3 Levels 1&amp;2'!AL38</f>
        <v>4159.5846806435638</v>
      </c>
      <c r="E37" s="1141">
        <f t="shared" si="14"/>
        <v>0</v>
      </c>
      <c r="F37" s="1141">
        <f t="shared" si="17"/>
        <v>0</v>
      </c>
      <c r="G37" s="1096">
        <f t="shared" si="15"/>
        <v>0</v>
      </c>
      <c r="H37" s="1151">
        <f t="shared" si="18"/>
        <v>0</v>
      </c>
      <c r="I37" s="1096">
        <f t="shared" si="19"/>
        <v>0</v>
      </c>
      <c r="J37" s="1096"/>
      <c r="K37" s="1096">
        <f t="shared" si="20"/>
        <v>0</v>
      </c>
      <c r="L37" s="1096">
        <f t="shared" si="21"/>
        <v>0</v>
      </c>
      <c r="M37" s="1086">
        <f>'[8]FY2012-13 Initial'!$K38</f>
        <v>4719</v>
      </c>
      <c r="N37" s="1026">
        <f t="shared" si="16"/>
        <v>0</v>
      </c>
      <c r="O37" s="1154">
        <f t="shared" si="22"/>
        <v>0</v>
      </c>
      <c r="P37" s="1026">
        <f t="shared" si="23"/>
        <v>0</v>
      </c>
      <c r="Q37" s="1026"/>
      <c r="R37" s="1026">
        <f t="shared" si="24"/>
        <v>0</v>
      </c>
      <c r="S37" s="1026">
        <f t="shared" si="25"/>
        <v>0</v>
      </c>
      <c r="T37" s="1027">
        <f t="shared" si="26"/>
        <v>0</v>
      </c>
      <c r="U37" s="1027">
        <f t="shared" si="27"/>
        <v>0</v>
      </c>
    </row>
    <row r="38" spans="1:21">
      <c r="A38" s="1028">
        <v>32</v>
      </c>
      <c r="B38" s="1029" t="s">
        <v>133</v>
      </c>
      <c r="C38" s="1036">
        <f>'Table 8 2.1.12 MFP Funded'!L35</f>
        <v>0</v>
      </c>
      <c r="D38" s="1037">
        <f>'Table 3 Levels 1&amp;2'!AL39</f>
        <v>5475.1436637248598</v>
      </c>
      <c r="E38" s="1139">
        <f t="shared" si="14"/>
        <v>0</v>
      </c>
      <c r="F38" s="1139">
        <f t="shared" si="17"/>
        <v>0</v>
      </c>
      <c r="G38" s="1094">
        <f t="shared" si="15"/>
        <v>0</v>
      </c>
      <c r="H38" s="1149">
        <f t="shared" si="18"/>
        <v>0</v>
      </c>
      <c r="I38" s="1094">
        <f t="shared" si="19"/>
        <v>0</v>
      </c>
      <c r="J38" s="1094"/>
      <c r="K38" s="1094">
        <f t="shared" si="20"/>
        <v>0</v>
      </c>
      <c r="L38" s="1094">
        <f t="shared" si="21"/>
        <v>0</v>
      </c>
      <c r="M38" s="1086">
        <f>'[8]FY2012-13 Initial'!$K39</f>
        <v>1979</v>
      </c>
      <c r="N38" s="1088">
        <f t="shared" si="16"/>
        <v>0</v>
      </c>
      <c r="O38" s="1155">
        <f t="shared" si="22"/>
        <v>0</v>
      </c>
      <c r="P38" s="1088">
        <f t="shared" si="23"/>
        <v>0</v>
      </c>
      <c r="Q38" s="1088"/>
      <c r="R38" s="1088">
        <f t="shared" si="24"/>
        <v>0</v>
      </c>
      <c r="S38" s="1088">
        <f t="shared" si="25"/>
        <v>0</v>
      </c>
      <c r="T38" s="1089">
        <f t="shared" si="26"/>
        <v>0</v>
      </c>
      <c r="U38" s="1089">
        <f t="shared" si="27"/>
        <v>0</v>
      </c>
    </row>
    <row r="39" spans="1:21">
      <c r="A39" s="1028">
        <v>33</v>
      </c>
      <c r="B39" s="1029" t="s">
        <v>134</v>
      </c>
      <c r="C39" s="1036">
        <f>'Table 8 2.1.12 MFP Funded'!L36</f>
        <v>0</v>
      </c>
      <c r="D39" s="1037">
        <f>'Table 3 Levels 1&amp;2'!AL40</f>
        <v>5397.5678422891451</v>
      </c>
      <c r="E39" s="1139">
        <f t="shared" ref="E39:E70" si="28">D39*C39</f>
        <v>0</v>
      </c>
      <c r="F39" s="1139">
        <f t="shared" si="17"/>
        <v>0</v>
      </c>
      <c r="G39" s="1094">
        <f t="shared" ref="G39:G70" si="29">E39+F39</f>
        <v>0</v>
      </c>
      <c r="H39" s="1149">
        <f t="shared" si="18"/>
        <v>0</v>
      </c>
      <c r="I39" s="1094">
        <f t="shared" si="19"/>
        <v>0</v>
      </c>
      <c r="J39" s="1094"/>
      <c r="K39" s="1094">
        <f t="shared" si="20"/>
        <v>0</v>
      </c>
      <c r="L39" s="1094">
        <f t="shared" si="21"/>
        <v>0</v>
      </c>
      <c r="M39" s="1086">
        <f>'[8]FY2012-13 Initial'!$K40</f>
        <v>3055</v>
      </c>
      <c r="N39" s="1088">
        <f t="shared" ref="N39:N70" si="30">M39*C39</f>
        <v>0</v>
      </c>
      <c r="O39" s="1155">
        <f t="shared" si="22"/>
        <v>0</v>
      </c>
      <c r="P39" s="1088">
        <f t="shared" si="23"/>
        <v>0</v>
      </c>
      <c r="Q39" s="1088"/>
      <c r="R39" s="1088">
        <f t="shared" si="24"/>
        <v>0</v>
      </c>
      <c r="S39" s="1088">
        <f t="shared" si="25"/>
        <v>0</v>
      </c>
      <c r="T39" s="1089">
        <f t="shared" si="26"/>
        <v>0</v>
      </c>
      <c r="U39" s="1089">
        <f t="shared" si="27"/>
        <v>0</v>
      </c>
    </row>
    <row r="40" spans="1:21">
      <c r="A40" s="1028">
        <v>34</v>
      </c>
      <c r="B40" s="1029" t="s">
        <v>135</v>
      </c>
      <c r="C40" s="1036">
        <f>'Table 8 2.1.12 MFP Funded'!L37</f>
        <v>0</v>
      </c>
      <c r="D40" s="1037">
        <f>'Table 3 Levels 1&amp;2'!AL41</f>
        <v>5843.9642210290731</v>
      </c>
      <c r="E40" s="1139">
        <f t="shared" si="28"/>
        <v>0</v>
      </c>
      <c r="F40" s="1139">
        <f t="shared" si="17"/>
        <v>0</v>
      </c>
      <c r="G40" s="1094">
        <f t="shared" si="29"/>
        <v>0</v>
      </c>
      <c r="H40" s="1149">
        <f t="shared" si="18"/>
        <v>0</v>
      </c>
      <c r="I40" s="1094">
        <f t="shared" si="19"/>
        <v>0</v>
      </c>
      <c r="J40" s="1094"/>
      <c r="K40" s="1094">
        <f t="shared" si="20"/>
        <v>0</v>
      </c>
      <c r="L40" s="1094">
        <f t="shared" si="21"/>
        <v>0</v>
      </c>
      <c r="M40" s="1086">
        <f>'[8]FY2012-13 Initial'!$K41</f>
        <v>2782</v>
      </c>
      <c r="N40" s="1088">
        <f t="shared" si="30"/>
        <v>0</v>
      </c>
      <c r="O40" s="1155">
        <f t="shared" si="22"/>
        <v>0</v>
      </c>
      <c r="P40" s="1088">
        <f t="shared" si="23"/>
        <v>0</v>
      </c>
      <c r="Q40" s="1088"/>
      <c r="R40" s="1088">
        <f t="shared" si="24"/>
        <v>0</v>
      </c>
      <c r="S40" s="1088">
        <f t="shared" si="25"/>
        <v>0</v>
      </c>
      <c r="T40" s="1089">
        <f t="shared" si="26"/>
        <v>0</v>
      </c>
      <c r="U40" s="1089">
        <f t="shared" si="27"/>
        <v>0</v>
      </c>
    </row>
    <row r="41" spans="1:21">
      <c r="A41" s="1032">
        <v>35</v>
      </c>
      <c r="B41" s="1033" t="s">
        <v>136</v>
      </c>
      <c r="C41" s="1038">
        <f>'Table 8 2.1.12 MFP Funded'!L38</f>
        <v>0</v>
      </c>
      <c r="D41" s="1039">
        <f>'Table 3 Levels 1&amp;2'!AL42</f>
        <v>4830.9633412658623</v>
      </c>
      <c r="E41" s="1140">
        <f t="shared" si="28"/>
        <v>0</v>
      </c>
      <c r="F41" s="1140">
        <f t="shared" si="17"/>
        <v>0</v>
      </c>
      <c r="G41" s="1095">
        <f t="shared" si="29"/>
        <v>0</v>
      </c>
      <c r="H41" s="1150">
        <f t="shared" si="18"/>
        <v>0</v>
      </c>
      <c r="I41" s="1095">
        <f t="shared" si="19"/>
        <v>0</v>
      </c>
      <c r="J41" s="1095"/>
      <c r="K41" s="1095">
        <f t="shared" si="20"/>
        <v>0</v>
      </c>
      <c r="L41" s="1095">
        <f t="shared" si="21"/>
        <v>0</v>
      </c>
      <c r="M41" s="1091">
        <f>'[8]FY2012-13 Initial'!$K42</f>
        <v>3175</v>
      </c>
      <c r="N41" s="1092">
        <f t="shared" si="30"/>
        <v>0</v>
      </c>
      <c r="O41" s="1156">
        <f t="shared" si="22"/>
        <v>0</v>
      </c>
      <c r="P41" s="1092">
        <f t="shared" si="23"/>
        <v>0</v>
      </c>
      <c r="Q41" s="1092"/>
      <c r="R41" s="1092">
        <f t="shared" si="24"/>
        <v>0</v>
      </c>
      <c r="S41" s="1092">
        <f t="shared" si="25"/>
        <v>0</v>
      </c>
      <c r="T41" s="1093">
        <f t="shared" si="26"/>
        <v>0</v>
      </c>
      <c r="U41" s="1093">
        <f t="shared" si="27"/>
        <v>0</v>
      </c>
    </row>
    <row r="42" spans="1:21">
      <c r="A42" s="1021">
        <v>36</v>
      </c>
      <c r="B42" s="1022" t="s">
        <v>137</v>
      </c>
      <c r="C42" s="1040">
        <f>'Table 8 2.1.12 MFP Funded'!L39</f>
        <v>0</v>
      </c>
      <c r="D42" s="1041">
        <f>'Table 3 Levels 1&amp;2'!AL43</f>
        <v>3493.4615493208294</v>
      </c>
      <c r="E42" s="1141">
        <f t="shared" si="28"/>
        <v>0</v>
      </c>
      <c r="F42" s="1141">
        <f t="shared" si="17"/>
        <v>0</v>
      </c>
      <c r="G42" s="1096">
        <f t="shared" si="29"/>
        <v>0</v>
      </c>
      <c r="H42" s="1151">
        <f t="shared" si="18"/>
        <v>0</v>
      </c>
      <c r="I42" s="1096">
        <f t="shared" si="19"/>
        <v>0</v>
      </c>
      <c r="J42" s="1096"/>
      <c r="K42" s="1096">
        <f t="shared" si="20"/>
        <v>0</v>
      </c>
      <c r="L42" s="1096">
        <f t="shared" si="21"/>
        <v>0</v>
      </c>
      <c r="M42" s="1086">
        <f>'[8]FY2012-13 Initial'!$K43</f>
        <v>4785</v>
      </c>
      <c r="N42" s="1026">
        <f t="shared" si="30"/>
        <v>0</v>
      </c>
      <c r="O42" s="1154">
        <f t="shared" si="22"/>
        <v>0</v>
      </c>
      <c r="P42" s="1026">
        <f t="shared" si="23"/>
        <v>0</v>
      </c>
      <c r="Q42" s="1026"/>
      <c r="R42" s="1026">
        <f t="shared" si="24"/>
        <v>0</v>
      </c>
      <c r="S42" s="1026">
        <f t="shared" si="25"/>
        <v>0</v>
      </c>
      <c r="T42" s="1027">
        <f t="shared" si="26"/>
        <v>0</v>
      </c>
      <c r="U42" s="1027">
        <f t="shared" si="27"/>
        <v>0</v>
      </c>
    </row>
    <row r="43" spans="1:21">
      <c r="A43" s="1028">
        <v>37</v>
      </c>
      <c r="B43" s="1029" t="s">
        <v>138</v>
      </c>
      <c r="C43" s="1036">
        <f>'Table 8 2.1.12 MFP Funded'!L40</f>
        <v>0</v>
      </c>
      <c r="D43" s="1037">
        <f>'Table 3 Levels 1&amp;2'!AL44</f>
        <v>5484.3026094077886</v>
      </c>
      <c r="E43" s="1139">
        <f t="shared" si="28"/>
        <v>0</v>
      </c>
      <c r="F43" s="1139">
        <f t="shared" si="17"/>
        <v>0</v>
      </c>
      <c r="G43" s="1094">
        <f t="shared" si="29"/>
        <v>0</v>
      </c>
      <c r="H43" s="1149">
        <f t="shared" si="18"/>
        <v>0</v>
      </c>
      <c r="I43" s="1094">
        <f t="shared" si="19"/>
        <v>0</v>
      </c>
      <c r="J43" s="1094"/>
      <c r="K43" s="1094">
        <f t="shared" si="20"/>
        <v>0</v>
      </c>
      <c r="L43" s="1094">
        <f t="shared" si="21"/>
        <v>0</v>
      </c>
      <c r="M43" s="1086">
        <f>'[8]FY2012-13 Initial'!$K44</f>
        <v>3112</v>
      </c>
      <c r="N43" s="1088">
        <f t="shared" si="30"/>
        <v>0</v>
      </c>
      <c r="O43" s="1155">
        <f t="shared" si="22"/>
        <v>0</v>
      </c>
      <c r="P43" s="1088">
        <f t="shared" si="23"/>
        <v>0</v>
      </c>
      <c r="Q43" s="1088"/>
      <c r="R43" s="1088">
        <f t="shared" si="24"/>
        <v>0</v>
      </c>
      <c r="S43" s="1088">
        <f t="shared" si="25"/>
        <v>0</v>
      </c>
      <c r="T43" s="1089">
        <f t="shared" si="26"/>
        <v>0</v>
      </c>
      <c r="U43" s="1089">
        <f t="shared" si="27"/>
        <v>0</v>
      </c>
    </row>
    <row r="44" spans="1:21">
      <c r="A44" s="1028">
        <v>38</v>
      </c>
      <c r="B44" s="1029" t="s">
        <v>139</v>
      </c>
      <c r="C44" s="1036">
        <f>'Table 8 2.1.12 MFP Funded'!L41</f>
        <v>0</v>
      </c>
      <c r="D44" s="1037">
        <f>'Table 3 Levels 1&amp;2'!AL45</f>
        <v>2191.7415364583335</v>
      </c>
      <c r="E44" s="1139">
        <f t="shared" si="28"/>
        <v>0</v>
      </c>
      <c r="F44" s="1139">
        <f t="shared" si="17"/>
        <v>0</v>
      </c>
      <c r="G44" s="1094">
        <f t="shared" si="29"/>
        <v>0</v>
      </c>
      <c r="H44" s="1149">
        <f t="shared" si="18"/>
        <v>0</v>
      </c>
      <c r="I44" s="1094">
        <f t="shared" si="19"/>
        <v>0</v>
      </c>
      <c r="J44" s="1094"/>
      <c r="K44" s="1094">
        <f t="shared" si="20"/>
        <v>0</v>
      </c>
      <c r="L44" s="1094">
        <f t="shared" si="21"/>
        <v>0</v>
      </c>
      <c r="M44" s="1086">
        <f>'[8]FY2012-13 Initial'!$K45</f>
        <v>9771</v>
      </c>
      <c r="N44" s="1088">
        <f t="shared" si="30"/>
        <v>0</v>
      </c>
      <c r="O44" s="1155">
        <f t="shared" si="22"/>
        <v>0</v>
      </c>
      <c r="P44" s="1088">
        <f t="shared" si="23"/>
        <v>0</v>
      </c>
      <c r="Q44" s="1088"/>
      <c r="R44" s="1088">
        <f t="shared" si="24"/>
        <v>0</v>
      </c>
      <c r="S44" s="1088">
        <f t="shared" si="25"/>
        <v>0</v>
      </c>
      <c r="T44" s="1089">
        <f t="shared" si="26"/>
        <v>0</v>
      </c>
      <c r="U44" s="1089">
        <f t="shared" si="27"/>
        <v>0</v>
      </c>
    </row>
    <row r="45" spans="1:21">
      <c r="A45" s="1028">
        <v>39</v>
      </c>
      <c r="B45" s="1029" t="s">
        <v>140</v>
      </c>
      <c r="C45" s="1036">
        <f>'Table 8 2.1.12 MFP Funded'!L42</f>
        <v>0</v>
      </c>
      <c r="D45" s="1037">
        <f>'Table 3 Levels 1&amp;2'!AL46</f>
        <v>3686.1886996918806</v>
      </c>
      <c r="E45" s="1139">
        <f t="shared" si="28"/>
        <v>0</v>
      </c>
      <c r="F45" s="1139">
        <f t="shared" si="17"/>
        <v>0</v>
      </c>
      <c r="G45" s="1094">
        <f t="shared" si="29"/>
        <v>0</v>
      </c>
      <c r="H45" s="1149">
        <f t="shared" si="18"/>
        <v>0</v>
      </c>
      <c r="I45" s="1094">
        <f t="shared" si="19"/>
        <v>0</v>
      </c>
      <c r="J45" s="1094"/>
      <c r="K45" s="1094">
        <f t="shared" si="20"/>
        <v>0</v>
      </c>
      <c r="L45" s="1094">
        <f t="shared" si="21"/>
        <v>0</v>
      </c>
      <c r="M45" s="1086">
        <f>'[8]FY2012-13 Initial'!$K46</f>
        <v>4190</v>
      </c>
      <c r="N45" s="1088">
        <f t="shared" si="30"/>
        <v>0</v>
      </c>
      <c r="O45" s="1155">
        <f t="shared" si="22"/>
        <v>0</v>
      </c>
      <c r="P45" s="1088">
        <f t="shared" si="23"/>
        <v>0</v>
      </c>
      <c r="Q45" s="1088"/>
      <c r="R45" s="1088">
        <f t="shared" si="24"/>
        <v>0</v>
      </c>
      <c r="S45" s="1088">
        <f t="shared" si="25"/>
        <v>0</v>
      </c>
      <c r="T45" s="1089">
        <f t="shared" si="26"/>
        <v>0</v>
      </c>
      <c r="U45" s="1089">
        <f t="shared" si="27"/>
        <v>0</v>
      </c>
    </row>
    <row r="46" spans="1:21">
      <c r="A46" s="1032">
        <v>40</v>
      </c>
      <c r="B46" s="1033" t="s">
        <v>141</v>
      </c>
      <c r="C46" s="1038">
        <f>'Table 8 2.1.12 MFP Funded'!L43</f>
        <v>0</v>
      </c>
      <c r="D46" s="1039">
        <f>'Table 3 Levels 1&amp;2'!AL47</f>
        <v>4879.0185326187402</v>
      </c>
      <c r="E46" s="1140">
        <f t="shared" si="28"/>
        <v>0</v>
      </c>
      <c r="F46" s="1140">
        <f t="shared" si="17"/>
        <v>0</v>
      </c>
      <c r="G46" s="1095">
        <f t="shared" si="29"/>
        <v>0</v>
      </c>
      <c r="H46" s="1150">
        <f t="shared" si="18"/>
        <v>0</v>
      </c>
      <c r="I46" s="1095">
        <f t="shared" si="19"/>
        <v>0</v>
      </c>
      <c r="J46" s="1095"/>
      <c r="K46" s="1095">
        <f t="shared" si="20"/>
        <v>0</v>
      </c>
      <c r="L46" s="1095">
        <f t="shared" si="21"/>
        <v>0</v>
      </c>
      <c r="M46" s="1091">
        <f>'[8]FY2012-13 Initial'!$K47</f>
        <v>2887</v>
      </c>
      <c r="N46" s="1092">
        <f t="shared" si="30"/>
        <v>0</v>
      </c>
      <c r="O46" s="1156">
        <f t="shared" si="22"/>
        <v>0</v>
      </c>
      <c r="P46" s="1092">
        <f t="shared" si="23"/>
        <v>0</v>
      </c>
      <c r="Q46" s="1092"/>
      <c r="R46" s="1092">
        <f t="shared" si="24"/>
        <v>0</v>
      </c>
      <c r="S46" s="1092">
        <f t="shared" si="25"/>
        <v>0</v>
      </c>
      <c r="T46" s="1093">
        <f t="shared" si="26"/>
        <v>0</v>
      </c>
      <c r="U46" s="1093">
        <f t="shared" si="27"/>
        <v>0</v>
      </c>
    </row>
    <row r="47" spans="1:21">
      <c r="A47" s="1021">
        <v>41</v>
      </c>
      <c r="B47" s="1022" t="s">
        <v>142</v>
      </c>
      <c r="C47" s="1040">
        <f>'Table 8 2.1.12 MFP Funded'!L44</f>
        <v>0</v>
      </c>
      <c r="D47" s="1041">
        <f>'Table 3 Levels 1&amp;2'!AL48</f>
        <v>1608.4303482587065</v>
      </c>
      <c r="E47" s="1141">
        <f t="shared" si="28"/>
        <v>0</v>
      </c>
      <c r="F47" s="1141">
        <f t="shared" si="17"/>
        <v>0</v>
      </c>
      <c r="G47" s="1096">
        <f t="shared" si="29"/>
        <v>0</v>
      </c>
      <c r="H47" s="1151">
        <f t="shared" si="18"/>
        <v>0</v>
      </c>
      <c r="I47" s="1096">
        <f t="shared" si="19"/>
        <v>0</v>
      </c>
      <c r="J47" s="1096"/>
      <c r="K47" s="1096">
        <f t="shared" si="20"/>
        <v>0</v>
      </c>
      <c r="L47" s="1096">
        <f t="shared" si="21"/>
        <v>0</v>
      </c>
      <c r="M47" s="1086">
        <f>'[8]FY2012-13 Initial'!$K48</f>
        <v>12470</v>
      </c>
      <c r="N47" s="1026">
        <f t="shared" si="30"/>
        <v>0</v>
      </c>
      <c r="O47" s="1154">
        <f t="shared" si="22"/>
        <v>0</v>
      </c>
      <c r="P47" s="1026">
        <f t="shared" si="23"/>
        <v>0</v>
      </c>
      <c r="Q47" s="1026"/>
      <c r="R47" s="1026">
        <f t="shared" si="24"/>
        <v>0</v>
      </c>
      <c r="S47" s="1026">
        <f t="shared" si="25"/>
        <v>0</v>
      </c>
      <c r="T47" s="1027">
        <f t="shared" si="26"/>
        <v>0</v>
      </c>
      <c r="U47" s="1027">
        <f t="shared" si="27"/>
        <v>0</v>
      </c>
    </row>
    <row r="48" spans="1:21">
      <c r="A48" s="1028">
        <v>42</v>
      </c>
      <c r="B48" s="1029" t="s">
        <v>143</v>
      </c>
      <c r="C48" s="1036">
        <f>'Table 8 2.1.12 MFP Funded'!L45</f>
        <v>0</v>
      </c>
      <c r="D48" s="1037">
        <f>'Table 3 Levels 1&amp;2'!AL49</f>
        <v>5260.3047779801664</v>
      </c>
      <c r="E48" s="1139">
        <f t="shared" si="28"/>
        <v>0</v>
      </c>
      <c r="F48" s="1139">
        <f t="shared" si="17"/>
        <v>0</v>
      </c>
      <c r="G48" s="1094">
        <f t="shared" si="29"/>
        <v>0</v>
      </c>
      <c r="H48" s="1149">
        <f t="shared" si="18"/>
        <v>0</v>
      </c>
      <c r="I48" s="1094">
        <f t="shared" si="19"/>
        <v>0</v>
      </c>
      <c r="J48" s="1094"/>
      <c r="K48" s="1094">
        <f t="shared" si="20"/>
        <v>0</v>
      </c>
      <c r="L48" s="1094">
        <f t="shared" si="21"/>
        <v>0</v>
      </c>
      <c r="M48" s="1086">
        <f>'[8]FY2012-13 Initial'!$K49</f>
        <v>2353</v>
      </c>
      <c r="N48" s="1088">
        <f t="shared" si="30"/>
        <v>0</v>
      </c>
      <c r="O48" s="1155">
        <f t="shared" si="22"/>
        <v>0</v>
      </c>
      <c r="P48" s="1088">
        <f t="shared" si="23"/>
        <v>0</v>
      </c>
      <c r="Q48" s="1088"/>
      <c r="R48" s="1088">
        <f t="shared" si="24"/>
        <v>0</v>
      </c>
      <c r="S48" s="1088">
        <f t="shared" si="25"/>
        <v>0</v>
      </c>
      <c r="T48" s="1089">
        <f t="shared" si="26"/>
        <v>0</v>
      </c>
      <c r="U48" s="1089">
        <f t="shared" si="27"/>
        <v>0</v>
      </c>
    </row>
    <row r="49" spans="1:21">
      <c r="A49" s="1028">
        <v>43</v>
      </c>
      <c r="B49" s="1029" t="s">
        <v>144</v>
      </c>
      <c r="C49" s="1036">
        <f>'Table 8 2.1.12 MFP Funded'!L46</f>
        <v>0</v>
      </c>
      <c r="D49" s="1037">
        <f>'Table 3 Levels 1&amp;2'!AL50</f>
        <v>5587.3492327608728</v>
      </c>
      <c r="E49" s="1139">
        <f t="shared" si="28"/>
        <v>0</v>
      </c>
      <c r="F49" s="1139">
        <f t="shared" si="17"/>
        <v>0</v>
      </c>
      <c r="G49" s="1094">
        <f t="shared" si="29"/>
        <v>0</v>
      </c>
      <c r="H49" s="1149">
        <f t="shared" si="18"/>
        <v>0</v>
      </c>
      <c r="I49" s="1094">
        <f t="shared" si="19"/>
        <v>0</v>
      </c>
      <c r="J49" s="1094"/>
      <c r="K49" s="1094">
        <f t="shared" si="20"/>
        <v>0</v>
      </c>
      <c r="L49" s="1094">
        <f t="shared" si="21"/>
        <v>0</v>
      </c>
      <c r="M49" s="1086">
        <f>'[8]FY2012-13 Initial'!$K50</f>
        <v>5599</v>
      </c>
      <c r="N49" s="1088">
        <f t="shared" si="30"/>
        <v>0</v>
      </c>
      <c r="O49" s="1155">
        <f t="shared" si="22"/>
        <v>0</v>
      </c>
      <c r="P49" s="1088">
        <f t="shared" si="23"/>
        <v>0</v>
      </c>
      <c r="Q49" s="1088"/>
      <c r="R49" s="1088">
        <f t="shared" si="24"/>
        <v>0</v>
      </c>
      <c r="S49" s="1088">
        <f t="shared" si="25"/>
        <v>0</v>
      </c>
      <c r="T49" s="1089">
        <f t="shared" si="26"/>
        <v>0</v>
      </c>
      <c r="U49" s="1089">
        <f t="shared" si="27"/>
        <v>0</v>
      </c>
    </row>
    <row r="50" spans="1:21">
      <c r="A50" s="1028">
        <v>44</v>
      </c>
      <c r="B50" s="1029" t="s">
        <v>145</v>
      </c>
      <c r="C50" s="1036">
        <f>'Table 8 2.1.12 MFP Funded'!L47</f>
        <v>0</v>
      </c>
      <c r="D50" s="1037">
        <f>'Table 3 Levels 1&amp;2'!AL51</f>
        <v>4113.1787591918992</v>
      </c>
      <c r="E50" s="1139">
        <f t="shared" si="28"/>
        <v>0</v>
      </c>
      <c r="F50" s="1139">
        <f t="shared" si="17"/>
        <v>0</v>
      </c>
      <c r="G50" s="1094">
        <f t="shared" si="29"/>
        <v>0</v>
      </c>
      <c r="H50" s="1149">
        <f t="shared" si="18"/>
        <v>0</v>
      </c>
      <c r="I50" s="1094">
        <f t="shared" si="19"/>
        <v>0</v>
      </c>
      <c r="J50" s="1094"/>
      <c r="K50" s="1094">
        <f t="shared" si="20"/>
        <v>0</v>
      </c>
      <c r="L50" s="1094">
        <f t="shared" si="21"/>
        <v>0</v>
      </c>
      <c r="M50" s="1086">
        <f>'[8]FY2012-13 Initial'!$K51</f>
        <v>4661</v>
      </c>
      <c r="N50" s="1088">
        <f t="shared" si="30"/>
        <v>0</v>
      </c>
      <c r="O50" s="1155">
        <f t="shared" si="22"/>
        <v>0</v>
      </c>
      <c r="P50" s="1088">
        <f t="shared" si="23"/>
        <v>0</v>
      </c>
      <c r="Q50" s="1088"/>
      <c r="R50" s="1088">
        <f t="shared" si="24"/>
        <v>0</v>
      </c>
      <c r="S50" s="1088">
        <f t="shared" si="25"/>
        <v>0</v>
      </c>
      <c r="T50" s="1089">
        <f t="shared" si="26"/>
        <v>0</v>
      </c>
      <c r="U50" s="1089">
        <f t="shared" si="27"/>
        <v>0</v>
      </c>
    </row>
    <row r="51" spans="1:21">
      <c r="A51" s="1032">
        <v>45</v>
      </c>
      <c r="B51" s="1033" t="s">
        <v>146</v>
      </c>
      <c r="C51" s="1038">
        <f>'Table 8 2.1.12 MFP Funded'!L48</f>
        <v>0</v>
      </c>
      <c r="D51" s="1039">
        <f>'Table 3 Levels 1&amp;2'!AL52</f>
        <v>2414.8479898164846</v>
      </c>
      <c r="E51" s="1140">
        <f t="shared" si="28"/>
        <v>0</v>
      </c>
      <c r="F51" s="1140">
        <f t="shared" si="17"/>
        <v>0</v>
      </c>
      <c r="G51" s="1095">
        <f t="shared" si="29"/>
        <v>0</v>
      </c>
      <c r="H51" s="1150">
        <f t="shared" si="18"/>
        <v>0</v>
      </c>
      <c r="I51" s="1095">
        <f t="shared" si="19"/>
        <v>0</v>
      </c>
      <c r="J51" s="1095"/>
      <c r="K51" s="1095">
        <f t="shared" si="20"/>
        <v>0</v>
      </c>
      <c r="L51" s="1095">
        <f t="shared" si="21"/>
        <v>0</v>
      </c>
      <c r="M51" s="1091">
        <f>'[8]FY2012-13 Initial'!$K52</f>
        <v>11650</v>
      </c>
      <c r="N51" s="1092">
        <f t="shared" si="30"/>
        <v>0</v>
      </c>
      <c r="O51" s="1156">
        <f t="shared" si="22"/>
        <v>0</v>
      </c>
      <c r="P51" s="1092">
        <f t="shared" si="23"/>
        <v>0</v>
      </c>
      <c r="Q51" s="1092"/>
      <c r="R51" s="1092">
        <f t="shared" si="24"/>
        <v>0</v>
      </c>
      <c r="S51" s="1092">
        <f t="shared" si="25"/>
        <v>0</v>
      </c>
      <c r="T51" s="1093">
        <f t="shared" si="26"/>
        <v>0</v>
      </c>
      <c r="U51" s="1093">
        <f t="shared" si="27"/>
        <v>0</v>
      </c>
    </row>
    <row r="52" spans="1:21">
      <c r="A52" s="1021">
        <v>46</v>
      </c>
      <c r="B52" s="1022" t="s">
        <v>147</v>
      </c>
      <c r="C52" s="1040">
        <f>'Table 8 2.1.12 MFP Funded'!L49</f>
        <v>0</v>
      </c>
      <c r="D52" s="1041">
        <f>'Table 3 Levels 1&amp;2'!AL53</f>
        <v>5765.0314518803261</v>
      </c>
      <c r="E52" s="1141">
        <f t="shared" si="28"/>
        <v>0</v>
      </c>
      <c r="F52" s="1141">
        <f t="shared" si="17"/>
        <v>0</v>
      </c>
      <c r="G52" s="1096">
        <f t="shared" si="29"/>
        <v>0</v>
      </c>
      <c r="H52" s="1151">
        <f t="shared" si="18"/>
        <v>0</v>
      </c>
      <c r="I52" s="1096">
        <f t="shared" si="19"/>
        <v>0</v>
      </c>
      <c r="J52" s="1096"/>
      <c r="K52" s="1096">
        <f t="shared" si="20"/>
        <v>0</v>
      </c>
      <c r="L52" s="1096">
        <f t="shared" si="21"/>
        <v>0</v>
      </c>
      <c r="M52" s="1086">
        <f>'[8]FY2012-13 Initial'!$K53</f>
        <v>1789</v>
      </c>
      <c r="N52" s="1026">
        <f t="shared" si="30"/>
        <v>0</v>
      </c>
      <c r="O52" s="1154">
        <f t="shared" si="22"/>
        <v>0</v>
      </c>
      <c r="P52" s="1026">
        <f t="shared" si="23"/>
        <v>0</v>
      </c>
      <c r="Q52" s="1026"/>
      <c r="R52" s="1026">
        <f t="shared" si="24"/>
        <v>0</v>
      </c>
      <c r="S52" s="1026">
        <f t="shared" si="25"/>
        <v>0</v>
      </c>
      <c r="T52" s="1027">
        <f t="shared" si="26"/>
        <v>0</v>
      </c>
      <c r="U52" s="1027">
        <f t="shared" si="27"/>
        <v>0</v>
      </c>
    </row>
    <row r="53" spans="1:21">
      <c r="A53" s="1028">
        <v>47</v>
      </c>
      <c r="B53" s="1029" t="s">
        <v>148</v>
      </c>
      <c r="C53" s="1036">
        <f>'Table 8 2.1.12 MFP Funded'!L50</f>
        <v>0</v>
      </c>
      <c r="D53" s="1037">
        <f>'Table 3 Levels 1&amp;2'!AL54</f>
        <v>3186.1712081166847</v>
      </c>
      <c r="E53" s="1139">
        <f t="shared" si="28"/>
        <v>0</v>
      </c>
      <c r="F53" s="1139">
        <f t="shared" si="17"/>
        <v>0</v>
      </c>
      <c r="G53" s="1094">
        <f t="shared" si="29"/>
        <v>0</v>
      </c>
      <c r="H53" s="1149">
        <f t="shared" si="18"/>
        <v>0</v>
      </c>
      <c r="I53" s="1094">
        <f t="shared" si="19"/>
        <v>0</v>
      </c>
      <c r="J53" s="1094"/>
      <c r="K53" s="1094">
        <f t="shared" si="20"/>
        <v>0</v>
      </c>
      <c r="L53" s="1094">
        <f t="shared" si="21"/>
        <v>0</v>
      </c>
      <c r="M53" s="1086">
        <f>'[8]FY2012-13 Initial'!$K54</f>
        <v>9947</v>
      </c>
      <c r="N53" s="1088">
        <f t="shared" si="30"/>
        <v>0</v>
      </c>
      <c r="O53" s="1155">
        <f t="shared" si="22"/>
        <v>0</v>
      </c>
      <c r="P53" s="1088">
        <f t="shared" si="23"/>
        <v>0</v>
      </c>
      <c r="Q53" s="1088"/>
      <c r="R53" s="1088">
        <f t="shared" si="24"/>
        <v>0</v>
      </c>
      <c r="S53" s="1088">
        <f t="shared" si="25"/>
        <v>0</v>
      </c>
      <c r="T53" s="1089">
        <f t="shared" si="26"/>
        <v>0</v>
      </c>
      <c r="U53" s="1089">
        <f t="shared" si="27"/>
        <v>0</v>
      </c>
    </row>
    <row r="54" spans="1:21">
      <c r="A54" s="1028">
        <v>48</v>
      </c>
      <c r="B54" s="1029" t="s">
        <v>222</v>
      </c>
      <c r="C54" s="1036">
        <f>'Table 8 2.1.12 MFP Funded'!L51</f>
        <v>0</v>
      </c>
      <c r="D54" s="1037">
        <f>'Table 3 Levels 1&amp;2'!AL55</f>
        <v>4260.4872196136057</v>
      </c>
      <c r="E54" s="1139">
        <f t="shared" si="28"/>
        <v>0</v>
      </c>
      <c r="F54" s="1139">
        <f t="shared" si="17"/>
        <v>0</v>
      </c>
      <c r="G54" s="1094">
        <f t="shared" si="29"/>
        <v>0</v>
      </c>
      <c r="H54" s="1149">
        <f t="shared" si="18"/>
        <v>0</v>
      </c>
      <c r="I54" s="1094">
        <f t="shared" si="19"/>
        <v>0</v>
      </c>
      <c r="J54" s="1094"/>
      <c r="K54" s="1094">
        <f t="shared" si="20"/>
        <v>0</v>
      </c>
      <c r="L54" s="1094">
        <f t="shared" si="21"/>
        <v>0</v>
      </c>
      <c r="M54" s="1086">
        <f>'[8]FY2012-13 Initial'!$K55</f>
        <v>5325</v>
      </c>
      <c r="N54" s="1088">
        <f t="shared" si="30"/>
        <v>0</v>
      </c>
      <c r="O54" s="1155">
        <f t="shared" si="22"/>
        <v>0</v>
      </c>
      <c r="P54" s="1088">
        <f t="shared" si="23"/>
        <v>0</v>
      </c>
      <c r="Q54" s="1088"/>
      <c r="R54" s="1088">
        <f t="shared" si="24"/>
        <v>0</v>
      </c>
      <c r="S54" s="1088">
        <f t="shared" si="25"/>
        <v>0</v>
      </c>
      <c r="T54" s="1089">
        <f t="shared" si="26"/>
        <v>0</v>
      </c>
      <c r="U54" s="1089">
        <f t="shared" si="27"/>
        <v>0</v>
      </c>
    </row>
    <row r="55" spans="1:21">
      <c r="A55" s="1028">
        <v>49</v>
      </c>
      <c r="B55" s="1029" t="s">
        <v>149</v>
      </c>
      <c r="C55" s="1036">
        <f>'Table 8 2.1.12 MFP Funded'!L52</f>
        <v>0</v>
      </c>
      <c r="D55" s="1037">
        <f>'Table 3 Levels 1&amp;2'!AL56</f>
        <v>4800.2172145077111</v>
      </c>
      <c r="E55" s="1139">
        <f t="shared" si="28"/>
        <v>0</v>
      </c>
      <c r="F55" s="1139">
        <f t="shared" si="17"/>
        <v>0</v>
      </c>
      <c r="G55" s="1094">
        <f t="shared" si="29"/>
        <v>0</v>
      </c>
      <c r="H55" s="1149">
        <f t="shared" si="18"/>
        <v>0</v>
      </c>
      <c r="I55" s="1094">
        <f t="shared" si="19"/>
        <v>0</v>
      </c>
      <c r="J55" s="1094"/>
      <c r="K55" s="1094">
        <f t="shared" si="20"/>
        <v>0</v>
      </c>
      <c r="L55" s="1094">
        <f t="shared" si="21"/>
        <v>0</v>
      </c>
      <c r="M55" s="1086">
        <f>'[8]FY2012-13 Initial'!$K56</f>
        <v>2326</v>
      </c>
      <c r="N55" s="1088">
        <f t="shared" si="30"/>
        <v>0</v>
      </c>
      <c r="O55" s="1155">
        <f t="shared" si="22"/>
        <v>0</v>
      </c>
      <c r="P55" s="1088">
        <f t="shared" si="23"/>
        <v>0</v>
      </c>
      <c r="Q55" s="1088"/>
      <c r="R55" s="1088">
        <f t="shared" si="24"/>
        <v>0</v>
      </c>
      <c r="S55" s="1088">
        <f t="shared" si="25"/>
        <v>0</v>
      </c>
      <c r="T55" s="1089">
        <f t="shared" si="26"/>
        <v>0</v>
      </c>
      <c r="U55" s="1089">
        <f t="shared" si="27"/>
        <v>0</v>
      </c>
    </row>
    <row r="56" spans="1:21">
      <c r="A56" s="1032">
        <v>50</v>
      </c>
      <c r="B56" s="1033" t="s">
        <v>150</v>
      </c>
      <c r="C56" s="1038">
        <f>'Table 8 2.1.12 MFP Funded'!L53</f>
        <v>0</v>
      </c>
      <c r="D56" s="1039">
        <f>'Table 3 Levels 1&amp;2'!AL57</f>
        <v>5059.523754419537</v>
      </c>
      <c r="E56" s="1140">
        <f t="shared" si="28"/>
        <v>0</v>
      </c>
      <c r="F56" s="1140">
        <f t="shared" si="17"/>
        <v>0</v>
      </c>
      <c r="G56" s="1095">
        <f t="shared" si="29"/>
        <v>0</v>
      </c>
      <c r="H56" s="1150">
        <f t="shared" si="18"/>
        <v>0</v>
      </c>
      <c r="I56" s="1095">
        <f t="shared" si="19"/>
        <v>0</v>
      </c>
      <c r="J56" s="1095"/>
      <c r="K56" s="1095">
        <f t="shared" si="20"/>
        <v>0</v>
      </c>
      <c r="L56" s="1095">
        <f t="shared" si="21"/>
        <v>0</v>
      </c>
      <c r="M56" s="1091">
        <f>'[8]FY2012-13 Initial'!$K57</f>
        <v>2574</v>
      </c>
      <c r="N56" s="1092">
        <f t="shared" si="30"/>
        <v>0</v>
      </c>
      <c r="O56" s="1156">
        <f t="shared" si="22"/>
        <v>0</v>
      </c>
      <c r="P56" s="1092">
        <f t="shared" si="23"/>
        <v>0</v>
      </c>
      <c r="Q56" s="1092"/>
      <c r="R56" s="1092">
        <f t="shared" si="24"/>
        <v>0</v>
      </c>
      <c r="S56" s="1092">
        <f t="shared" si="25"/>
        <v>0</v>
      </c>
      <c r="T56" s="1093">
        <f t="shared" si="26"/>
        <v>0</v>
      </c>
      <c r="U56" s="1093">
        <f t="shared" si="27"/>
        <v>0</v>
      </c>
    </row>
    <row r="57" spans="1:21">
      <c r="A57" s="1021">
        <v>51</v>
      </c>
      <c r="B57" s="1022" t="s">
        <v>151</v>
      </c>
      <c r="C57" s="1040">
        <f>'Table 8 2.1.12 MFP Funded'!L54</f>
        <v>287</v>
      </c>
      <c r="D57" s="1041">
        <f>'Table 3 Levels 1&amp;2'!AL58</f>
        <v>4384.0477116019692</v>
      </c>
      <c r="E57" s="1141">
        <f t="shared" si="28"/>
        <v>1258221.6932297652</v>
      </c>
      <c r="F57" s="1141">
        <f t="shared" si="17"/>
        <v>171741.84307441118</v>
      </c>
      <c r="G57" s="1096">
        <f t="shared" si="29"/>
        <v>1429963.5363041763</v>
      </c>
      <c r="H57" s="1151">
        <f t="shared" si="18"/>
        <v>-3574.9088407604409</v>
      </c>
      <c r="I57" s="1096">
        <f t="shared" si="19"/>
        <v>1426388.627463416</v>
      </c>
      <c r="J57" s="1096"/>
      <c r="K57" s="1096">
        <f t="shared" si="20"/>
        <v>1426388.627463416</v>
      </c>
      <c r="L57" s="1096">
        <f t="shared" si="21"/>
        <v>118866</v>
      </c>
      <c r="M57" s="1086">
        <f>'[8]FY2012-13 Initial'!$K58</f>
        <v>3943</v>
      </c>
      <c r="N57" s="1026">
        <f t="shared" si="30"/>
        <v>1131641</v>
      </c>
      <c r="O57" s="1154">
        <f t="shared" si="22"/>
        <v>-2829.1025</v>
      </c>
      <c r="P57" s="1026">
        <f t="shared" si="23"/>
        <v>1128811.8975</v>
      </c>
      <c r="Q57" s="1026"/>
      <c r="R57" s="1026">
        <f t="shared" si="24"/>
        <v>1128811.8975</v>
      </c>
      <c r="S57" s="1026">
        <f t="shared" si="25"/>
        <v>94068</v>
      </c>
      <c r="T57" s="1027">
        <f t="shared" si="26"/>
        <v>2555200.5249634162</v>
      </c>
      <c r="U57" s="1027">
        <f t="shared" si="27"/>
        <v>212934</v>
      </c>
    </row>
    <row r="58" spans="1:21">
      <c r="A58" s="1028">
        <v>52</v>
      </c>
      <c r="B58" s="1029" t="s">
        <v>152</v>
      </c>
      <c r="C58" s="1036">
        <f>'Table 8 2.1.12 MFP Funded'!L55</f>
        <v>0</v>
      </c>
      <c r="D58" s="1037">
        <f>'Table 3 Levels 1&amp;2'!AL59</f>
        <v>4920.0697942988754</v>
      </c>
      <c r="E58" s="1139">
        <f t="shared" si="28"/>
        <v>0</v>
      </c>
      <c r="F58" s="1139">
        <f t="shared" si="17"/>
        <v>0</v>
      </c>
      <c r="G58" s="1094">
        <f t="shared" si="29"/>
        <v>0</v>
      </c>
      <c r="H58" s="1149">
        <f t="shared" si="18"/>
        <v>0</v>
      </c>
      <c r="I58" s="1094">
        <f t="shared" si="19"/>
        <v>0</v>
      </c>
      <c r="J58" s="1094"/>
      <c r="K58" s="1094">
        <f t="shared" si="20"/>
        <v>0</v>
      </c>
      <c r="L58" s="1094">
        <f t="shared" si="21"/>
        <v>0</v>
      </c>
      <c r="M58" s="1086">
        <f>'[8]FY2012-13 Initial'!$K59</f>
        <v>4750</v>
      </c>
      <c r="N58" s="1088">
        <f t="shared" si="30"/>
        <v>0</v>
      </c>
      <c r="O58" s="1155">
        <f t="shared" si="22"/>
        <v>0</v>
      </c>
      <c r="P58" s="1088">
        <f t="shared" si="23"/>
        <v>0</v>
      </c>
      <c r="Q58" s="1088"/>
      <c r="R58" s="1088">
        <f t="shared" si="24"/>
        <v>0</v>
      </c>
      <c r="S58" s="1088">
        <f t="shared" si="25"/>
        <v>0</v>
      </c>
      <c r="T58" s="1089">
        <f t="shared" si="26"/>
        <v>0</v>
      </c>
      <c r="U58" s="1089">
        <f t="shared" si="27"/>
        <v>0</v>
      </c>
    </row>
    <row r="59" spans="1:21">
      <c r="A59" s="1028">
        <v>53</v>
      </c>
      <c r="B59" s="1029" t="s">
        <v>153</v>
      </c>
      <c r="C59" s="1036">
        <f>'Table 8 2.1.12 MFP Funded'!L56</f>
        <v>0</v>
      </c>
      <c r="D59" s="1037">
        <f>'Table 3 Levels 1&amp;2'!AL60</f>
        <v>4784.2719870767614</v>
      </c>
      <c r="E59" s="1139">
        <f t="shared" si="28"/>
        <v>0</v>
      </c>
      <c r="F59" s="1139">
        <f t="shared" si="17"/>
        <v>0</v>
      </c>
      <c r="G59" s="1094">
        <f t="shared" si="29"/>
        <v>0</v>
      </c>
      <c r="H59" s="1149">
        <f t="shared" si="18"/>
        <v>0</v>
      </c>
      <c r="I59" s="1094">
        <f t="shared" si="19"/>
        <v>0</v>
      </c>
      <c r="J59" s="1094"/>
      <c r="K59" s="1094">
        <f t="shared" si="20"/>
        <v>0</v>
      </c>
      <c r="L59" s="1094">
        <f t="shared" si="21"/>
        <v>0</v>
      </c>
      <c r="M59" s="1086">
        <f>'[8]FY2012-13 Initial'!$K60</f>
        <v>1913</v>
      </c>
      <c r="N59" s="1088">
        <f t="shared" si="30"/>
        <v>0</v>
      </c>
      <c r="O59" s="1155">
        <f t="shared" si="22"/>
        <v>0</v>
      </c>
      <c r="P59" s="1088">
        <f t="shared" si="23"/>
        <v>0</v>
      </c>
      <c r="Q59" s="1088"/>
      <c r="R59" s="1088">
        <f t="shared" si="24"/>
        <v>0</v>
      </c>
      <c r="S59" s="1088">
        <f t="shared" si="25"/>
        <v>0</v>
      </c>
      <c r="T59" s="1089">
        <f t="shared" si="26"/>
        <v>0</v>
      </c>
      <c r="U59" s="1089">
        <f t="shared" si="27"/>
        <v>0</v>
      </c>
    </row>
    <row r="60" spans="1:21">
      <c r="A60" s="1028">
        <v>54</v>
      </c>
      <c r="B60" s="1029" t="s">
        <v>154</v>
      </c>
      <c r="C60" s="1036">
        <f>'Table 8 2.1.12 MFP Funded'!L57</f>
        <v>0</v>
      </c>
      <c r="D60" s="1037">
        <f>'Table 3 Levels 1&amp;2'!AL61</f>
        <v>5982.5555386476462</v>
      </c>
      <c r="E60" s="1139">
        <f t="shared" si="28"/>
        <v>0</v>
      </c>
      <c r="F60" s="1139">
        <f t="shared" si="17"/>
        <v>0</v>
      </c>
      <c r="G60" s="1094">
        <f t="shared" si="29"/>
        <v>0</v>
      </c>
      <c r="H60" s="1149">
        <f t="shared" si="18"/>
        <v>0</v>
      </c>
      <c r="I60" s="1094">
        <f t="shared" si="19"/>
        <v>0</v>
      </c>
      <c r="J60" s="1094"/>
      <c r="K60" s="1094">
        <f t="shared" si="20"/>
        <v>0</v>
      </c>
      <c r="L60" s="1094">
        <f t="shared" si="21"/>
        <v>0</v>
      </c>
      <c r="M60" s="1086">
        <f>'[8]FY2012-13 Initial'!$K61</f>
        <v>3264</v>
      </c>
      <c r="N60" s="1088">
        <f t="shared" si="30"/>
        <v>0</v>
      </c>
      <c r="O60" s="1155">
        <f t="shared" si="22"/>
        <v>0</v>
      </c>
      <c r="P60" s="1088">
        <f t="shared" si="23"/>
        <v>0</v>
      </c>
      <c r="Q60" s="1088"/>
      <c r="R60" s="1088">
        <f t="shared" si="24"/>
        <v>0</v>
      </c>
      <c r="S60" s="1088">
        <f t="shared" si="25"/>
        <v>0</v>
      </c>
      <c r="T60" s="1089">
        <f t="shared" si="26"/>
        <v>0</v>
      </c>
      <c r="U60" s="1089">
        <f t="shared" si="27"/>
        <v>0</v>
      </c>
    </row>
    <row r="61" spans="1:21">
      <c r="A61" s="1032">
        <v>55</v>
      </c>
      <c r="B61" s="1033" t="s">
        <v>155</v>
      </c>
      <c r="C61" s="1038">
        <f>'Table 8 2.1.12 MFP Funded'!L58</f>
        <v>0</v>
      </c>
      <c r="D61" s="1039">
        <f>'Table 3 Levels 1&amp;2'!AL62</f>
        <v>4087.4017448818722</v>
      </c>
      <c r="E61" s="1140">
        <f t="shared" si="28"/>
        <v>0</v>
      </c>
      <c r="F61" s="1140">
        <f t="shared" si="17"/>
        <v>0</v>
      </c>
      <c r="G61" s="1095">
        <f t="shared" si="29"/>
        <v>0</v>
      </c>
      <c r="H61" s="1150">
        <f t="shared" si="18"/>
        <v>0</v>
      </c>
      <c r="I61" s="1095">
        <f t="shared" si="19"/>
        <v>0</v>
      </c>
      <c r="J61" s="1095"/>
      <c r="K61" s="1095">
        <f t="shared" si="20"/>
        <v>0</v>
      </c>
      <c r="L61" s="1095">
        <f t="shared" si="21"/>
        <v>0</v>
      </c>
      <c r="M61" s="1091">
        <f>'[8]FY2012-13 Initial'!$K62</f>
        <v>3071</v>
      </c>
      <c r="N61" s="1092">
        <f t="shared" si="30"/>
        <v>0</v>
      </c>
      <c r="O61" s="1156">
        <f t="shared" si="22"/>
        <v>0</v>
      </c>
      <c r="P61" s="1092">
        <f t="shared" si="23"/>
        <v>0</v>
      </c>
      <c r="Q61" s="1092"/>
      <c r="R61" s="1092">
        <f t="shared" si="24"/>
        <v>0</v>
      </c>
      <c r="S61" s="1092">
        <f t="shared" si="25"/>
        <v>0</v>
      </c>
      <c r="T61" s="1093">
        <f t="shared" si="26"/>
        <v>0</v>
      </c>
      <c r="U61" s="1093">
        <f t="shared" si="27"/>
        <v>0</v>
      </c>
    </row>
    <row r="62" spans="1:21">
      <c r="A62" s="1021">
        <v>56</v>
      </c>
      <c r="B62" s="1022" t="s">
        <v>156</v>
      </c>
      <c r="C62" s="1040">
        <f>'Table 8 2.1.12 MFP Funded'!L59</f>
        <v>0</v>
      </c>
      <c r="D62" s="1041">
        <f>'Table 3 Levels 1&amp;2'!AL63</f>
        <v>5052.2250942802684</v>
      </c>
      <c r="E62" s="1141">
        <f t="shared" si="28"/>
        <v>0</v>
      </c>
      <c r="F62" s="1141">
        <f t="shared" si="17"/>
        <v>0</v>
      </c>
      <c r="G62" s="1096">
        <f t="shared" si="29"/>
        <v>0</v>
      </c>
      <c r="H62" s="1151">
        <f t="shared" si="18"/>
        <v>0</v>
      </c>
      <c r="I62" s="1096">
        <f t="shared" si="19"/>
        <v>0</v>
      </c>
      <c r="J62" s="1096"/>
      <c r="K62" s="1096">
        <f t="shared" si="20"/>
        <v>0</v>
      </c>
      <c r="L62" s="1096">
        <f t="shared" si="21"/>
        <v>0</v>
      </c>
      <c r="M62" s="1086">
        <f>'[8]FY2012-13 Initial'!$K63</f>
        <v>2630</v>
      </c>
      <c r="N62" s="1026">
        <f t="shared" si="30"/>
        <v>0</v>
      </c>
      <c r="O62" s="1154">
        <f t="shared" si="22"/>
        <v>0</v>
      </c>
      <c r="P62" s="1026">
        <f t="shared" si="23"/>
        <v>0</v>
      </c>
      <c r="Q62" s="1026"/>
      <c r="R62" s="1026">
        <f t="shared" si="24"/>
        <v>0</v>
      </c>
      <c r="S62" s="1026">
        <f t="shared" si="25"/>
        <v>0</v>
      </c>
      <c r="T62" s="1027">
        <f t="shared" si="26"/>
        <v>0</v>
      </c>
      <c r="U62" s="1027">
        <f t="shared" si="27"/>
        <v>0</v>
      </c>
    </row>
    <row r="63" spans="1:21">
      <c r="A63" s="1028">
        <v>57</v>
      </c>
      <c r="B63" s="1029" t="s">
        <v>157</v>
      </c>
      <c r="C63" s="1036">
        <f>'Table 8 2.1.12 MFP Funded'!L60</f>
        <v>2</v>
      </c>
      <c r="D63" s="1037">
        <f>'Table 3 Levels 1&amp;2'!AL64</f>
        <v>4389.3863180380931</v>
      </c>
      <c r="E63" s="1139">
        <f t="shared" si="28"/>
        <v>8778.7726360761862</v>
      </c>
      <c r="F63" s="1139">
        <f t="shared" si="17"/>
        <v>1196.8072688112277</v>
      </c>
      <c r="G63" s="1094">
        <f t="shared" si="29"/>
        <v>9975.5799048874142</v>
      </c>
      <c r="H63" s="1149">
        <f t="shared" si="18"/>
        <v>-24.938949762218535</v>
      </c>
      <c r="I63" s="1094">
        <f t="shared" si="19"/>
        <v>9950.6409551251963</v>
      </c>
      <c r="J63" s="1094"/>
      <c r="K63" s="1094">
        <f t="shared" si="20"/>
        <v>9950.6409551251963</v>
      </c>
      <c r="L63" s="1094">
        <f t="shared" si="21"/>
        <v>829</v>
      </c>
      <c r="M63" s="1086">
        <f>'[8]FY2012-13 Initial'!$K64</f>
        <v>3053</v>
      </c>
      <c r="N63" s="1088">
        <f t="shared" si="30"/>
        <v>6106</v>
      </c>
      <c r="O63" s="1155">
        <f t="shared" si="22"/>
        <v>-15.265000000000001</v>
      </c>
      <c r="P63" s="1088">
        <f t="shared" si="23"/>
        <v>6090.7349999999997</v>
      </c>
      <c r="Q63" s="1088"/>
      <c r="R63" s="1088">
        <f t="shared" si="24"/>
        <v>6090.7349999999997</v>
      </c>
      <c r="S63" s="1088">
        <f t="shared" si="25"/>
        <v>508</v>
      </c>
      <c r="T63" s="1089">
        <f t="shared" si="26"/>
        <v>16041.375955125197</v>
      </c>
      <c r="U63" s="1089">
        <f t="shared" si="27"/>
        <v>1337</v>
      </c>
    </row>
    <row r="64" spans="1:21">
      <c r="A64" s="1028">
        <v>58</v>
      </c>
      <c r="B64" s="1029" t="s">
        <v>158</v>
      </c>
      <c r="C64" s="1036">
        <f>'Table 8 2.1.12 MFP Funded'!L61</f>
        <v>0</v>
      </c>
      <c r="D64" s="1037">
        <f>'Table 3 Levels 1&amp;2'!AL65</f>
        <v>5325.8881107130073</v>
      </c>
      <c r="E64" s="1139">
        <f t="shared" si="28"/>
        <v>0</v>
      </c>
      <c r="F64" s="1139">
        <f t="shared" si="17"/>
        <v>0</v>
      </c>
      <c r="G64" s="1094">
        <f t="shared" si="29"/>
        <v>0</v>
      </c>
      <c r="H64" s="1149">
        <f t="shared" si="18"/>
        <v>0</v>
      </c>
      <c r="I64" s="1094">
        <f t="shared" si="19"/>
        <v>0</v>
      </c>
      <c r="J64" s="1094"/>
      <c r="K64" s="1094">
        <f t="shared" si="20"/>
        <v>0</v>
      </c>
      <c r="L64" s="1094">
        <f t="shared" si="21"/>
        <v>0</v>
      </c>
      <c r="M64" s="1086">
        <f>'[8]FY2012-13 Initial'!$K65</f>
        <v>1917</v>
      </c>
      <c r="N64" s="1088">
        <f t="shared" si="30"/>
        <v>0</v>
      </c>
      <c r="O64" s="1155">
        <f t="shared" si="22"/>
        <v>0</v>
      </c>
      <c r="P64" s="1088">
        <f t="shared" si="23"/>
        <v>0</v>
      </c>
      <c r="Q64" s="1088"/>
      <c r="R64" s="1088">
        <f t="shared" si="24"/>
        <v>0</v>
      </c>
      <c r="S64" s="1088">
        <f t="shared" si="25"/>
        <v>0</v>
      </c>
      <c r="T64" s="1089">
        <f t="shared" si="26"/>
        <v>0</v>
      </c>
      <c r="U64" s="1089">
        <f t="shared" si="27"/>
        <v>0</v>
      </c>
    </row>
    <row r="65" spans="1:21">
      <c r="A65" s="1028">
        <v>59</v>
      </c>
      <c r="B65" s="1029" t="s">
        <v>159</v>
      </c>
      <c r="C65" s="1036">
        <f>'Table 8 2.1.12 MFP Funded'!L62</f>
        <v>0</v>
      </c>
      <c r="D65" s="1037">
        <f>'Table 3 Levels 1&amp;2'!AL66</f>
        <v>6328.4963620482158</v>
      </c>
      <c r="E65" s="1139">
        <f t="shared" si="28"/>
        <v>0</v>
      </c>
      <c r="F65" s="1139">
        <f t="shared" si="17"/>
        <v>0</v>
      </c>
      <c r="G65" s="1094">
        <f t="shared" si="29"/>
        <v>0</v>
      </c>
      <c r="H65" s="1149">
        <f t="shared" si="18"/>
        <v>0</v>
      </c>
      <c r="I65" s="1094">
        <f t="shared" si="19"/>
        <v>0</v>
      </c>
      <c r="J65" s="1094"/>
      <c r="K65" s="1094">
        <f t="shared" si="20"/>
        <v>0</v>
      </c>
      <c r="L65" s="1094">
        <f t="shared" si="21"/>
        <v>0</v>
      </c>
      <c r="M65" s="1086">
        <f>'[8]FY2012-13 Initial'!$K66</f>
        <v>1553</v>
      </c>
      <c r="N65" s="1088">
        <f t="shared" si="30"/>
        <v>0</v>
      </c>
      <c r="O65" s="1155">
        <f t="shared" si="22"/>
        <v>0</v>
      </c>
      <c r="P65" s="1088">
        <f t="shared" si="23"/>
        <v>0</v>
      </c>
      <c r="Q65" s="1088"/>
      <c r="R65" s="1088">
        <f t="shared" si="24"/>
        <v>0</v>
      </c>
      <c r="S65" s="1088">
        <f t="shared" si="25"/>
        <v>0</v>
      </c>
      <c r="T65" s="1089">
        <f t="shared" si="26"/>
        <v>0</v>
      </c>
      <c r="U65" s="1089">
        <f t="shared" si="27"/>
        <v>0</v>
      </c>
    </row>
    <row r="66" spans="1:21">
      <c r="A66" s="1032">
        <v>60</v>
      </c>
      <c r="B66" s="1033" t="s">
        <v>160</v>
      </c>
      <c r="C66" s="1038">
        <f>'Table 8 2.1.12 MFP Funded'!L63</f>
        <v>0</v>
      </c>
      <c r="D66" s="1039">
        <f>'Table 3 Levels 1&amp;2'!AL67</f>
        <v>4825.1723230627122</v>
      </c>
      <c r="E66" s="1140">
        <f t="shared" si="28"/>
        <v>0</v>
      </c>
      <c r="F66" s="1140">
        <f t="shared" si="17"/>
        <v>0</v>
      </c>
      <c r="G66" s="1095">
        <f t="shared" si="29"/>
        <v>0</v>
      </c>
      <c r="H66" s="1150">
        <f t="shared" si="18"/>
        <v>0</v>
      </c>
      <c r="I66" s="1095">
        <f t="shared" si="19"/>
        <v>0</v>
      </c>
      <c r="J66" s="1095"/>
      <c r="K66" s="1095">
        <f t="shared" si="20"/>
        <v>0</v>
      </c>
      <c r="L66" s="1095">
        <f t="shared" si="21"/>
        <v>0</v>
      </c>
      <c r="M66" s="1091">
        <f>'[8]FY2012-13 Initial'!$K67</f>
        <v>3798</v>
      </c>
      <c r="N66" s="1092">
        <f t="shared" si="30"/>
        <v>0</v>
      </c>
      <c r="O66" s="1156">
        <f t="shared" si="22"/>
        <v>0</v>
      </c>
      <c r="P66" s="1092">
        <f t="shared" si="23"/>
        <v>0</v>
      </c>
      <c r="Q66" s="1092"/>
      <c r="R66" s="1092">
        <f t="shared" si="24"/>
        <v>0</v>
      </c>
      <c r="S66" s="1092">
        <f t="shared" si="25"/>
        <v>0</v>
      </c>
      <c r="T66" s="1093">
        <f t="shared" si="26"/>
        <v>0</v>
      </c>
      <c r="U66" s="1093">
        <f t="shared" si="27"/>
        <v>0</v>
      </c>
    </row>
    <row r="67" spans="1:21">
      <c r="A67" s="1021">
        <v>61</v>
      </c>
      <c r="B67" s="1022" t="s">
        <v>161</v>
      </c>
      <c r="C67" s="1040">
        <f>'Table 8 2.1.12 MFP Funded'!L64</f>
        <v>0</v>
      </c>
      <c r="D67" s="1041">
        <f>'Table 3 Levels 1&amp;2'!AL68</f>
        <v>3063.3110364585282</v>
      </c>
      <c r="E67" s="1141">
        <f t="shared" si="28"/>
        <v>0</v>
      </c>
      <c r="F67" s="1141">
        <f t="shared" si="17"/>
        <v>0</v>
      </c>
      <c r="G67" s="1096">
        <f t="shared" si="29"/>
        <v>0</v>
      </c>
      <c r="H67" s="1151">
        <f t="shared" si="18"/>
        <v>0</v>
      </c>
      <c r="I67" s="1096">
        <f t="shared" si="19"/>
        <v>0</v>
      </c>
      <c r="J67" s="1096"/>
      <c r="K67" s="1096">
        <f t="shared" si="20"/>
        <v>0</v>
      </c>
      <c r="L67" s="1096">
        <f t="shared" si="21"/>
        <v>0</v>
      </c>
      <c r="M67" s="1086">
        <f>'[8]FY2012-13 Initial'!$K68</f>
        <v>6727</v>
      </c>
      <c r="N67" s="1026">
        <f t="shared" si="30"/>
        <v>0</v>
      </c>
      <c r="O67" s="1154">
        <f t="shared" si="22"/>
        <v>0</v>
      </c>
      <c r="P67" s="1026">
        <f t="shared" si="23"/>
        <v>0</v>
      </c>
      <c r="Q67" s="1026"/>
      <c r="R67" s="1026">
        <f t="shared" si="24"/>
        <v>0</v>
      </c>
      <c r="S67" s="1026">
        <f t="shared" si="25"/>
        <v>0</v>
      </c>
      <c r="T67" s="1027">
        <f t="shared" si="26"/>
        <v>0</v>
      </c>
      <c r="U67" s="1027">
        <f t="shared" si="27"/>
        <v>0</v>
      </c>
    </row>
    <row r="68" spans="1:21">
      <c r="A68" s="1028">
        <v>62</v>
      </c>
      <c r="B68" s="1029" t="s">
        <v>162</v>
      </c>
      <c r="C68" s="1036">
        <f>'Table 8 2.1.12 MFP Funded'!L65</f>
        <v>0</v>
      </c>
      <c r="D68" s="1037">
        <f>'Table 3 Levels 1&amp;2'!AL69</f>
        <v>5564.645485869667</v>
      </c>
      <c r="E68" s="1139">
        <f t="shared" si="28"/>
        <v>0</v>
      </c>
      <c r="F68" s="1139">
        <f t="shared" si="17"/>
        <v>0</v>
      </c>
      <c r="G68" s="1094">
        <f t="shared" si="29"/>
        <v>0</v>
      </c>
      <c r="H68" s="1149">
        <f t="shared" si="18"/>
        <v>0</v>
      </c>
      <c r="I68" s="1094">
        <f t="shared" si="19"/>
        <v>0</v>
      </c>
      <c r="J68" s="1094"/>
      <c r="K68" s="1094">
        <f t="shared" si="20"/>
        <v>0</v>
      </c>
      <c r="L68" s="1094">
        <f t="shared" si="21"/>
        <v>0</v>
      </c>
      <c r="M68" s="1086">
        <f>'[8]FY2012-13 Initial'!$K69</f>
        <v>1678</v>
      </c>
      <c r="N68" s="1088">
        <f t="shared" si="30"/>
        <v>0</v>
      </c>
      <c r="O68" s="1155">
        <f t="shared" si="22"/>
        <v>0</v>
      </c>
      <c r="P68" s="1088">
        <f t="shared" si="23"/>
        <v>0</v>
      </c>
      <c r="Q68" s="1088"/>
      <c r="R68" s="1088">
        <f t="shared" si="24"/>
        <v>0</v>
      </c>
      <c r="S68" s="1088">
        <f t="shared" si="25"/>
        <v>0</v>
      </c>
      <c r="T68" s="1089">
        <f t="shared" si="26"/>
        <v>0</v>
      </c>
      <c r="U68" s="1089">
        <f t="shared" si="27"/>
        <v>0</v>
      </c>
    </row>
    <row r="69" spans="1:21">
      <c r="A69" s="1028">
        <v>63</v>
      </c>
      <c r="B69" s="1029" t="s">
        <v>163</v>
      </c>
      <c r="C69" s="1036">
        <f>'Table 8 2.1.12 MFP Funded'!L66</f>
        <v>0</v>
      </c>
      <c r="D69" s="1037">
        <f>'Table 3 Levels 1&amp;2'!AL70</f>
        <v>4414.1775336636538</v>
      </c>
      <c r="E69" s="1139">
        <f t="shared" si="28"/>
        <v>0</v>
      </c>
      <c r="F69" s="1139">
        <f t="shared" si="17"/>
        <v>0</v>
      </c>
      <c r="G69" s="1094">
        <f t="shared" si="29"/>
        <v>0</v>
      </c>
      <c r="H69" s="1149">
        <f t="shared" si="18"/>
        <v>0</v>
      </c>
      <c r="I69" s="1094">
        <f t="shared" si="19"/>
        <v>0</v>
      </c>
      <c r="J69" s="1094"/>
      <c r="K69" s="1094">
        <f t="shared" si="20"/>
        <v>0</v>
      </c>
      <c r="L69" s="1094">
        <f t="shared" si="21"/>
        <v>0</v>
      </c>
      <c r="M69" s="1086">
        <f>'[8]FY2012-13 Initial'!$K70</f>
        <v>6524</v>
      </c>
      <c r="N69" s="1088">
        <f t="shared" si="30"/>
        <v>0</v>
      </c>
      <c r="O69" s="1155">
        <f t="shared" si="22"/>
        <v>0</v>
      </c>
      <c r="P69" s="1088">
        <f t="shared" si="23"/>
        <v>0</v>
      </c>
      <c r="Q69" s="1088"/>
      <c r="R69" s="1088">
        <f t="shared" si="24"/>
        <v>0</v>
      </c>
      <c r="S69" s="1088">
        <f t="shared" si="25"/>
        <v>0</v>
      </c>
      <c r="T69" s="1089">
        <f t="shared" si="26"/>
        <v>0</v>
      </c>
      <c r="U69" s="1089">
        <f t="shared" si="27"/>
        <v>0</v>
      </c>
    </row>
    <row r="70" spans="1:21">
      <c r="A70" s="1028">
        <v>64</v>
      </c>
      <c r="B70" s="1029" t="s">
        <v>164</v>
      </c>
      <c r="C70" s="1036">
        <f>'Table 8 2.1.12 MFP Funded'!L67</f>
        <v>0</v>
      </c>
      <c r="D70" s="1037">
        <f>'Table 3 Levels 1&amp;2'!AL71</f>
        <v>5871.0485811924027</v>
      </c>
      <c r="E70" s="1139">
        <f t="shared" si="28"/>
        <v>0</v>
      </c>
      <c r="F70" s="1139">
        <f t="shared" si="17"/>
        <v>0</v>
      </c>
      <c r="G70" s="1094">
        <f t="shared" si="29"/>
        <v>0</v>
      </c>
      <c r="H70" s="1149">
        <f t="shared" si="18"/>
        <v>0</v>
      </c>
      <c r="I70" s="1094">
        <f t="shared" si="19"/>
        <v>0</v>
      </c>
      <c r="J70" s="1094"/>
      <c r="K70" s="1094">
        <f t="shared" si="20"/>
        <v>0</v>
      </c>
      <c r="L70" s="1094">
        <f t="shared" si="21"/>
        <v>0</v>
      </c>
      <c r="M70" s="1086">
        <f>'[8]FY2012-13 Initial'!$K71</f>
        <v>2658</v>
      </c>
      <c r="N70" s="1088">
        <f t="shared" si="30"/>
        <v>0</v>
      </c>
      <c r="O70" s="1155">
        <f t="shared" si="22"/>
        <v>0</v>
      </c>
      <c r="P70" s="1088">
        <f t="shared" si="23"/>
        <v>0</v>
      </c>
      <c r="Q70" s="1088"/>
      <c r="R70" s="1088">
        <f t="shared" si="24"/>
        <v>0</v>
      </c>
      <c r="S70" s="1088">
        <f t="shared" si="25"/>
        <v>0</v>
      </c>
      <c r="T70" s="1089">
        <f t="shared" si="26"/>
        <v>0</v>
      </c>
      <c r="U70" s="1089">
        <f t="shared" si="27"/>
        <v>0</v>
      </c>
    </row>
    <row r="71" spans="1:21">
      <c r="A71" s="1032">
        <v>65</v>
      </c>
      <c r="B71" s="1033" t="s">
        <v>165</v>
      </c>
      <c r="C71" s="1038">
        <f>'Table 8 2.1.12 MFP Funded'!L68</f>
        <v>0</v>
      </c>
      <c r="D71" s="1039">
        <f>'Table 3 Levels 1&amp;2'!AL72</f>
        <v>4602.2046951319899</v>
      </c>
      <c r="E71" s="1140">
        <f t="shared" ref="E71:E75" si="31">D71*C71</f>
        <v>0</v>
      </c>
      <c r="F71" s="1140">
        <f t="shared" si="17"/>
        <v>0</v>
      </c>
      <c r="G71" s="1095">
        <f t="shared" ref="G71:G75" si="32">E71+F71</f>
        <v>0</v>
      </c>
      <c r="H71" s="1150">
        <f t="shared" si="18"/>
        <v>0</v>
      </c>
      <c r="I71" s="1095">
        <f t="shared" si="19"/>
        <v>0</v>
      </c>
      <c r="J71" s="1095"/>
      <c r="K71" s="1095">
        <f t="shared" si="20"/>
        <v>0</v>
      </c>
      <c r="L71" s="1095">
        <f t="shared" si="21"/>
        <v>0</v>
      </c>
      <c r="M71" s="1091">
        <f>'[8]FY2012-13 Initial'!$K72</f>
        <v>4631</v>
      </c>
      <c r="N71" s="1092">
        <f t="shared" ref="N71:N75" si="33">M71*C71</f>
        <v>0</v>
      </c>
      <c r="O71" s="1156">
        <f t="shared" si="22"/>
        <v>0</v>
      </c>
      <c r="P71" s="1092">
        <f t="shared" si="23"/>
        <v>0</v>
      </c>
      <c r="Q71" s="1092"/>
      <c r="R71" s="1092">
        <f t="shared" si="24"/>
        <v>0</v>
      </c>
      <c r="S71" s="1092">
        <f t="shared" si="25"/>
        <v>0</v>
      </c>
      <c r="T71" s="1093">
        <f t="shared" si="26"/>
        <v>0</v>
      </c>
      <c r="U71" s="1093">
        <f t="shared" ref="U71:U75" si="34">L71+S71</f>
        <v>0</v>
      </c>
    </row>
    <row r="72" spans="1:21">
      <c r="A72" s="1021">
        <v>66</v>
      </c>
      <c r="B72" s="1022" t="s">
        <v>166</v>
      </c>
      <c r="C72" s="1040">
        <f>'Table 8 2.1.12 MFP Funded'!L69</f>
        <v>0</v>
      </c>
      <c r="D72" s="1041">
        <f>'Table 3 Levels 1&amp;2'!AL73</f>
        <v>6243.8912249150071</v>
      </c>
      <c r="E72" s="1141">
        <f t="shared" si="31"/>
        <v>0</v>
      </c>
      <c r="F72" s="1141">
        <f t="shared" ref="F72:F75" si="35">C72*$F$4</f>
        <v>0</v>
      </c>
      <c r="G72" s="1096">
        <f t="shared" si="32"/>
        <v>0</v>
      </c>
      <c r="H72" s="1151">
        <f t="shared" ref="H72:H75" si="36">-G72*$H$4</f>
        <v>0</v>
      </c>
      <c r="I72" s="1096">
        <f t="shared" ref="I72:I75" si="37">SUM(G72:H72)</f>
        <v>0</v>
      </c>
      <c r="J72" s="1096"/>
      <c r="K72" s="1096">
        <f t="shared" ref="K72:K75" si="38">SUM(I72:J72)</f>
        <v>0</v>
      </c>
      <c r="L72" s="1096">
        <f t="shared" ref="L72:L75" si="39">ROUND(K72/12,0)</f>
        <v>0</v>
      </c>
      <c r="M72" s="1086">
        <f>'[8]FY2012-13 Initial'!$K73</f>
        <v>3443</v>
      </c>
      <c r="N72" s="1026">
        <f t="shared" si="33"/>
        <v>0</v>
      </c>
      <c r="O72" s="1154">
        <f t="shared" ref="O72:O75" si="40">-N72*$O$4</f>
        <v>0</v>
      </c>
      <c r="P72" s="1026">
        <f t="shared" ref="P72:P75" si="41">SUM(N72:O72)</f>
        <v>0</v>
      </c>
      <c r="Q72" s="1026"/>
      <c r="R72" s="1026">
        <f t="shared" ref="R72:R75" si="42">SUM(P72:Q72)</f>
        <v>0</v>
      </c>
      <c r="S72" s="1026">
        <f t="shared" ref="S72:S75" si="43">ROUND(R72/12,0)</f>
        <v>0</v>
      </c>
      <c r="T72" s="1027">
        <f t="shared" ref="T72:T75" si="44">K72+R72</f>
        <v>0</v>
      </c>
      <c r="U72" s="1027">
        <f t="shared" si="34"/>
        <v>0</v>
      </c>
    </row>
    <row r="73" spans="1:21">
      <c r="A73" s="1028">
        <v>67</v>
      </c>
      <c r="B73" s="1029" t="s">
        <v>33</v>
      </c>
      <c r="C73" s="1036">
        <f>'Table 8 2.1.12 MFP Funded'!L70</f>
        <v>0</v>
      </c>
      <c r="D73" s="1037">
        <f>'Table 3 Levels 1&amp;2'!AL74</f>
        <v>5049.6489898847567</v>
      </c>
      <c r="E73" s="1139">
        <f t="shared" si="31"/>
        <v>0</v>
      </c>
      <c r="F73" s="1139">
        <f t="shared" si="35"/>
        <v>0</v>
      </c>
      <c r="G73" s="1094">
        <f t="shared" si="32"/>
        <v>0</v>
      </c>
      <c r="H73" s="1149">
        <f t="shared" si="36"/>
        <v>0</v>
      </c>
      <c r="I73" s="1094">
        <f t="shared" si="37"/>
        <v>0</v>
      </c>
      <c r="J73" s="1094"/>
      <c r="K73" s="1094">
        <f t="shared" si="38"/>
        <v>0</v>
      </c>
      <c r="L73" s="1094">
        <f t="shared" si="39"/>
        <v>0</v>
      </c>
      <c r="M73" s="1086">
        <f>'[8]FY2012-13 Initial'!$K74</f>
        <v>4502</v>
      </c>
      <c r="N73" s="1088">
        <f t="shared" si="33"/>
        <v>0</v>
      </c>
      <c r="O73" s="1155">
        <f t="shared" si="40"/>
        <v>0</v>
      </c>
      <c r="P73" s="1088">
        <f t="shared" si="41"/>
        <v>0</v>
      </c>
      <c r="Q73" s="1088"/>
      <c r="R73" s="1088">
        <f t="shared" si="42"/>
        <v>0</v>
      </c>
      <c r="S73" s="1088">
        <f t="shared" si="43"/>
        <v>0</v>
      </c>
      <c r="T73" s="1089">
        <f t="shared" si="44"/>
        <v>0</v>
      </c>
      <c r="U73" s="1089">
        <f t="shared" si="34"/>
        <v>0</v>
      </c>
    </row>
    <row r="74" spans="1:21">
      <c r="A74" s="1028">
        <v>68</v>
      </c>
      <c r="B74" s="1029" t="s">
        <v>31</v>
      </c>
      <c r="C74" s="1036">
        <f>'Table 8 2.1.12 MFP Funded'!L71</f>
        <v>0</v>
      </c>
      <c r="D74" s="1037">
        <f>'Table 3 Levels 1&amp;2'!AL75</f>
        <v>5861.7500805575619</v>
      </c>
      <c r="E74" s="1139">
        <f t="shared" si="31"/>
        <v>0</v>
      </c>
      <c r="F74" s="1139">
        <f t="shared" si="35"/>
        <v>0</v>
      </c>
      <c r="G74" s="1094">
        <f t="shared" si="32"/>
        <v>0</v>
      </c>
      <c r="H74" s="1149">
        <f t="shared" si="36"/>
        <v>0</v>
      </c>
      <c r="I74" s="1094">
        <f t="shared" si="37"/>
        <v>0</v>
      </c>
      <c r="J74" s="1094"/>
      <c r="K74" s="1094">
        <f t="shared" si="38"/>
        <v>0</v>
      </c>
      <c r="L74" s="1094">
        <f t="shared" si="39"/>
        <v>0</v>
      </c>
      <c r="M74" s="1086">
        <f>'[8]FY2012-13 Initial'!$K75</f>
        <v>2587</v>
      </c>
      <c r="N74" s="1088">
        <f t="shared" si="33"/>
        <v>0</v>
      </c>
      <c r="O74" s="1155">
        <f t="shared" si="40"/>
        <v>0</v>
      </c>
      <c r="P74" s="1088">
        <f t="shared" si="41"/>
        <v>0</v>
      </c>
      <c r="Q74" s="1088"/>
      <c r="R74" s="1088">
        <f t="shared" si="42"/>
        <v>0</v>
      </c>
      <c r="S74" s="1088">
        <f t="shared" si="43"/>
        <v>0</v>
      </c>
      <c r="T74" s="1089">
        <f t="shared" si="44"/>
        <v>0</v>
      </c>
      <c r="U74" s="1089">
        <f t="shared" si="34"/>
        <v>0</v>
      </c>
    </row>
    <row r="75" spans="1:21">
      <c r="A75" s="1042">
        <v>69</v>
      </c>
      <c r="B75" s="1043" t="s">
        <v>235</v>
      </c>
      <c r="C75" s="1044">
        <f>'Table 8 2.1.12 MFP Funded'!L72</f>
        <v>0</v>
      </c>
      <c r="D75" s="1045">
        <f>'Table 3 Levels 1&amp;2'!AL76</f>
        <v>5508.3397285189958</v>
      </c>
      <c r="E75" s="1142">
        <f t="shared" si="31"/>
        <v>0</v>
      </c>
      <c r="F75" s="1142">
        <f t="shared" si="35"/>
        <v>0</v>
      </c>
      <c r="G75" s="1097">
        <f t="shared" si="32"/>
        <v>0</v>
      </c>
      <c r="H75" s="1152">
        <f t="shared" si="36"/>
        <v>0</v>
      </c>
      <c r="I75" s="1097">
        <f t="shared" si="37"/>
        <v>0</v>
      </c>
      <c r="J75" s="1097"/>
      <c r="K75" s="1097">
        <f t="shared" si="38"/>
        <v>0</v>
      </c>
      <c r="L75" s="1097">
        <f t="shared" si="39"/>
        <v>0</v>
      </c>
      <c r="M75" s="1086">
        <f>'[8]FY2012-13 Initial'!$K76</f>
        <v>3233</v>
      </c>
      <c r="N75" s="1098">
        <f t="shared" si="33"/>
        <v>0</v>
      </c>
      <c r="O75" s="1157">
        <f t="shared" si="40"/>
        <v>0</v>
      </c>
      <c r="P75" s="1098">
        <f t="shared" si="41"/>
        <v>0</v>
      </c>
      <c r="Q75" s="1098"/>
      <c r="R75" s="1098">
        <f t="shared" si="42"/>
        <v>0</v>
      </c>
      <c r="S75" s="1098">
        <f t="shared" si="43"/>
        <v>0</v>
      </c>
      <c r="T75" s="1099">
        <f t="shared" si="44"/>
        <v>0</v>
      </c>
      <c r="U75" s="1099">
        <f t="shared" si="34"/>
        <v>0</v>
      </c>
    </row>
    <row r="76" spans="1:21" s="1053" customFormat="1" ht="13.5" thickBot="1">
      <c r="A76" s="1046"/>
      <c r="B76" s="1047" t="s">
        <v>167</v>
      </c>
      <c r="C76" s="1048">
        <f>SUM(C7:C75)</f>
        <v>368</v>
      </c>
      <c r="D76" s="1049">
        <f>'Table 3 Levels 1&amp;2'!AL77</f>
        <v>4325.8670725247357</v>
      </c>
      <c r="E76" s="1143">
        <f>SUM(E7:E75)</f>
        <v>1645305.3360418519</v>
      </c>
      <c r="F76" s="1143">
        <f>SUM(F7:F75)</f>
        <v>220212.53746126589</v>
      </c>
      <c r="G76" s="1050">
        <f>SUM(G7:G75)</f>
        <v>1865517.8735031176</v>
      </c>
      <c r="H76" s="1153">
        <f t="shared" ref="H76:J76" si="45">SUM(H7:H75)</f>
        <v>-4663.7946837577938</v>
      </c>
      <c r="I76" s="1050">
        <f t="shared" si="45"/>
        <v>1860854.0788193599</v>
      </c>
      <c r="J76" s="1050">
        <f t="shared" si="45"/>
        <v>0</v>
      </c>
      <c r="K76" s="1050">
        <f>SUM(K7:K75)</f>
        <v>1860854.0788193599</v>
      </c>
      <c r="L76" s="1050">
        <f>SUM(L7:L75)</f>
        <v>155071</v>
      </c>
      <c r="M76" s="1100"/>
      <c r="N76" s="1051">
        <f>SUM(N7:N75)</f>
        <v>1399839</v>
      </c>
      <c r="O76" s="1158">
        <f t="shared" ref="O76" si="46">SUM(O7:O75)</f>
        <v>-3499.5974999999999</v>
      </c>
      <c r="P76" s="1051">
        <f t="shared" ref="P76:U76" si="47">SUM(P7:P75)</f>
        <v>1396339.4025000001</v>
      </c>
      <c r="Q76" s="1051">
        <f t="shared" si="47"/>
        <v>0</v>
      </c>
      <c r="R76" s="1051">
        <f t="shared" si="47"/>
        <v>1396339.4025000001</v>
      </c>
      <c r="S76" s="1051">
        <f t="shared" si="47"/>
        <v>116362</v>
      </c>
      <c r="T76" s="1052">
        <f t="shared" si="47"/>
        <v>3257193.4813193604</v>
      </c>
      <c r="U76" s="1052">
        <f t="shared" si="47"/>
        <v>271433</v>
      </c>
    </row>
    <row r="77" spans="1:21" s="1053" customFormat="1" ht="13.5" thickTop="1">
      <c r="A77" s="1054"/>
      <c r="B77" s="1054"/>
      <c r="C77" s="1055"/>
      <c r="D77" s="1055"/>
      <c r="M77" s="1057"/>
      <c r="N77" s="1057"/>
      <c r="O77" s="1057"/>
      <c r="P77" s="1057"/>
      <c r="Q77" s="1057"/>
      <c r="R77" s="1057"/>
      <c r="S77" s="1057"/>
    </row>
    <row r="78" spans="1:21" ht="12.75" customHeight="1">
      <c r="A78" s="1059"/>
      <c r="C78" s="1060"/>
    </row>
    <row r="79" spans="1:21" ht="12.75" hidden="1" customHeight="1"/>
    <row r="80" spans="1:21" hidden="1"/>
    <row r="81" spans="3:12" hidden="1"/>
    <row r="82" spans="3:12" hidden="1"/>
    <row r="83" spans="3:12" hidden="1">
      <c r="E83" s="1061" t="s">
        <v>581</v>
      </c>
      <c r="F83" s="1061"/>
      <c r="G83" s="1061"/>
      <c r="H83" s="1061"/>
      <c r="I83" s="1061"/>
      <c r="J83" s="1061"/>
      <c r="K83" s="1061"/>
      <c r="L83" s="1061"/>
    </row>
    <row r="84" spans="3:12" ht="10.5" hidden="1" customHeight="1"/>
    <row r="85" spans="3:12" hidden="1"/>
    <row r="86" spans="3:12" hidden="1">
      <c r="C86" s="1063">
        <v>85661</v>
      </c>
      <c r="D86" s="1064" t="s">
        <v>582</v>
      </c>
    </row>
    <row r="87" spans="3:12" hidden="1">
      <c r="C87" s="1063">
        <v>650290</v>
      </c>
      <c r="D87" s="1064" t="s">
        <v>583</v>
      </c>
    </row>
    <row r="88" spans="3:12" hidden="1">
      <c r="C88" s="1065">
        <f>C86/C87</f>
        <v>0.13172738316750987</v>
      </c>
      <c r="D88" s="1064" t="s">
        <v>584</v>
      </c>
    </row>
    <row r="89" spans="3:12" hidden="1">
      <c r="C89" s="1063"/>
      <c r="D89" s="1064"/>
    </row>
    <row r="90" spans="3:12" hidden="1">
      <c r="C90" s="1063">
        <v>128510</v>
      </c>
      <c r="D90" s="1064" t="s">
        <v>585</v>
      </c>
    </row>
    <row r="91" spans="3:12" hidden="1">
      <c r="C91" s="1063">
        <v>911320</v>
      </c>
      <c r="D91" s="1064" t="s">
        <v>586</v>
      </c>
    </row>
    <row r="92" spans="3:12" hidden="1">
      <c r="C92" s="1065">
        <f>C90/C91</f>
        <v>0.14101523065443533</v>
      </c>
      <c r="D92" s="1064" t="s">
        <v>587</v>
      </c>
    </row>
    <row r="93" spans="3:12" hidden="1">
      <c r="C93" s="1063"/>
      <c r="D93" s="1064"/>
    </row>
    <row r="94" spans="3:12" hidden="1">
      <c r="C94" s="1066">
        <v>2663489616</v>
      </c>
      <c r="D94" s="1067" t="s">
        <v>588</v>
      </c>
    </row>
    <row r="95" spans="3:12" hidden="1">
      <c r="C95" s="1068">
        <f>C92</f>
        <v>0.14101523065443533</v>
      </c>
      <c r="D95" s="1067"/>
    </row>
    <row r="96" spans="3:12" hidden="1">
      <c r="C96" s="1069">
        <f>C94*C95</f>
        <v>375592602.54593337</v>
      </c>
      <c r="D96" s="1064" t="s">
        <v>589</v>
      </c>
    </row>
    <row r="97" spans="3:4" hidden="1">
      <c r="C97" s="1070">
        <f>50%/C92</f>
        <v>3.5457162866702978</v>
      </c>
      <c r="D97" s="1067" t="s">
        <v>590</v>
      </c>
    </row>
    <row r="98" spans="3:4" hidden="1">
      <c r="C98" s="1069">
        <f>C96*C97</f>
        <v>1331744808</v>
      </c>
      <c r="D98" s="1071" t="s">
        <v>591</v>
      </c>
    </row>
    <row r="99" spans="3:4" hidden="1">
      <c r="C99" s="1072">
        <f>C87</f>
        <v>650290</v>
      </c>
      <c r="D99" s="1067" t="s">
        <v>592</v>
      </c>
    </row>
    <row r="100" spans="3:4" hidden="1">
      <c r="C100" s="1069">
        <f>C98/C99</f>
        <v>2047.9244767719017</v>
      </c>
      <c r="D100" s="1067" t="s">
        <v>593</v>
      </c>
    </row>
    <row r="101" spans="3:4" hidden="1">
      <c r="C101" s="1073">
        <f>(C96/C99)*-1</f>
        <v>-577.57708490970697</v>
      </c>
      <c r="D101" s="1067" t="s">
        <v>594</v>
      </c>
    </row>
    <row r="102" spans="3:4" hidden="1">
      <c r="C102" s="1074">
        <f>SUM(C100:C101)</f>
        <v>1470.3473918621949</v>
      </c>
      <c r="D102" s="1067" t="s">
        <v>595</v>
      </c>
    </row>
    <row r="103" spans="3:4" hidden="1">
      <c r="C103" s="1074"/>
      <c r="D103" s="1067"/>
    </row>
    <row r="104" spans="3:4" hidden="1">
      <c r="C104" s="1074"/>
      <c r="D104" s="1067"/>
    </row>
    <row r="105" spans="3:4" hidden="1">
      <c r="D105" s="1067"/>
    </row>
    <row r="106" spans="3:4" hidden="1"/>
  </sheetData>
  <mergeCells count="18">
    <mergeCell ref="U2:U4"/>
    <mergeCell ref="C3:C4"/>
    <mergeCell ref="D3:D4"/>
    <mergeCell ref="E3:E4"/>
    <mergeCell ref="L3:L4"/>
    <mergeCell ref="M3:M4"/>
    <mergeCell ref="J3:J4"/>
    <mergeCell ref="K3:K4"/>
    <mergeCell ref="Q3:Q4"/>
    <mergeCell ref="R3:R4"/>
    <mergeCell ref="A2:B4"/>
    <mergeCell ref="C2:L2"/>
    <mergeCell ref="M2:S2"/>
    <mergeCell ref="T2:T4"/>
    <mergeCell ref="G3:G4"/>
    <mergeCell ref="N3:N4"/>
    <mergeCell ref="S3:S4"/>
    <mergeCell ref="I3:I4"/>
  </mergeCells>
  <printOptions horizontalCentered="1"/>
  <pageMargins left="0.27" right="0.25" top="0.87" bottom="0.2" header="0.25" footer="0.2"/>
  <pageSetup paperSize="5" scale="59" firstPageNumber="74" fitToWidth="3" orientation="portrait" useFirstPageNumber="1" r:id="rId1"/>
  <headerFooter alignWithMargins="0">
    <oddHeader xml:space="preserve">&amp;L&amp;"Arial,Bold"&amp;16Table 5D-2:  FY2012-13 MFP Budget Letter (Simulation) &amp;"Arial,Regular"&amp;10
&amp;"Arial,Bold"&amp;14Legacy Type 2 Charters &amp;R&amp;"Arial,Bold"&amp;12&amp;KFF0000
</oddHeader>
    <oddFooter>&amp;R&amp;P</oddFooter>
  </headerFooter>
  <colBreaks count="1" manualBreakCount="1">
    <brk id="12" min="1" max="78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106"/>
  <sheetViews>
    <sheetView view="pageBreakPreview" zoomScaleNormal="100" zoomScaleSheetLayoutView="10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85546875" style="1005" customWidth="1"/>
    <col min="2" max="2" width="23.7109375" style="1005" customWidth="1"/>
    <col min="3" max="3" width="11.85546875" style="1008" customWidth="1"/>
    <col min="4" max="4" width="15.28515625" style="1008" customWidth="1"/>
    <col min="5" max="5" width="11" style="1008" customWidth="1"/>
    <col min="6" max="6" width="12.5703125" style="1008" bestFit="1" customWidth="1"/>
    <col min="7" max="7" width="11.85546875" style="1008" customWidth="1"/>
    <col min="8" max="8" width="11" style="1008" customWidth="1"/>
    <col min="9" max="11" width="11.7109375" style="1008" customWidth="1"/>
    <col min="12" max="12" width="9.42578125" style="1008" bestFit="1" customWidth="1"/>
    <col min="13" max="13" width="17.7109375" style="1084" customWidth="1"/>
    <col min="14" max="14" width="13.7109375" style="1008" bestFit="1" customWidth="1"/>
    <col min="15" max="18" width="13.7109375" style="1008" customWidth="1"/>
    <col min="19" max="19" width="10.85546875" style="1008" bestFit="1" customWidth="1"/>
    <col min="20" max="21" width="12.5703125" style="1005" customWidth="1"/>
    <col min="22" max="16384" width="12.5703125" style="1005"/>
  </cols>
  <sheetData>
    <row r="1" spans="1:21" ht="9" customHeight="1">
      <c r="B1" s="1006"/>
      <c r="C1" s="1007"/>
      <c r="D1" s="1007"/>
    </row>
    <row r="2" spans="1:21" s="1010" customFormat="1" ht="37.5" customHeight="1">
      <c r="A2" s="1874" t="s">
        <v>1214</v>
      </c>
      <c r="B2" s="1875"/>
      <c r="C2" s="1843" t="s">
        <v>759</v>
      </c>
      <c r="D2" s="1791"/>
      <c r="E2" s="1791"/>
      <c r="F2" s="1791"/>
      <c r="G2" s="1791"/>
      <c r="H2" s="1791"/>
      <c r="I2" s="1791"/>
      <c r="J2" s="1791"/>
      <c r="K2" s="1791"/>
      <c r="L2" s="1792"/>
      <c r="M2" s="1770" t="s">
        <v>772</v>
      </c>
      <c r="N2" s="1771"/>
      <c r="O2" s="1771"/>
      <c r="P2" s="1771"/>
      <c r="Q2" s="1771"/>
      <c r="R2" s="1771"/>
      <c r="S2" s="1772"/>
      <c r="T2" s="1764" t="s">
        <v>1425</v>
      </c>
      <c r="U2" s="1764" t="s">
        <v>1389</v>
      </c>
    </row>
    <row r="3" spans="1:21" ht="90" customHeight="1">
      <c r="A3" s="1876"/>
      <c r="B3" s="1877"/>
      <c r="C3" s="1779" t="s">
        <v>1192</v>
      </c>
      <c r="D3" s="1781" t="s">
        <v>819</v>
      </c>
      <c r="E3" s="1781" t="s">
        <v>1406</v>
      </c>
      <c r="F3" s="1011" t="s">
        <v>779</v>
      </c>
      <c r="G3" s="1779" t="s">
        <v>1407</v>
      </c>
      <c r="H3" s="1133" t="s">
        <v>813</v>
      </c>
      <c r="I3" s="1779" t="s">
        <v>1408</v>
      </c>
      <c r="J3" s="1779" t="s">
        <v>1197</v>
      </c>
      <c r="K3" s="1779" t="s">
        <v>1409</v>
      </c>
      <c r="L3" s="1781" t="s">
        <v>1410</v>
      </c>
      <c r="M3" s="1793" t="s">
        <v>1306</v>
      </c>
      <c r="N3" s="1795" t="s">
        <v>1411</v>
      </c>
      <c r="O3" s="1135" t="s">
        <v>815</v>
      </c>
      <c r="P3" s="1135" t="s">
        <v>818</v>
      </c>
      <c r="Q3" s="1795" t="s">
        <v>1197</v>
      </c>
      <c r="R3" s="1795" t="s">
        <v>1412</v>
      </c>
      <c r="S3" s="1795" t="s">
        <v>1413</v>
      </c>
      <c r="T3" s="1765"/>
      <c r="U3" s="1765"/>
    </row>
    <row r="4" spans="1:21" ht="30.75" customHeight="1">
      <c r="A4" s="1878"/>
      <c r="B4" s="1879"/>
      <c r="C4" s="1780"/>
      <c r="D4" s="1781"/>
      <c r="E4" s="1781"/>
      <c r="F4" s="1102">
        <v>714.81015756302509</v>
      </c>
      <c r="G4" s="1780"/>
      <c r="H4" s="1144">
        <v>2.5000000000000001E-3</v>
      </c>
      <c r="I4" s="1780"/>
      <c r="J4" s="1780"/>
      <c r="K4" s="1780"/>
      <c r="L4" s="1781"/>
      <c r="M4" s="1794"/>
      <c r="N4" s="1787"/>
      <c r="O4" s="1145">
        <v>2.5000000000000001E-3</v>
      </c>
      <c r="P4" s="1134"/>
      <c r="Q4" s="1787"/>
      <c r="R4" s="1787"/>
      <c r="S4" s="1787"/>
      <c r="T4" s="1766"/>
      <c r="U4" s="1766"/>
    </row>
    <row r="5" spans="1:21" s="1015" customFormat="1" ht="14.25" customHeight="1">
      <c r="A5" s="1012"/>
      <c r="B5" s="1013"/>
      <c r="C5" s="1014">
        <v>1</v>
      </c>
      <c r="D5" s="1014">
        <f t="shared" ref="D5:N5" si="0">C5+1</f>
        <v>2</v>
      </c>
      <c r="E5" s="1014">
        <f>D5+1</f>
        <v>3</v>
      </c>
      <c r="F5" s="1014">
        <f t="shared" ref="F5:G5" si="1">E5+1</f>
        <v>4</v>
      </c>
      <c r="G5" s="1014">
        <f t="shared" si="1"/>
        <v>5</v>
      </c>
      <c r="H5" s="1014">
        <f t="shared" ref="H5" si="2">G5+1</f>
        <v>6</v>
      </c>
      <c r="I5" s="1014">
        <f t="shared" ref="I5" si="3">H5+1</f>
        <v>7</v>
      </c>
      <c r="J5" s="1014">
        <f t="shared" ref="J5" si="4">I5+1</f>
        <v>8</v>
      </c>
      <c r="K5" s="1014">
        <f t="shared" ref="K5" si="5">J5+1</f>
        <v>9</v>
      </c>
      <c r="L5" s="1014">
        <f t="shared" ref="L5" si="6">K5+1</f>
        <v>10</v>
      </c>
      <c r="M5" s="1014">
        <f t="shared" si="0"/>
        <v>11</v>
      </c>
      <c r="N5" s="1014">
        <f t="shared" si="0"/>
        <v>12</v>
      </c>
      <c r="O5" s="1014">
        <f t="shared" ref="O5" si="7">N5+1</f>
        <v>13</v>
      </c>
      <c r="P5" s="1014">
        <f t="shared" ref="P5" si="8">O5+1</f>
        <v>14</v>
      </c>
      <c r="Q5" s="1014">
        <f t="shared" ref="Q5" si="9">P5+1</f>
        <v>15</v>
      </c>
      <c r="R5" s="1014">
        <f t="shared" ref="R5" si="10">Q5+1</f>
        <v>16</v>
      </c>
      <c r="S5" s="1014">
        <f t="shared" ref="S5" si="11">R5+1</f>
        <v>17</v>
      </c>
      <c r="T5" s="1014">
        <f t="shared" ref="T5" si="12">S5+1</f>
        <v>18</v>
      </c>
      <c r="U5" s="1014">
        <f t="shared" ref="U5" si="13">T5+1</f>
        <v>19</v>
      </c>
    </row>
    <row r="6" spans="1:21" s="1020" customFormat="1" ht="27" customHeight="1">
      <c r="A6" s="1016"/>
      <c r="B6" s="1017"/>
      <c r="C6" s="1018" t="s">
        <v>660</v>
      </c>
      <c r="D6" s="1019" t="s">
        <v>571</v>
      </c>
      <c r="E6" s="1018" t="s">
        <v>864</v>
      </c>
      <c r="F6" s="1019" t="s">
        <v>781</v>
      </c>
      <c r="G6" s="1018" t="s">
        <v>780</v>
      </c>
      <c r="H6" s="1018" t="s">
        <v>814</v>
      </c>
      <c r="I6" s="1018" t="s">
        <v>816</v>
      </c>
      <c r="J6" s="1018"/>
      <c r="K6" s="1018" t="s">
        <v>1217</v>
      </c>
      <c r="L6" s="1018" t="s">
        <v>869</v>
      </c>
      <c r="M6" s="1085" t="s">
        <v>571</v>
      </c>
      <c r="N6" s="1079" t="s">
        <v>870</v>
      </c>
      <c r="O6" s="1079" t="s">
        <v>1218</v>
      </c>
      <c r="P6" s="1079" t="s">
        <v>1215</v>
      </c>
      <c r="Q6" s="1019"/>
      <c r="R6" s="1079" t="s">
        <v>1216</v>
      </c>
      <c r="S6" s="1079" t="s">
        <v>872</v>
      </c>
      <c r="T6" s="1079" t="s">
        <v>873</v>
      </c>
      <c r="U6" s="1079" t="s">
        <v>874</v>
      </c>
    </row>
    <row r="7" spans="1:21">
      <c r="A7" s="1021">
        <v>1</v>
      </c>
      <c r="B7" s="1022" t="s">
        <v>102</v>
      </c>
      <c r="C7" s="1023">
        <f>'Table 8 2.1.12 MFP Funded'!M4</f>
        <v>0</v>
      </c>
      <c r="D7" s="1024">
        <f>'Table 3 Levels 1&amp;2'!AL8</f>
        <v>4621.8175818834352</v>
      </c>
      <c r="E7" s="1136">
        <f t="shared" ref="E7:E38" si="14">D7*C7</f>
        <v>0</v>
      </c>
      <c r="F7" s="1136">
        <f>C7*$F$4</f>
        <v>0</v>
      </c>
      <c r="G7" s="1025">
        <f t="shared" ref="G7:G38" si="15">E7+F7</f>
        <v>0</v>
      </c>
      <c r="H7" s="1146">
        <f>-G7*$H$4</f>
        <v>0</v>
      </c>
      <c r="I7" s="1025">
        <f>SUM(G7:H7)</f>
        <v>0</v>
      </c>
      <c r="J7" s="1025"/>
      <c r="K7" s="1025">
        <f>SUM(I7:J7)</f>
        <v>0</v>
      </c>
      <c r="L7" s="1025">
        <f>ROUND(K7/12,0)</f>
        <v>0</v>
      </c>
      <c r="M7" s="1086">
        <f>'[8]FY2012-13 Initial'!$D8</f>
        <v>2022</v>
      </c>
      <c r="N7" s="1026">
        <f t="shared" ref="N7:N38" si="16">M7*C7</f>
        <v>0</v>
      </c>
      <c r="O7" s="1154">
        <f>-N7*$O$4</f>
        <v>0</v>
      </c>
      <c r="P7" s="1026">
        <f>SUM(N7:O7)</f>
        <v>0</v>
      </c>
      <c r="Q7" s="1026"/>
      <c r="R7" s="1026">
        <f>SUM(P7:Q7)</f>
        <v>0</v>
      </c>
      <c r="S7" s="1026">
        <f>ROUND(R7/12,0)</f>
        <v>0</v>
      </c>
      <c r="T7" s="1027">
        <f>K7+R7</f>
        <v>0</v>
      </c>
      <c r="U7" s="1027">
        <f>L7+S7</f>
        <v>0</v>
      </c>
    </row>
    <row r="8" spans="1:21">
      <c r="A8" s="1028">
        <v>2</v>
      </c>
      <c r="B8" s="1029" t="s">
        <v>103</v>
      </c>
      <c r="C8" s="1030">
        <f>'Table 8 2.1.12 MFP Funded'!M5</f>
        <v>0</v>
      </c>
      <c r="D8" s="1031">
        <f>'Table 3 Levels 1&amp;2'!AL9</f>
        <v>6131.8351665660375</v>
      </c>
      <c r="E8" s="1137">
        <f t="shared" si="14"/>
        <v>0</v>
      </c>
      <c r="F8" s="1137">
        <f t="shared" ref="F8:F71" si="17">C8*$F$4</f>
        <v>0</v>
      </c>
      <c r="G8" s="1087">
        <f t="shared" si="15"/>
        <v>0</v>
      </c>
      <c r="H8" s="1147">
        <f t="shared" ref="H8:H71" si="18">-G8*$H$4</f>
        <v>0</v>
      </c>
      <c r="I8" s="1087">
        <f t="shared" ref="I8:I71" si="19">SUM(G8:H8)</f>
        <v>0</v>
      </c>
      <c r="J8" s="1087"/>
      <c r="K8" s="1087">
        <f t="shared" ref="K8:K71" si="20">SUM(I8:J8)</f>
        <v>0</v>
      </c>
      <c r="L8" s="1087">
        <f t="shared" ref="L8:L71" si="21">ROUND(K8/12,0)</f>
        <v>0</v>
      </c>
      <c r="M8" s="1086">
        <f>'[8]FY2012-13 Initial'!$D9</f>
        <v>2170</v>
      </c>
      <c r="N8" s="1088">
        <f t="shared" si="16"/>
        <v>0</v>
      </c>
      <c r="O8" s="1155">
        <f t="shared" ref="O8:O71" si="22">-N8*$O$4</f>
        <v>0</v>
      </c>
      <c r="P8" s="1088">
        <f t="shared" ref="P8:P71" si="23">SUM(N8:O8)</f>
        <v>0</v>
      </c>
      <c r="Q8" s="1088"/>
      <c r="R8" s="1088">
        <f t="shared" ref="R8:R71" si="24">SUM(P8:Q8)</f>
        <v>0</v>
      </c>
      <c r="S8" s="1088">
        <f t="shared" ref="S8:S71" si="25">ROUND(R8/12,0)</f>
        <v>0</v>
      </c>
      <c r="T8" s="1089">
        <f t="shared" ref="T8:T71" si="26">K8+R8</f>
        <v>0</v>
      </c>
      <c r="U8" s="1089">
        <f t="shared" ref="U8:U70" si="27">L8+S8</f>
        <v>0</v>
      </c>
    </row>
    <row r="9" spans="1:21" ht="12.75" customHeight="1">
      <c r="A9" s="1028">
        <v>3</v>
      </c>
      <c r="B9" s="1029" t="s">
        <v>104</v>
      </c>
      <c r="C9" s="1030">
        <f>'Table 8 2.1.12 MFP Funded'!M6</f>
        <v>0</v>
      </c>
      <c r="D9" s="1031">
        <f>'Table 3 Levels 1&amp;2'!AL10</f>
        <v>4326.5384352059973</v>
      </c>
      <c r="E9" s="1137">
        <f t="shared" si="14"/>
        <v>0</v>
      </c>
      <c r="F9" s="1137">
        <f t="shared" si="17"/>
        <v>0</v>
      </c>
      <c r="G9" s="1087">
        <f t="shared" si="15"/>
        <v>0</v>
      </c>
      <c r="H9" s="1147">
        <f t="shared" si="18"/>
        <v>0</v>
      </c>
      <c r="I9" s="1087">
        <f t="shared" si="19"/>
        <v>0</v>
      </c>
      <c r="J9" s="1087"/>
      <c r="K9" s="1087">
        <f t="shared" si="20"/>
        <v>0</v>
      </c>
      <c r="L9" s="1087">
        <f t="shared" si="21"/>
        <v>0</v>
      </c>
      <c r="M9" s="1086">
        <f>'[8]FY2012-13 Initial'!$D10</f>
        <v>4272</v>
      </c>
      <c r="N9" s="1088">
        <f t="shared" si="16"/>
        <v>0</v>
      </c>
      <c r="O9" s="1155">
        <f t="shared" si="22"/>
        <v>0</v>
      </c>
      <c r="P9" s="1088">
        <f t="shared" si="23"/>
        <v>0</v>
      </c>
      <c r="Q9" s="1088"/>
      <c r="R9" s="1088">
        <f t="shared" si="24"/>
        <v>0</v>
      </c>
      <c r="S9" s="1088">
        <f t="shared" si="25"/>
        <v>0</v>
      </c>
      <c r="T9" s="1089">
        <f t="shared" si="26"/>
        <v>0</v>
      </c>
      <c r="U9" s="1089">
        <f t="shared" si="27"/>
        <v>0</v>
      </c>
    </row>
    <row r="10" spans="1:21" ht="12.75" customHeight="1">
      <c r="A10" s="1028">
        <v>4</v>
      </c>
      <c r="B10" s="1029" t="s">
        <v>105</v>
      </c>
      <c r="C10" s="1030">
        <f>'Table 8 2.1.12 MFP Funded'!M7</f>
        <v>0</v>
      </c>
      <c r="D10" s="1031">
        <f>'Table 3 Levels 1&amp;2'!AL11</f>
        <v>6066.2659652331004</v>
      </c>
      <c r="E10" s="1137">
        <f t="shared" si="14"/>
        <v>0</v>
      </c>
      <c r="F10" s="1137">
        <f t="shared" si="17"/>
        <v>0</v>
      </c>
      <c r="G10" s="1087">
        <f t="shared" si="15"/>
        <v>0</v>
      </c>
      <c r="H10" s="1147">
        <f t="shared" si="18"/>
        <v>0</v>
      </c>
      <c r="I10" s="1087">
        <f t="shared" si="19"/>
        <v>0</v>
      </c>
      <c r="J10" s="1087"/>
      <c r="K10" s="1087">
        <f t="shared" si="20"/>
        <v>0</v>
      </c>
      <c r="L10" s="1087">
        <f t="shared" si="21"/>
        <v>0</v>
      </c>
      <c r="M10" s="1086">
        <f>'[8]FY2012-13 Initial'!$D11</f>
        <v>3361</v>
      </c>
      <c r="N10" s="1088">
        <f t="shared" si="16"/>
        <v>0</v>
      </c>
      <c r="O10" s="1155">
        <f t="shared" si="22"/>
        <v>0</v>
      </c>
      <c r="P10" s="1088">
        <f t="shared" si="23"/>
        <v>0</v>
      </c>
      <c r="Q10" s="1088"/>
      <c r="R10" s="1088">
        <f t="shared" si="24"/>
        <v>0</v>
      </c>
      <c r="S10" s="1088">
        <f t="shared" si="25"/>
        <v>0</v>
      </c>
      <c r="T10" s="1089">
        <f t="shared" si="26"/>
        <v>0</v>
      </c>
      <c r="U10" s="1089">
        <f t="shared" si="27"/>
        <v>0</v>
      </c>
    </row>
    <row r="11" spans="1:21">
      <c r="A11" s="1032">
        <v>5</v>
      </c>
      <c r="B11" s="1033" t="s">
        <v>106</v>
      </c>
      <c r="C11" s="1034">
        <f>'Table 8 2.1.12 MFP Funded'!M8</f>
        <v>0</v>
      </c>
      <c r="D11" s="1035">
        <f>'Table 3 Levels 1&amp;2'!AL12</f>
        <v>4806.2126132223084</v>
      </c>
      <c r="E11" s="1138">
        <f t="shared" si="14"/>
        <v>0</v>
      </c>
      <c r="F11" s="1138">
        <f t="shared" si="17"/>
        <v>0</v>
      </c>
      <c r="G11" s="1090">
        <f t="shared" si="15"/>
        <v>0</v>
      </c>
      <c r="H11" s="1148">
        <f t="shared" si="18"/>
        <v>0</v>
      </c>
      <c r="I11" s="1090">
        <f t="shared" si="19"/>
        <v>0</v>
      </c>
      <c r="J11" s="1090"/>
      <c r="K11" s="1090">
        <f t="shared" si="20"/>
        <v>0</v>
      </c>
      <c r="L11" s="1090">
        <f t="shared" si="21"/>
        <v>0</v>
      </c>
      <c r="M11" s="1091">
        <f>'[8]FY2012-13 Initial'!$D12</f>
        <v>1146</v>
      </c>
      <c r="N11" s="1092">
        <f t="shared" si="16"/>
        <v>0</v>
      </c>
      <c r="O11" s="1156">
        <f t="shared" si="22"/>
        <v>0</v>
      </c>
      <c r="P11" s="1092">
        <f t="shared" si="23"/>
        <v>0</v>
      </c>
      <c r="Q11" s="1092"/>
      <c r="R11" s="1092">
        <f t="shared" si="24"/>
        <v>0</v>
      </c>
      <c r="S11" s="1092">
        <f t="shared" si="25"/>
        <v>0</v>
      </c>
      <c r="T11" s="1093">
        <f t="shared" si="26"/>
        <v>0</v>
      </c>
      <c r="U11" s="1093">
        <f t="shared" si="27"/>
        <v>0</v>
      </c>
    </row>
    <row r="12" spans="1:21" ht="12.75" customHeight="1">
      <c r="A12" s="1021">
        <v>6</v>
      </c>
      <c r="B12" s="1022" t="s">
        <v>107</v>
      </c>
      <c r="C12" s="1023">
        <f>'Table 8 2.1.12 MFP Funded'!M9</f>
        <v>0</v>
      </c>
      <c r="D12" s="1024">
        <f>'Table 3 Levels 1&amp;2'!AL13</f>
        <v>5538.0879878550813</v>
      </c>
      <c r="E12" s="1136">
        <f t="shared" si="14"/>
        <v>0</v>
      </c>
      <c r="F12" s="1136">
        <f t="shared" si="17"/>
        <v>0</v>
      </c>
      <c r="G12" s="1025">
        <f t="shared" si="15"/>
        <v>0</v>
      </c>
      <c r="H12" s="1146">
        <f t="shared" si="18"/>
        <v>0</v>
      </c>
      <c r="I12" s="1025">
        <f t="shared" si="19"/>
        <v>0</v>
      </c>
      <c r="J12" s="1025"/>
      <c r="K12" s="1025">
        <f t="shared" si="20"/>
        <v>0</v>
      </c>
      <c r="L12" s="1025">
        <f t="shared" si="21"/>
        <v>0</v>
      </c>
      <c r="M12" s="1086">
        <f>'[8]FY2012-13 Initial'!$D13</f>
        <v>2828</v>
      </c>
      <c r="N12" s="1026">
        <f t="shared" si="16"/>
        <v>0</v>
      </c>
      <c r="O12" s="1154">
        <f t="shared" si="22"/>
        <v>0</v>
      </c>
      <c r="P12" s="1026">
        <f t="shared" si="23"/>
        <v>0</v>
      </c>
      <c r="Q12" s="1026"/>
      <c r="R12" s="1026">
        <f t="shared" si="24"/>
        <v>0</v>
      </c>
      <c r="S12" s="1026">
        <f t="shared" si="25"/>
        <v>0</v>
      </c>
      <c r="T12" s="1027">
        <f t="shared" si="26"/>
        <v>0</v>
      </c>
      <c r="U12" s="1027">
        <f t="shared" si="27"/>
        <v>0</v>
      </c>
    </row>
    <row r="13" spans="1:21">
      <c r="A13" s="1028">
        <v>7</v>
      </c>
      <c r="B13" s="1029" t="s">
        <v>108</v>
      </c>
      <c r="C13" s="1030">
        <f>'Table 8 2.1.12 MFP Funded'!M10</f>
        <v>0</v>
      </c>
      <c r="D13" s="1031">
        <f>'Table 3 Levels 1&amp;2'!AL14</f>
        <v>1543.5712353471597</v>
      </c>
      <c r="E13" s="1137">
        <f t="shared" si="14"/>
        <v>0</v>
      </c>
      <c r="F13" s="1137">
        <f t="shared" si="17"/>
        <v>0</v>
      </c>
      <c r="G13" s="1087">
        <f t="shared" si="15"/>
        <v>0</v>
      </c>
      <c r="H13" s="1147">
        <f t="shared" si="18"/>
        <v>0</v>
      </c>
      <c r="I13" s="1087">
        <f t="shared" si="19"/>
        <v>0</v>
      </c>
      <c r="J13" s="1087"/>
      <c r="K13" s="1087">
        <f t="shared" si="20"/>
        <v>0</v>
      </c>
      <c r="L13" s="1087">
        <f t="shared" si="21"/>
        <v>0</v>
      </c>
      <c r="M13" s="1086">
        <f>'[8]FY2012-13 Initial'!$D14</f>
        <v>12271</v>
      </c>
      <c r="N13" s="1088">
        <f t="shared" si="16"/>
        <v>0</v>
      </c>
      <c r="O13" s="1155">
        <f t="shared" si="22"/>
        <v>0</v>
      </c>
      <c r="P13" s="1088">
        <f t="shared" si="23"/>
        <v>0</v>
      </c>
      <c r="Q13" s="1088"/>
      <c r="R13" s="1088">
        <f t="shared" si="24"/>
        <v>0</v>
      </c>
      <c r="S13" s="1088">
        <f t="shared" si="25"/>
        <v>0</v>
      </c>
      <c r="T13" s="1089">
        <f t="shared" si="26"/>
        <v>0</v>
      </c>
      <c r="U13" s="1089">
        <f t="shared" si="27"/>
        <v>0</v>
      </c>
    </row>
    <row r="14" spans="1:21">
      <c r="A14" s="1028">
        <v>8</v>
      </c>
      <c r="B14" s="1029" t="s">
        <v>109</v>
      </c>
      <c r="C14" s="1030">
        <f>'Table 8 2.1.12 MFP Funded'!M11</f>
        <v>0</v>
      </c>
      <c r="D14" s="1031">
        <f>'Table 3 Levels 1&amp;2'!AL15</f>
        <v>4033.4866571910334</v>
      </c>
      <c r="E14" s="1137">
        <f t="shared" si="14"/>
        <v>0</v>
      </c>
      <c r="F14" s="1137">
        <f t="shared" si="17"/>
        <v>0</v>
      </c>
      <c r="G14" s="1087">
        <f t="shared" si="15"/>
        <v>0</v>
      </c>
      <c r="H14" s="1147">
        <f t="shared" si="18"/>
        <v>0</v>
      </c>
      <c r="I14" s="1087">
        <f t="shared" si="19"/>
        <v>0</v>
      </c>
      <c r="J14" s="1087"/>
      <c r="K14" s="1087">
        <f t="shared" si="20"/>
        <v>0</v>
      </c>
      <c r="L14" s="1087">
        <f t="shared" si="21"/>
        <v>0</v>
      </c>
      <c r="M14" s="1086">
        <f>'[8]FY2012-13 Initial'!$D15</f>
        <v>3686</v>
      </c>
      <c r="N14" s="1088">
        <f t="shared" si="16"/>
        <v>0</v>
      </c>
      <c r="O14" s="1155">
        <f t="shared" si="22"/>
        <v>0</v>
      </c>
      <c r="P14" s="1088">
        <f t="shared" si="23"/>
        <v>0</v>
      </c>
      <c r="Q14" s="1088"/>
      <c r="R14" s="1088">
        <f t="shared" si="24"/>
        <v>0</v>
      </c>
      <c r="S14" s="1088">
        <f t="shared" si="25"/>
        <v>0</v>
      </c>
      <c r="T14" s="1089">
        <f t="shared" si="26"/>
        <v>0</v>
      </c>
      <c r="U14" s="1089">
        <f t="shared" si="27"/>
        <v>0</v>
      </c>
    </row>
    <row r="15" spans="1:21">
      <c r="A15" s="1028">
        <v>9</v>
      </c>
      <c r="B15" s="1029" t="s">
        <v>110</v>
      </c>
      <c r="C15" s="1030">
        <f>'Table 8 2.1.12 MFP Funded'!M12</f>
        <v>0</v>
      </c>
      <c r="D15" s="1031">
        <f>'Table 3 Levels 1&amp;2'!AL16</f>
        <v>4268.3217271902904</v>
      </c>
      <c r="E15" s="1137">
        <f t="shared" si="14"/>
        <v>0</v>
      </c>
      <c r="F15" s="1137">
        <f t="shared" si="17"/>
        <v>0</v>
      </c>
      <c r="G15" s="1087">
        <f t="shared" si="15"/>
        <v>0</v>
      </c>
      <c r="H15" s="1147">
        <f t="shared" si="18"/>
        <v>0</v>
      </c>
      <c r="I15" s="1087">
        <f t="shared" si="19"/>
        <v>0</v>
      </c>
      <c r="J15" s="1087"/>
      <c r="K15" s="1087">
        <f t="shared" si="20"/>
        <v>0</v>
      </c>
      <c r="L15" s="1087">
        <f t="shared" si="21"/>
        <v>0</v>
      </c>
      <c r="M15" s="1086">
        <f>'[8]FY2012-13 Initial'!$D16</f>
        <v>3866</v>
      </c>
      <c r="N15" s="1088">
        <f t="shared" si="16"/>
        <v>0</v>
      </c>
      <c r="O15" s="1155">
        <f t="shared" si="22"/>
        <v>0</v>
      </c>
      <c r="P15" s="1088">
        <f t="shared" si="23"/>
        <v>0</v>
      </c>
      <c r="Q15" s="1088"/>
      <c r="R15" s="1088">
        <f t="shared" si="24"/>
        <v>0</v>
      </c>
      <c r="S15" s="1088">
        <f t="shared" si="25"/>
        <v>0</v>
      </c>
      <c r="T15" s="1089">
        <f t="shared" si="26"/>
        <v>0</v>
      </c>
      <c r="U15" s="1089">
        <f t="shared" si="27"/>
        <v>0</v>
      </c>
    </row>
    <row r="16" spans="1:21">
      <c r="A16" s="1032">
        <v>10</v>
      </c>
      <c r="B16" s="1033" t="s">
        <v>111</v>
      </c>
      <c r="C16" s="1034">
        <f>'Table 8 2.1.12 MFP Funded'!M13</f>
        <v>0</v>
      </c>
      <c r="D16" s="1035">
        <f>'Table 3 Levels 1&amp;2'!AL17</f>
        <v>4300.0681374076885</v>
      </c>
      <c r="E16" s="1138">
        <f t="shared" si="14"/>
        <v>0</v>
      </c>
      <c r="F16" s="1138">
        <f t="shared" si="17"/>
        <v>0</v>
      </c>
      <c r="G16" s="1090">
        <f t="shared" si="15"/>
        <v>0</v>
      </c>
      <c r="H16" s="1148">
        <f t="shared" si="18"/>
        <v>0</v>
      </c>
      <c r="I16" s="1090">
        <f t="shared" si="19"/>
        <v>0</v>
      </c>
      <c r="J16" s="1090"/>
      <c r="K16" s="1090">
        <f t="shared" si="20"/>
        <v>0</v>
      </c>
      <c r="L16" s="1090">
        <f t="shared" si="21"/>
        <v>0</v>
      </c>
      <c r="M16" s="1091">
        <f>'[8]FY2012-13 Initial'!$D17</f>
        <v>3611</v>
      </c>
      <c r="N16" s="1092">
        <f t="shared" si="16"/>
        <v>0</v>
      </c>
      <c r="O16" s="1156">
        <f t="shared" si="22"/>
        <v>0</v>
      </c>
      <c r="P16" s="1092">
        <f t="shared" si="23"/>
        <v>0</v>
      </c>
      <c r="Q16" s="1092"/>
      <c r="R16" s="1092">
        <f t="shared" si="24"/>
        <v>0</v>
      </c>
      <c r="S16" s="1092">
        <f t="shared" si="25"/>
        <v>0</v>
      </c>
      <c r="T16" s="1093">
        <f t="shared" si="26"/>
        <v>0</v>
      </c>
      <c r="U16" s="1093">
        <f t="shared" si="27"/>
        <v>0</v>
      </c>
    </row>
    <row r="17" spans="1:21">
      <c r="A17" s="1021">
        <v>11</v>
      </c>
      <c r="B17" s="1022" t="s">
        <v>112</v>
      </c>
      <c r="C17" s="1023">
        <f>'Table 8 2.1.12 MFP Funded'!M14</f>
        <v>0</v>
      </c>
      <c r="D17" s="1024">
        <f>'Table 3 Levels 1&amp;2'!AL18</f>
        <v>6740.2393955908683</v>
      </c>
      <c r="E17" s="1136">
        <f t="shared" si="14"/>
        <v>0</v>
      </c>
      <c r="F17" s="1136">
        <f t="shared" si="17"/>
        <v>0</v>
      </c>
      <c r="G17" s="1025">
        <f t="shared" si="15"/>
        <v>0</v>
      </c>
      <c r="H17" s="1146">
        <f t="shared" si="18"/>
        <v>0</v>
      </c>
      <c r="I17" s="1025">
        <f t="shared" si="19"/>
        <v>0</v>
      </c>
      <c r="J17" s="1025"/>
      <c r="K17" s="1025">
        <f t="shared" si="20"/>
        <v>0</v>
      </c>
      <c r="L17" s="1025">
        <f t="shared" si="21"/>
        <v>0</v>
      </c>
      <c r="M17" s="1086">
        <f>'[8]FY2012-13 Initial'!$D18</f>
        <v>2086</v>
      </c>
      <c r="N17" s="1026">
        <f t="shared" si="16"/>
        <v>0</v>
      </c>
      <c r="O17" s="1154">
        <f t="shared" si="22"/>
        <v>0</v>
      </c>
      <c r="P17" s="1026">
        <f t="shared" si="23"/>
        <v>0</v>
      </c>
      <c r="Q17" s="1026"/>
      <c r="R17" s="1026">
        <f t="shared" si="24"/>
        <v>0</v>
      </c>
      <c r="S17" s="1026">
        <f t="shared" si="25"/>
        <v>0</v>
      </c>
      <c r="T17" s="1027">
        <f t="shared" si="26"/>
        <v>0</v>
      </c>
      <c r="U17" s="1027">
        <f t="shared" si="27"/>
        <v>0</v>
      </c>
    </row>
    <row r="18" spans="1:21">
      <c r="A18" s="1028">
        <v>12</v>
      </c>
      <c r="B18" s="1029" t="s">
        <v>113</v>
      </c>
      <c r="C18" s="1030">
        <f>'Table 8 2.1.12 MFP Funded'!M15</f>
        <v>0</v>
      </c>
      <c r="D18" s="1031">
        <f>'Table 3 Levels 1&amp;2'!AL19</f>
        <v>1781.2877551020408</v>
      </c>
      <c r="E18" s="1137">
        <f t="shared" si="14"/>
        <v>0</v>
      </c>
      <c r="F18" s="1137">
        <f t="shared" si="17"/>
        <v>0</v>
      </c>
      <c r="G18" s="1087">
        <f t="shared" si="15"/>
        <v>0</v>
      </c>
      <c r="H18" s="1147">
        <f t="shared" si="18"/>
        <v>0</v>
      </c>
      <c r="I18" s="1087">
        <f t="shared" si="19"/>
        <v>0</v>
      </c>
      <c r="J18" s="1087"/>
      <c r="K18" s="1087">
        <f t="shared" si="20"/>
        <v>0</v>
      </c>
      <c r="L18" s="1087">
        <f t="shared" si="21"/>
        <v>0</v>
      </c>
      <c r="M18" s="1086">
        <f>'[8]FY2012-13 Initial'!$D19</f>
        <v>11799</v>
      </c>
      <c r="N18" s="1088">
        <f t="shared" si="16"/>
        <v>0</v>
      </c>
      <c r="O18" s="1155">
        <f t="shared" si="22"/>
        <v>0</v>
      </c>
      <c r="P18" s="1088">
        <f t="shared" si="23"/>
        <v>0</v>
      </c>
      <c r="Q18" s="1088"/>
      <c r="R18" s="1088">
        <f t="shared" si="24"/>
        <v>0</v>
      </c>
      <c r="S18" s="1088">
        <f t="shared" si="25"/>
        <v>0</v>
      </c>
      <c r="T18" s="1089">
        <f t="shared" si="26"/>
        <v>0</v>
      </c>
      <c r="U18" s="1089">
        <f t="shared" si="27"/>
        <v>0</v>
      </c>
    </row>
    <row r="19" spans="1:21">
      <c r="A19" s="1028">
        <v>13</v>
      </c>
      <c r="B19" s="1029" t="s">
        <v>114</v>
      </c>
      <c r="C19" s="1030">
        <f>'Table 8 2.1.12 MFP Funded'!M16</f>
        <v>0</v>
      </c>
      <c r="D19" s="1031">
        <f>'Table 3 Levels 1&amp;2'!AL20</f>
        <v>6125.5331903699798</v>
      </c>
      <c r="E19" s="1137">
        <f t="shared" si="14"/>
        <v>0</v>
      </c>
      <c r="F19" s="1137">
        <f t="shared" si="17"/>
        <v>0</v>
      </c>
      <c r="G19" s="1087">
        <f t="shared" si="15"/>
        <v>0</v>
      </c>
      <c r="H19" s="1147">
        <f t="shared" si="18"/>
        <v>0</v>
      </c>
      <c r="I19" s="1087">
        <f t="shared" si="19"/>
        <v>0</v>
      </c>
      <c r="J19" s="1087"/>
      <c r="K19" s="1087">
        <f t="shared" si="20"/>
        <v>0</v>
      </c>
      <c r="L19" s="1087">
        <f t="shared" si="21"/>
        <v>0</v>
      </c>
      <c r="M19" s="1086">
        <f>'[8]FY2012-13 Initial'!$D20</f>
        <v>2391</v>
      </c>
      <c r="N19" s="1088">
        <f t="shared" si="16"/>
        <v>0</v>
      </c>
      <c r="O19" s="1155">
        <f t="shared" si="22"/>
        <v>0</v>
      </c>
      <c r="P19" s="1088">
        <f t="shared" si="23"/>
        <v>0</v>
      </c>
      <c r="Q19" s="1088"/>
      <c r="R19" s="1088">
        <f t="shared" si="24"/>
        <v>0</v>
      </c>
      <c r="S19" s="1088">
        <f t="shared" si="25"/>
        <v>0</v>
      </c>
      <c r="T19" s="1089">
        <f t="shared" si="26"/>
        <v>0</v>
      </c>
      <c r="U19" s="1089">
        <f t="shared" si="27"/>
        <v>0</v>
      </c>
    </row>
    <row r="20" spans="1:21" ht="12.75" customHeight="1">
      <c r="A20" s="1028">
        <v>14</v>
      </c>
      <c r="B20" s="1029" t="s">
        <v>115</v>
      </c>
      <c r="C20" s="1030">
        <f>'Table 8 2.1.12 MFP Funded'!M17</f>
        <v>0</v>
      </c>
      <c r="D20" s="1031">
        <f>'Table 3 Levels 1&amp;2'!AL21</f>
        <v>5278.0936993421856</v>
      </c>
      <c r="E20" s="1137">
        <f t="shared" si="14"/>
        <v>0</v>
      </c>
      <c r="F20" s="1137">
        <f t="shared" si="17"/>
        <v>0</v>
      </c>
      <c r="G20" s="1087">
        <f t="shared" si="15"/>
        <v>0</v>
      </c>
      <c r="H20" s="1147">
        <f t="shared" si="18"/>
        <v>0</v>
      </c>
      <c r="I20" s="1087">
        <f t="shared" si="19"/>
        <v>0</v>
      </c>
      <c r="J20" s="1087"/>
      <c r="K20" s="1087">
        <f t="shared" si="20"/>
        <v>0</v>
      </c>
      <c r="L20" s="1087">
        <f t="shared" si="21"/>
        <v>0</v>
      </c>
      <c r="M20" s="1086">
        <f>'[8]FY2012-13 Initial'!$D21</f>
        <v>3066</v>
      </c>
      <c r="N20" s="1088">
        <f t="shared" si="16"/>
        <v>0</v>
      </c>
      <c r="O20" s="1155">
        <f t="shared" si="22"/>
        <v>0</v>
      </c>
      <c r="P20" s="1088">
        <f t="shared" si="23"/>
        <v>0</v>
      </c>
      <c r="Q20" s="1088"/>
      <c r="R20" s="1088">
        <f t="shared" si="24"/>
        <v>0</v>
      </c>
      <c r="S20" s="1088">
        <f t="shared" si="25"/>
        <v>0</v>
      </c>
      <c r="T20" s="1089">
        <f t="shared" si="26"/>
        <v>0</v>
      </c>
      <c r="U20" s="1089">
        <f t="shared" si="27"/>
        <v>0</v>
      </c>
    </row>
    <row r="21" spans="1:21">
      <c r="A21" s="1032">
        <v>15</v>
      </c>
      <c r="B21" s="1033" t="s">
        <v>116</v>
      </c>
      <c r="C21" s="1034">
        <f>'Table 8 2.1.12 MFP Funded'!M18</f>
        <v>0</v>
      </c>
      <c r="D21" s="1035">
        <f>'Table 3 Levels 1&amp;2'!AL22</f>
        <v>5428.9842692179664</v>
      </c>
      <c r="E21" s="1138">
        <f t="shared" si="14"/>
        <v>0</v>
      </c>
      <c r="F21" s="1138">
        <f t="shared" si="17"/>
        <v>0</v>
      </c>
      <c r="G21" s="1090">
        <f t="shared" si="15"/>
        <v>0</v>
      </c>
      <c r="H21" s="1148">
        <f t="shared" si="18"/>
        <v>0</v>
      </c>
      <c r="I21" s="1090">
        <f t="shared" si="19"/>
        <v>0</v>
      </c>
      <c r="J21" s="1090"/>
      <c r="K21" s="1090">
        <f t="shared" si="20"/>
        <v>0</v>
      </c>
      <c r="L21" s="1090">
        <f t="shared" si="21"/>
        <v>0</v>
      </c>
      <c r="M21" s="1091">
        <f>'[8]FY2012-13 Initial'!$D22</f>
        <v>2614</v>
      </c>
      <c r="N21" s="1092">
        <f t="shared" si="16"/>
        <v>0</v>
      </c>
      <c r="O21" s="1156">
        <f t="shared" si="22"/>
        <v>0</v>
      </c>
      <c r="P21" s="1092">
        <f t="shared" si="23"/>
        <v>0</v>
      </c>
      <c r="Q21" s="1092"/>
      <c r="R21" s="1092">
        <f t="shared" si="24"/>
        <v>0</v>
      </c>
      <c r="S21" s="1092">
        <f t="shared" si="25"/>
        <v>0</v>
      </c>
      <c r="T21" s="1093">
        <f t="shared" si="26"/>
        <v>0</v>
      </c>
      <c r="U21" s="1093">
        <f t="shared" si="27"/>
        <v>0</v>
      </c>
    </row>
    <row r="22" spans="1:21">
      <c r="A22" s="1021">
        <v>16</v>
      </c>
      <c r="B22" s="1022" t="s">
        <v>117</v>
      </c>
      <c r="C22" s="1023">
        <f>'Table 8 2.1.12 MFP Funded'!M19</f>
        <v>0</v>
      </c>
      <c r="D22" s="1024">
        <f>'Table 3 Levels 1&amp;2'!AL23</f>
        <v>1501.2470754125757</v>
      </c>
      <c r="E22" s="1136">
        <f t="shared" si="14"/>
        <v>0</v>
      </c>
      <c r="F22" s="1136">
        <f t="shared" si="17"/>
        <v>0</v>
      </c>
      <c r="G22" s="1025">
        <f t="shared" si="15"/>
        <v>0</v>
      </c>
      <c r="H22" s="1146">
        <f t="shared" si="18"/>
        <v>0</v>
      </c>
      <c r="I22" s="1025">
        <f t="shared" si="19"/>
        <v>0</v>
      </c>
      <c r="J22" s="1025"/>
      <c r="K22" s="1025">
        <f t="shared" si="20"/>
        <v>0</v>
      </c>
      <c r="L22" s="1025">
        <f t="shared" si="21"/>
        <v>0</v>
      </c>
      <c r="M22" s="1086">
        <f>'[8]FY2012-13 Initial'!$D23</f>
        <v>13903</v>
      </c>
      <c r="N22" s="1026">
        <f t="shared" si="16"/>
        <v>0</v>
      </c>
      <c r="O22" s="1154">
        <f t="shared" si="22"/>
        <v>0</v>
      </c>
      <c r="P22" s="1026">
        <f t="shared" si="23"/>
        <v>0</v>
      </c>
      <c r="Q22" s="1026"/>
      <c r="R22" s="1026">
        <f t="shared" si="24"/>
        <v>0</v>
      </c>
      <c r="S22" s="1026">
        <f t="shared" si="25"/>
        <v>0</v>
      </c>
      <c r="T22" s="1027">
        <f t="shared" si="26"/>
        <v>0</v>
      </c>
      <c r="U22" s="1027">
        <f t="shared" si="27"/>
        <v>0</v>
      </c>
    </row>
    <row r="23" spans="1:21">
      <c r="A23" s="1028">
        <v>17</v>
      </c>
      <c r="B23" s="1029" t="s">
        <v>118</v>
      </c>
      <c r="C23" s="1030">
        <f>'Table 8 2.1.12 MFP Funded'!M20</f>
        <v>0</v>
      </c>
      <c r="D23" s="1031">
        <f>'Table 3 Levels 1&amp;2'!AL24</f>
        <v>3386.5716964570697</v>
      </c>
      <c r="E23" s="1137">
        <f t="shared" si="14"/>
        <v>0</v>
      </c>
      <c r="F23" s="1137">
        <f t="shared" si="17"/>
        <v>0</v>
      </c>
      <c r="G23" s="1087">
        <f t="shared" si="15"/>
        <v>0</v>
      </c>
      <c r="H23" s="1147">
        <f t="shared" si="18"/>
        <v>0</v>
      </c>
      <c r="I23" s="1087">
        <f t="shared" si="19"/>
        <v>0</v>
      </c>
      <c r="J23" s="1087"/>
      <c r="K23" s="1087">
        <f t="shared" si="20"/>
        <v>0</v>
      </c>
      <c r="L23" s="1087">
        <f t="shared" si="21"/>
        <v>0</v>
      </c>
      <c r="M23" s="1086">
        <f>'[8]FY2012-13 Initial'!$D24</f>
        <v>5654</v>
      </c>
      <c r="N23" s="1088">
        <f t="shared" si="16"/>
        <v>0</v>
      </c>
      <c r="O23" s="1155">
        <f t="shared" si="22"/>
        <v>0</v>
      </c>
      <c r="P23" s="1088">
        <f t="shared" si="23"/>
        <v>0</v>
      </c>
      <c r="Q23" s="1088"/>
      <c r="R23" s="1088">
        <f t="shared" si="24"/>
        <v>0</v>
      </c>
      <c r="S23" s="1088">
        <f t="shared" si="25"/>
        <v>0</v>
      </c>
      <c r="T23" s="1089">
        <f t="shared" si="26"/>
        <v>0</v>
      </c>
      <c r="U23" s="1089">
        <f t="shared" si="27"/>
        <v>0</v>
      </c>
    </row>
    <row r="24" spans="1:21">
      <c r="A24" s="1028">
        <v>18</v>
      </c>
      <c r="B24" s="1029" t="s">
        <v>119</v>
      </c>
      <c r="C24" s="1030">
        <f>'Table 8 2.1.12 MFP Funded'!M21</f>
        <v>0</v>
      </c>
      <c r="D24" s="1031">
        <f>'Table 3 Levels 1&amp;2'!AL25</f>
        <v>5798.0598063231446</v>
      </c>
      <c r="E24" s="1137">
        <f t="shared" si="14"/>
        <v>0</v>
      </c>
      <c r="F24" s="1137">
        <f t="shared" si="17"/>
        <v>0</v>
      </c>
      <c r="G24" s="1087">
        <f t="shared" si="15"/>
        <v>0</v>
      </c>
      <c r="H24" s="1147">
        <f t="shared" si="18"/>
        <v>0</v>
      </c>
      <c r="I24" s="1087">
        <f t="shared" si="19"/>
        <v>0</v>
      </c>
      <c r="J24" s="1087"/>
      <c r="K24" s="1087">
        <f t="shared" si="20"/>
        <v>0</v>
      </c>
      <c r="L24" s="1087">
        <f t="shared" si="21"/>
        <v>0</v>
      </c>
      <c r="M24" s="1086">
        <f>'[8]FY2012-13 Initial'!$D25</f>
        <v>2088</v>
      </c>
      <c r="N24" s="1088">
        <f t="shared" si="16"/>
        <v>0</v>
      </c>
      <c r="O24" s="1155">
        <f t="shared" si="22"/>
        <v>0</v>
      </c>
      <c r="P24" s="1088">
        <f t="shared" si="23"/>
        <v>0</v>
      </c>
      <c r="Q24" s="1088"/>
      <c r="R24" s="1088">
        <f t="shared" si="24"/>
        <v>0</v>
      </c>
      <c r="S24" s="1088">
        <f t="shared" si="25"/>
        <v>0</v>
      </c>
      <c r="T24" s="1089">
        <f t="shared" si="26"/>
        <v>0</v>
      </c>
      <c r="U24" s="1089">
        <f t="shared" si="27"/>
        <v>0</v>
      </c>
    </row>
    <row r="25" spans="1:21">
      <c r="A25" s="1028">
        <v>19</v>
      </c>
      <c r="B25" s="1029" t="s">
        <v>120</v>
      </c>
      <c r="C25" s="1030">
        <f>'Table 8 2.1.12 MFP Funded'!M22</f>
        <v>0</v>
      </c>
      <c r="D25" s="1031">
        <f>'Table 3 Levels 1&amp;2'!AL26</f>
        <v>5219.1012787873206</v>
      </c>
      <c r="E25" s="1137">
        <f t="shared" si="14"/>
        <v>0</v>
      </c>
      <c r="F25" s="1137">
        <f t="shared" si="17"/>
        <v>0</v>
      </c>
      <c r="G25" s="1087">
        <f t="shared" si="15"/>
        <v>0</v>
      </c>
      <c r="H25" s="1147">
        <f t="shared" si="18"/>
        <v>0</v>
      </c>
      <c r="I25" s="1087">
        <f t="shared" si="19"/>
        <v>0</v>
      </c>
      <c r="J25" s="1087"/>
      <c r="K25" s="1087">
        <f t="shared" si="20"/>
        <v>0</v>
      </c>
      <c r="L25" s="1087">
        <f t="shared" si="21"/>
        <v>0</v>
      </c>
      <c r="M25" s="1086">
        <f>'[8]FY2012-13 Initial'!$D26</f>
        <v>2275</v>
      </c>
      <c r="N25" s="1088">
        <f t="shared" si="16"/>
        <v>0</v>
      </c>
      <c r="O25" s="1155">
        <f t="shared" si="22"/>
        <v>0</v>
      </c>
      <c r="P25" s="1088">
        <f t="shared" si="23"/>
        <v>0</v>
      </c>
      <c r="Q25" s="1088"/>
      <c r="R25" s="1088">
        <f t="shared" si="24"/>
        <v>0</v>
      </c>
      <c r="S25" s="1088">
        <f t="shared" si="25"/>
        <v>0</v>
      </c>
      <c r="T25" s="1089">
        <f t="shared" si="26"/>
        <v>0</v>
      </c>
      <c r="U25" s="1089">
        <f t="shared" si="27"/>
        <v>0</v>
      </c>
    </row>
    <row r="26" spans="1:21">
      <c r="A26" s="1032">
        <v>20</v>
      </c>
      <c r="B26" s="1033" t="s">
        <v>121</v>
      </c>
      <c r="C26" s="1034">
        <f>'Table 8 2.1.12 MFP Funded'!M23</f>
        <v>0</v>
      </c>
      <c r="D26" s="1035">
        <f>'Table 3 Levels 1&amp;2'!AL27</f>
        <v>5441.7799844976798</v>
      </c>
      <c r="E26" s="1138">
        <f t="shared" si="14"/>
        <v>0</v>
      </c>
      <c r="F26" s="1138">
        <f t="shared" si="17"/>
        <v>0</v>
      </c>
      <c r="G26" s="1090">
        <f t="shared" si="15"/>
        <v>0</v>
      </c>
      <c r="H26" s="1148">
        <f t="shared" si="18"/>
        <v>0</v>
      </c>
      <c r="I26" s="1090">
        <f t="shared" si="19"/>
        <v>0</v>
      </c>
      <c r="J26" s="1090"/>
      <c r="K26" s="1090">
        <f t="shared" si="20"/>
        <v>0</v>
      </c>
      <c r="L26" s="1090">
        <f t="shared" si="21"/>
        <v>0</v>
      </c>
      <c r="M26" s="1091">
        <f>'[8]FY2012-13 Initial'!$D27</f>
        <v>2236</v>
      </c>
      <c r="N26" s="1092">
        <f t="shared" si="16"/>
        <v>0</v>
      </c>
      <c r="O26" s="1156">
        <f t="shared" si="22"/>
        <v>0</v>
      </c>
      <c r="P26" s="1092">
        <f t="shared" si="23"/>
        <v>0</v>
      </c>
      <c r="Q26" s="1092"/>
      <c r="R26" s="1092">
        <f t="shared" si="24"/>
        <v>0</v>
      </c>
      <c r="S26" s="1092">
        <f t="shared" si="25"/>
        <v>0</v>
      </c>
      <c r="T26" s="1093">
        <f t="shared" si="26"/>
        <v>0</v>
      </c>
      <c r="U26" s="1093">
        <f t="shared" si="27"/>
        <v>0</v>
      </c>
    </row>
    <row r="27" spans="1:21">
      <c r="A27" s="1021">
        <v>21</v>
      </c>
      <c r="B27" s="1022" t="s">
        <v>122</v>
      </c>
      <c r="C27" s="1023">
        <f>'Table 8 2.1.12 MFP Funded'!M24</f>
        <v>0</v>
      </c>
      <c r="D27" s="1024">
        <f>'Table 3 Levels 1&amp;2'!AL28</f>
        <v>5718.7800910915075</v>
      </c>
      <c r="E27" s="1136">
        <f t="shared" si="14"/>
        <v>0</v>
      </c>
      <c r="F27" s="1136">
        <f t="shared" si="17"/>
        <v>0</v>
      </c>
      <c r="G27" s="1025">
        <f t="shared" si="15"/>
        <v>0</v>
      </c>
      <c r="H27" s="1146">
        <f t="shared" si="18"/>
        <v>0</v>
      </c>
      <c r="I27" s="1025">
        <f t="shared" si="19"/>
        <v>0</v>
      </c>
      <c r="J27" s="1025"/>
      <c r="K27" s="1025">
        <f t="shared" si="20"/>
        <v>0</v>
      </c>
      <c r="L27" s="1025">
        <f t="shared" si="21"/>
        <v>0</v>
      </c>
      <c r="M27" s="1086">
        <f>'[8]FY2012-13 Initial'!$D28</f>
        <v>1552</v>
      </c>
      <c r="N27" s="1026">
        <f t="shared" si="16"/>
        <v>0</v>
      </c>
      <c r="O27" s="1154">
        <f t="shared" si="22"/>
        <v>0</v>
      </c>
      <c r="P27" s="1026">
        <f t="shared" si="23"/>
        <v>0</v>
      </c>
      <c r="Q27" s="1026"/>
      <c r="R27" s="1026">
        <f t="shared" si="24"/>
        <v>0</v>
      </c>
      <c r="S27" s="1026">
        <f t="shared" si="25"/>
        <v>0</v>
      </c>
      <c r="T27" s="1027">
        <f t="shared" si="26"/>
        <v>0</v>
      </c>
      <c r="U27" s="1027">
        <f t="shared" si="27"/>
        <v>0</v>
      </c>
    </row>
    <row r="28" spans="1:21">
      <c r="A28" s="1028">
        <v>22</v>
      </c>
      <c r="B28" s="1029" t="s">
        <v>123</v>
      </c>
      <c r="C28" s="1030">
        <f>'Table 8 2.1.12 MFP Funded'!M25</f>
        <v>0</v>
      </c>
      <c r="D28" s="1031">
        <f>'Table 3 Levels 1&amp;2'!AL29</f>
        <v>6198.830003500153</v>
      </c>
      <c r="E28" s="1137">
        <f t="shared" si="14"/>
        <v>0</v>
      </c>
      <c r="F28" s="1137">
        <f t="shared" si="17"/>
        <v>0</v>
      </c>
      <c r="G28" s="1087">
        <f t="shared" si="15"/>
        <v>0</v>
      </c>
      <c r="H28" s="1147">
        <f t="shared" si="18"/>
        <v>0</v>
      </c>
      <c r="I28" s="1087">
        <f t="shared" si="19"/>
        <v>0</v>
      </c>
      <c r="J28" s="1087"/>
      <c r="K28" s="1087">
        <f t="shared" si="20"/>
        <v>0</v>
      </c>
      <c r="L28" s="1087">
        <f t="shared" si="21"/>
        <v>0</v>
      </c>
      <c r="M28" s="1086">
        <f>'[8]FY2012-13 Initial'!$D29</f>
        <v>784</v>
      </c>
      <c r="N28" s="1088">
        <f t="shared" si="16"/>
        <v>0</v>
      </c>
      <c r="O28" s="1155">
        <f t="shared" si="22"/>
        <v>0</v>
      </c>
      <c r="P28" s="1088">
        <f t="shared" si="23"/>
        <v>0</v>
      </c>
      <c r="Q28" s="1088"/>
      <c r="R28" s="1088">
        <f t="shared" si="24"/>
        <v>0</v>
      </c>
      <c r="S28" s="1088">
        <f t="shared" si="25"/>
        <v>0</v>
      </c>
      <c r="T28" s="1089">
        <f t="shared" si="26"/>
        <v>0</v>
      </c>
      <c r="U28" s="1089">
        <f t="shared" si="27"/>
        <v>0</v>
      </c>
    </row>
    <row r="29" spans="1:21">
      <c r="A29" s="1028">
        <v>23</v>
      </c>
      <c r="B29" s="1029" t="s">
        <v>124</v>
      </c>
      <c r="C29" s="1030">
        <f>'Table 8 2.1.12 MFP Funded'!M26</f>
        <v>0</v>
      </c>
      <c r="D29" s="1031">
        <f>'Table 3 Levels 1&amp;2'!AL30</f>
        <v>4809.0299298140199</v>
      </c>
      <c r="E29" s="1137">
        <f t="shared" si="14"/>
        <v>0</v>
      </c>
      <c r="F29" s="1137">
        <f t="shared" si="17"/>
        <v>0</v>
      </c>
      <c r="G29" s="1087">
        <f t="shared" si="15"/>
        <v>0</v>
      </c>
      <c r="H29" s="1147">
        <f t="shared" si="18"/>
        <v>0</v>
      </c>
      <c r="I29" s="1087">
        <f t="shared" si="19"/>
        <v>0</v>
      </c>
      <c r="J29" s="1087"/>
      <c r="K29" s="1087">
        <f t="shared" si="20"/>
        <v>0</v>
      </c>
      <c r="L29" s="1087">
        <f t="shared" si="21"/>
        <v>0</v>
      </c>
      <c r="M29" s="1086">
        <f>'[8]FY2012-13 Initial'!$D30</f>
        <v>2505</v>
      </c>
      <c r="N29" s="1088">
        <f t="shared" si="16"/>
        <v>0</v>
      </c>
      <c r="O29" s="1155">
        <f t="shared" si="22"/>
        <v>0</v>
      </c>
      <c r="P29" s="1088">
        <f t="shared" si="23"/>
        <v>0</v>
      </c>
      <c r="Q29" s="1088"/>
      <c r="R29" s="1088">
        <f t="shared" si="24"/>
        <v>0</v>
      </c>
      <c r="S29" s="1088">
        <f t="shared" si="25"/>
        <v>0</v>
      </c>
      <c r="T29" s="1089">
        <f t="shared" si="26"/>
        <v>0</v>
      </c>
      <c r="U29" s="1089">
        <f t="shared" si="27"/>
        <v>0</v>
      </c>
    </row>
    <row r="30" spans="1:21">
      <c r="A30" s="1028">
        <v>24</v>
      </c>
      <c r="B30" s="1029" t="s">
        <v>125</v>
      </c>
      <c r="C30" s="1030">
        <f>'Table 8 2.1.12 MFP Funded'!M27</f>
        <v>0</v>
      </c>
      <c r="D30" s="1031">
        <f>'Table 3 Levels 1&amp;2'!AL31</f>
        <v>2649.7787452556372</v>
      </c>
      <c r="E30" s="1137">
        <f t="shared" si="14"/>
        <v>0</v>
      </c>
      <c r="F30" s="1137">
        <f t="shared" si="17"/>
        <v>0</v>
      </c>
      <c r="G30" s="1087">
        <f t="shared" si="15"/>
        <v>0</v>
      </c>
      <c r="H30" s="1147">
        <f t="shared" si="18"/>
        <v>0</v>
      </c>
      <c r="I30" s="1087">
        <f t="shared" si="19"/>
        <v>0</v>
      </c>
      <c r="J30" s="1087"/>
      <c r="K30" s="1087">
        <f t="shared" si="20"/>
        <v>0</v>
      </c>
      <c r="L30" s="1087">
        <f t="shared" si="21"/>
        <v>0</v>
      </c>
      <c r="M30" s="1086">
        <f>'[8]FY2012-13 Initial'!$D31</f>
        <v>8076</v>
      </c>
      <c r="N30" s="1088">
        <f t="shared" si="16"/>
        <v>0</v>
      </c>
      <c r="O30" s="1155">
        <f t="shared" si="22"/>
        <v>0</v>
      </c>
      <c r="P30" s="1088">
        <f t="shared" si="23"/>
        <v>0</v>
      </c>
      <c r="Q30" s="1088"/>
      <c r="R30" s="1088">
        <f t="shared" si="24"/>
        <v>0</v>
      </c>
      <c r="S30" s="1088">
        <f t="shared" si="25"/>
        <v>0</v>
      </c>
      <c r="T30" s="1089">
        <f t="shared" si="26"/>
        <v>0</v>
      </c>
      <c r="U30" s="1089">
        <f t="shared" si="27"/>
        <v>0</v>
      </c>
    </row>
    <row r="31" spans="1:21">
      <c r="A31" s="1032">
        <v>25</v>
      </c>
      <c r="B31" s="1033" t="s">
        <v>126</v>
      </c>
      <c r="C31" s="1034">
        <f>'Table 8 2.1.12 MFP Funded'!M28</f>
        <v>0</v>
      </c>
      <c r="D31" s="1035">
        <f>'Table 3 Levels 1&amp;2'!AL32</f>
        <v>3848.3923674564248</v>
      </c>
      <c r="E31" s="1138">
        <f t="shared" si="14"/>
        <v>0</v>
      </c>
      <c r="F31" s="1138">
        <f t="shared" si="17"/>
        <v>0</v>
      </c>
      <c r="G31" s="1090">
        <f t="shared" si="15"/>
        <v>0</v>
      </c>
      <c r="H31" s="1148">
        <f t="shared" si="18"/>
        <v>0</v>
      </c>
      <c r="I31" s="1090">
        <f t="shared" si="19"/>
        <v>0</v>
      </c>
      <c r="J31" s="1090"/>
      <c r="K31" s="1090">
        <f t="shared" si="20"/>
        <v>0</v>
      </c>
      <c r="L31" s="1090">
        <f t="shared" si="21"/>
        <v>0</v>
      </c>
      <c r="M31" s="1091">
        <f>'[8]FY2012-13 Initial'!$D32</f>
        <v>5030</v>
      </c>
      <c r="N31" s="1092">
        <f t="shared" si="16"/>
        <v>0</v>
      </c>
      <c r="O31" s="1156">
        <f t="shared" si="22"/>
        <v>0</v>
      </c>
      <c r="P31" s="1092">
        <f t="shared" si="23"/>
        <v>0</v>
      </c>
      <c r="Q31" s="1092"/>
      <c r="R31" s="1092">
        <f t="shared" si="24"/>
        <v>0</v>
      </c>
      <c r="S31" s="1092">
        <f t="shared" si="25"/>
        <v>0</v>
      </c>
      <c r="T31" s="1093">
        <f t="shared" si="26"/>
        <v>0</v>
      </c>
      <c r="U31" s="1093">
        <f t="shared" si="27"/>
        <v>0</v>
      </c>
    </row>
    <row r="32" spans="1:21">
      <c r="A32" s="1021">
        <v>26</v>
      </c>
      <c r="B32" s="1022" t="s">
        <v>127</v>
      </c>
      <c r="C32" s="1023">
        <f>'Table 8 2.1.12 MFP Funded'!M29</f>
        <v>193</v>
      </c>
      <c r="D32" s="1024">
        <f>'Table 3 Levels 1&amp;2'!AL33</f>
        <v>3145.9192082835102</v>
      </c>
      <c r="E32" s="1136">
        <f t="shared" si="14"/>
        <v>607162.40719871747</v>
      </c>
      <c r="F32" s="1136">
        <f t="shared" si="17"/>
        <v>137958.36040966384</v>
      </c>
      <c r="G32" s="1025">
        <f t="shared" si="15"/>
        <v>745120.76760838134</v>
      </c>
      <c r="H32" s="1146">
        <f t="shared" si="18"/>
        <v>-1862.8019190209534</v>
      </c>
      <c r="I32" s="1025">
        <f t="shared" si="19"/>
        <v>743257.9656893604</v>
      </c>
      <c r="J32" s="1025"/>
      <c r="K32" s="1025">
        <f t="shared" si="20"/>
        <v>743257.9656893604</v>
      </c>
      <c r="L32" s="1025">
        <f t="shared" si="21"/>
        <v>61938</v>
      </c>
      <c r="M32" s="1086">
        <f>'[8]FY2012-13 Initial'!$D33</f>
        <v>4594</v>
      </c>
      <c r="N32" s="1026">
        <f t="shared" si="16"/>
        <v>886642</v>
      </c>
      <c r="O32" s="1154">
        <f t="shared" si="22"/>
        <v>-2216.605</v>
      </c>
      <c r="P32" s="1026">
        <f t="shared" si="23"/>
        <v>884425.39500000002</v>
      </c>
      <c r="Q32" s="1026"/>
      <c r="R32" s="1026">
        <f t="shared" si="24"/>
        <v>884425.39500000002</v>
      </c>
      <c r="S32" s="1026">
        <f t="shared" si="25"/>
        <v>73702</v>
      </c>
      <c r="T32" s="1027">
        <f t="shared" si="26"/>
        <v>1627683.3606893604</v>
      </c>
      <c r="U32" s="1027">
        <f t="shared" si="27"/>
        <v>135640</v>
      </c>
    </row>
    <row r="33" spans="1:21">
      <c r="A33" s="1028">
        <v>27</v>
      </c>
      <c r="B33" s="1029" t="s">
        <v>128</v>
      </c>
      <c r="C33" s="1036">
        <f>'Table 8 2.1.12 MFP Funded'!M30</f>
        <v>0</v>
      </c>
      <c r="D33" s="1037">
        <f>'Table 3 Levels 1&amp;2'!AL34</f>
        <v>5653.5502977926608</v>
      </c>
      <c r="E33" s="1139">
        <f t="shared" si="14"/>
        <v>0</v>
      </c>
      <c r="F33" s="1139">
        <f t="shared" si="17"/>
        <v>0</v>
      </c>
      <c r="G33" s="1094">
        <f t="shared" si="15"/>
        <v>0</v>
      </c>
      <c r="H33" s="1149">
        <f t="shared" si="18"/>
        <v>0</v>
      </c>
      <c r="I33" s="1094">
        <f t="shared" si="19"/>
        <v>0</v>
      </c>
      <c r="J33" s="1094"/>
      <c r="K33" s="1094">
        <f t="shared" si="20"/>
        <v>0</v>
      </c>
      <c r="L33" s="1094">
        <f t="shared" si="21"/>
        <v>0</v>
      </c>
      <c r="M33" s="1086">
        <f>'[8]FY2012-13 Initial'!$D34</f>
        <v>2479</v>
      </c>
      <c r="N33" s="1088">
        <f t="shared" si="16"/>
        <v>0</v>
      </c>
      <c r="O33" s="1155">
        <f t="shared" si="22"/>
        <v>0</v>
      </c>
      <c r="P33" s="1088">
        <f t="shared" si="23"/>
        <v>0</v>
      </c>
      <c r="Q33" s="1088"/>
      <c r="R33" s="1088">
        <f t="shared" si="24"/>
        <v>0</v>
      </c>
      <c r="S33" s="1088">
        <f t="shared" si="25"/>
        <v>0</v>
      </c>
      <c r="T33" s="1089">
        <f t="shared" si="26"/>
        <v>0</v>
      </c>
      <c r="U33" s="1089">
        <f t="shared" si="27"/>
        <v>0</v>
      </c>
    </row>
    <row r="34" spans="1:21">
      <c r="A34" s="1028">
        <v>28</v>
      </c>
      <c r="B34" s="1029" t="s">
        <v>129</v>
      </c>
      <c r="C34" s="1036">
        <f>'Table 8 2.1.12 MFP Funded'!M31</f>
        <v>0</v>
      </c>
      <c r="D34" s="1037">
        <f>'Table 3 Levels 1&amp;2'!AL35</f>
        <v>3200.5356505169011</v>
      </c>
      <c r="E34" s="1139">
        <f t="shared" si="14"/>
        <v>0</v>
      </c>
      <c r="F34" s="1139">
        <f t="shared" si="17"/>
        <v>0</v>
      </c>
      <c r="G34" s="1094">
        <f t="shared" si="15"/>
        <v>0</v>
      </c>
      <c r="H34" s="1149">
        <f t="shared" si="18"/>
        <v>0</v>
      </c>
      <c r="I34" s="1094">
        <f t="shared" si="19"/>
        <v>0</v>
      </c>
      <c r="J34" s="1094"/>
      <c r="K34" s="1094">
        <f t="shared" si="20"/>
        <v>0</v>
      </c>
      <c r="L34" s="1094">
        <f t="shared" si="21"/>
        <v>0</v>
      </c>
      <c r="M34" s="1086">
        <f>'[8]FY2012-13 Initial'!$D35</f>
        <v>4560</v>
      </c>
      <c r="N34" s="1088">
        <f t="shared" si="16"/>
        <v>0</v>
      </c>
      <c r="O34" s="1155">
        <f t="shared" si="22"/>
        <v>0</v>
      </c>
      <c r="P34" s="1088">
        <f t="shared" si="23"/>
        <v>0</v>
      </c>
      <c r="Q34" s="1088"/>
      <c r="R34" s="1088">
        <f t="shared" si="24"/>
        <v>0</v>
      </c>
      <c r="S34" s="1088">
        <f t="shared" si="25"/>
        <v>0</v>
      </c>
      <c r="T34" s="1089">
        <f t="shared" si="26"/>
        <v>0</v>
      </c>
      <c r="U34" s="1089">
        <f t="shared" si="27"/>
        <v>0</v>
      </c>
    </row>
    <row r="35" spans="1:21">
      <c r="A35" s="1028">
        <v>29</v>
      </c>
      <c r="B35" s="1029" t="s">
        <v>130</v>
      </c>
      <c r="C35" s="1036">
        <f>'Table 8 2.1.12 MFP Funded'!M32</f>
        <v>0</v>
      </c>
      <c r="D35" s="1037">
        <f>'Table 3 Levels 1&amp;2'!AL36</f>
        <v>3945.0399545376122</v>
      </c>
      <c r="E35" s="1139">
        <f t="shared" si="14"/>
        <v>0</v>
      </c>
      <c r="F35" s="1139">
        <f t="shared" si="17"/>
        <v>0</v>
      </c>
      <c r="G35" s="1094">
        <f t="shared" si="15"/>
        <v>0</v>
      </c>
      <c r="H35" s="1149">
        <f t="shared" si="18"/>
        <v>0</v>
      </c>
      <c r="I35" s="1094">
        <f t="shared" si="19"/>
        <v>0</v>
      </c>
      <c r="J35" s="1094"/>
      <c r="K35" s="1094">
        <f t="shared" si="20"/>
        <v>0</v>
      </c>
      <c r="L35" s="1094">
        <f t="shared" si="21"/>
        <v>0</v>
      </c>
      <c r="M35" s="1086">
        <f>'[8]FY2012-13 Initial'!$D36</f>
        <v>3427</v>
      </c>
      <c r="N35" s="1088">
        <f t="shared" si="16"/>
        <v>0</v>
      </c>
      <c r="O35" s="1155">
        <f t="shared" si="22"/>
        <v>0</v>
      </c>
      <c r="P35" s="1088">
        <f t="shared" si="23"/>
        <v>0</v>
      </c>
      <c r="Q35" s="1088"/>
      <c r="R35" s="1088">
        <f t="shared" si="24"/>
        <v>0</v>
      </c>
      <c r="S35" s="1088">
        <f t="shared" si="25"/>
        <v>0</v>
      </c>
      <c r="T35" s="1089">
        <f t="shared" si="26"/>
        <v>0</v>
      </c>
      <c r="U35" s="1089">
        <f t="shared" si="27"/>
        <v>0</v>
      </c>
    </row>
    <row r="36" spans="1:21">
      <c r="A36" s="1032">
        <v>30</v>
      </c>
      <c r="B36" s="1033" t="s">
        <v>131</v>
      </c>
      <c r="C36" s="1038">
        <f>'Table 8 2.1.12 MFP Funded'!M33</f>
        <v>0</v>
      </c>
      <c r="D36" s="1039">
        <f>'Table 3 Levels 1&amp;2'!AL37</f>
        <v>5594.8916667625617</v>
      </c>
      <c r="E36" s="1140">
        <f t="shared" si="14"/>
        <v>0</v>
      </c>
      <c r="F36" s="1140">
        <f t="shared" si="17"/>
        <v>0</v>
      </c>
      <c r="G36" s="1095">
        <f t="shared" si="15"/>
        <v>0</v>
      </c>
      <c r="H36" s="1150">
        <f t="shared" si="18"/>
        <v>0</v>
      </c>
      <c r="I36" s="1095">
        <f t="shared" si="19"/>
        <v>0</v>
      </c>
      <c r="J36" s="1095"/>
      <c r="K36" s="1095">
        <f t="shared" si="20"/>
        <v>0</v>
      </c>
      <c r="L36" s="1095">
        <f t="shared" si="21"/>
        <v>0</v>
      </c>
      <c r="M36" s="1091">
        <f>'[8]FY2012-13 Initial'!$D37</f>
        <v>2638</v>
      </c>
      <c r="N36" s="1092">
        <f t="shared" si="16"/>
        <v>0</v>
      </c>
      <c r="O36" s="1156">
        <f t="shared" si="22"/>
        <v>0</v>
      </c>
      <c r="P36" s="1092">
        <f t="shared" si="23"/>
        <v>0</v>
      </c>
      <c r="Q36" s="1092"/>
      <c r="R36" s="1092">
        <f t="shared" si="24"/>
        <v>0</v>
      </c>
      <c r="S36" s="1092">
        <f t="shared" si="25"/>
        <v>0</v>
      </c>
      <c r="T36" s="1093">
        <f t="shared" si="26"/>
        <v>0</v>
      </c>
      <c r="U36" s="1093">
        <f t="shared" si="27"/>
        <v>0</v>
      </c>
    </row>
    <row r="37" spans="1:21">
      <c r="A37" s="1021">
        <v>31</v>
      </c>
      <c r="B37" s="1022" t="s">
        <v>132</v>
      </c>
      <c r="C37" s="1040">
        <f>'Table 8 2.1.12 MFP Funded'!M34</f>
        <v>0</v>
      </c>
      <c r="D37" s="1041">
        <f>'Table 3 Levels 1&amp;2'!AL38</f>
        <v>4159.5846806435638</v>
      </c>
      <c r="E37" s="1141">
        <f t="shared" si="14"/>
        <v>0</v>
      </c>
      <c r="F37" s="1141">
        <f t="shared" si="17"/>
        <v>0</v>
      </c>
      <c r="G37" s="1096">
        <f t="shared" si="15"/>
        <v>0</v>
      </c>
      <c r="H37" s="1151">
        <f t="shared" si="18"/>
        <v>0</v>
      </c>
      <c r="I37" s="1096">
        <f t="shared" si="19"/>
        <v>0</v>
      </c>
      <c r="J37" s="1096"/>
      <c r="K37" s="1096">
        <f t="shared" si="20"/>
        <v>0</v>
      </c>
      <c r="L37" s="1096">
        <f t="shared" si="21"/>
        <v>0</v>
      </c>
      <c r="M37" s="1086">
        <f>'[8]FY2012-13 Initial'!$D38</f>
        <v>4179</v>
      </c>
      <c r="N37" s="1026">
        <f t="shared" si="16"/>
        <v>0</v>
      </c>
      <c r="O37" s="1154">
        <f t="shared" si="22"/>
        <v>0</v>
      </c>
      <c r="P37" s="1026">
        <f t="shared" si="23"/>
        <v>0</v>
      </c>
      <c r="Q37" s="1026"/>
      <c r="R37" s="1026">
        <f t="shared" si="24"/>
        <v>0</v>
      </c>
      <c r="S37" s="1026">
        <f t="shared" si="25"/>
        <v>0</v>
      </c>
      <c r="T37" s="1027">
        <f t="shared" si="26"/>
        <v>0</v>
      </c>
      <c r="U37" s="1027">
        <f t="shared" si="27"/>
        <v>0</v>
      </c>
    </row>
    <row r="38" spans="1:21">
      <c r="A38" s="1028">
        <v>32</v>
      </c>
      <c r="B38" s="1029" t="s">
        <v>133</v>
      </c>
      <c r="C38" s="1036">
        <f>'Table 8 2.1.12 MFP Funded'!M35</f>
        <v>0</v>
      </c>
      <c r="D38" s="1037">
        <f>'Table 3 Levels 1&amp;2'!AL39</f>
        <v>5475.1436637248598</v>
      </c>
      <c r="E38" s="1139">
        <f t="shared" si="14"/>
        <v>0</v>
      </c>
      <c r="F38" s="1139">
        <f t="shared" si="17"/>
        <v>0</v>
      </c>
      <c r="G38" s="1094">
        <f t="shared" si="15"/>
        <v>0</v>
      </c>
      <c r="H38" s="1149">
        <f t="shared" si="18"/>
        <v>0</v>
      </c>
      <c r="I38" s="1094">
        <f t="shared" si="19"/>
        <v>0</v>
      </c>
      <c r="J38" s="1094"/>
      <c r="K38" s="1094">
        <f t="shared" si="20"/>
        <v>0</v>
      </c>
      <c r="L38" s="1094">
        <f t="shared" si="21"/>
        <v>0</v>
      </c>
      <c r="M38" s="1086">
        <f>'[8]FY2012-13 Initial'!$D39</f>
        <v>1640</v>
      </c>
      <c r="N38" s="1088">
        <f t="shared" si="16"/>
        <v>0</v>
      </c>
      <c r="O38" s="1155">
        <f t="shared" si="22"/>
        <v>0</v>
      </c>
      <c r="P38" s="1088">
        <f t="shared" si="23"/>
        <v>0</v>
      </c>
      <c r="Q38" s="1088"/>
      <c r="R38" s="1088">
        <f t="shared" si="24"/>
        <v>0</v>
      </c>
      <c r="S38" s="1088">
        <f t="shared" si="25"/>
        <v>0</v>
      </c>
      <c r="T38" s="1089">
        <f t="shared" si="26"/>
        <v>0</v>
      </c>
      <c r="U38" s="1089">
        <f t="shared" si="27"/>
        <v>0</v>
      </c>
    </row>
    <row r="39" spans="1:21">
      <c r="A39" s="1028">
        <v>33</v>
      </c>
      <c r="B39" s="1029" t="s">
        <v>134</v>
      </c>
      <c r="C39" s="1036">
        <f>'Table 8 2.1.12 MFP Funded'!M36</f>
        <v>0</v>
      </c>
      <c r="D39" s="1037">
        <f>'Table 3 Levels 1&amp;2'!AL40</f>
        <v>5397.5678422891451</v>
      </c>
      <c r="E39" s="1139">
        <f t="shared" ref="E39:E70" si="28">D39*C39</f>
        <v>0</v>
      </c>
      <c r="F39" s="1139">
        <f t="shared" si="17"/>
        <v>0</v>
      </c>
      <c r="G39" s="1094">
        <f t="shared" ref="G39:G70" si="29">E39+F39</f>
        <v>0</v>
      </c>
      <c r="H39" s="1149">
        <f t="shared" si="18"/>
        <v>0</v>
      </c>
      <c r="I39" s="1094">
        <f t="shared" si="19"/>
        <v>0</v>
      </c>
      <c r="J39" s="1094"/>
      <c r="K39" s="1094">
        <f t="shared" si="20"/>
        <v>0</v>
      </c>
      <c r="L39" s="1094">
        <f t="shared" si="21"/>
        <v>0</v>
      </c>
      <c r="M39" s="1086">
        <f>'[8]FY2012-13 Initial'!$D40</f>
        <v>1601</v>
      </c>
      <c r="N39" s="1088">
        <f t="shared" ref="N39:N70" si="30">M39*C39</f>
        <v>0</v>
      </c>
      <c r="O39" s="1155">
        <f t="shared" si="22"/>
        <v>0</v>
      </c>
      <c r="P39" s="1088">
        <f t="shared" si="23"/>
        <v>0</v>
      </c>
      <c r="Q39" s="1088"/>
      <c r="R39" s="1088">
        <f t="shared" si="24"/>
        <v>0</v>
      </c>
      <c r="S39" s="1088">
        <f t="shared" si="25"/>
        <v>0</v>
      </c>
      <c r="T39" s="1089">
        <f t="shared" si="26"/>
        <v>0</v>
      </c>
      <c r="U39" s="1089">
        <f t="shared" si="27"/>
        <v>0</v>
      </c>
    </row>
    <row r="40" spans="1:21">
      <c r="A40" s="1028">
        <v>34</v>
      </c>
      <c r="B40" s="1029" t="s">
        <v>135</v>
      </c>
      <c r="C40" s="1036">
        <f>'Table 8 2.1.12 MFP Funded'!M37</f>
        <v>0</v>
      </c>
      <c r="D40" s="1037">
        <f>'Table 3 Levels 1&amp;2'!AL41</f>
        <v>5843.9642210290731</v>
      </c>
      <c r="E40" s="1139">
        <f t="shared" si="28"/>
        <v>0</v>
      </c>
      <c r="F40" s="1139">
        <f t="shared" si="17"/>
        <v>0</v>
      </c>
      <c r="G40" s="1094">
        <f t="shared" si="29"/>
        <v>0</v>
      </c>
      <c r="H40" s="1149">
        <f t="shared" si="18"/>
        <v>0</v>
      </c>
      <c r="I40" s="1094">
        <f t="shared" si="19"/>
        <v>0</v>
      </c>
      <c r="J40" s="1094"/>
      <c r="K40" s="1094">
        <f t="shared" si="20"/>
        <v>0</v>
      </c>
      <c r="L40" s="1094">
        <f t="shared" si="21"/>
        <v>0</v>
      </c>
      <c r="M40" s="1086">
        <f>'[8]FY2012-13 Initial'!$D41</f>
        <v>2326</v>
      </c>
      <c r="N40" s="1088">
        <f t="shared" si="30"/>
        <v>0</v>
      </c>
      <c r="O40" s="1155">
        <f t="shared" si="22"/>
        <v>0</v>
      </c>
      <c r="P40" s="1088">
        <f t="shared" si="23"/>
        <v>0</v>
      </c>
      <c r="Q40" s="1088"/>
      <c r="R40" s="1088">
        <f t="shared" si="24"/>
        <v>0</v>
      </c>
      <c r="S40" s="1088">
        <f t="shared" si="25"/>
        <v>0</v>
      </c>
      <c r="T40" s="1089">
        <f t="shared" si="26"/>
        <v>0</v>
      </c>
      <c r="U40" s="1089">
        <f t="shared" si="27"/>
        <v>0</v>
      </c>
    </row>
    <row r="41" spans="1:21">
      <c r="A41" s="1032">
        <v>35</v>
      </c>
      <c r="B41" s="1033" t="s">
        <v>136</v>
      </c>
      <c r="C41" s="1038">
        <f>'Table 8 2.1.12 MFP Funded'!M38</f>
        <v>0</v>
      </c>
      <c r="D41" s="1039">
        <f>'Table 3 Levels 1&amp;2'!AL42</f>
        <v>4830.9633412658623</v>
      </c>
      <c r="E41" s="1140">
        <f t="shared" si="28"/>
        <v>0</v>
      </c>
      <c r="F41" s="1140">
        <f t="shared" si="17"/>
        <v>0</v>
      </c>
      <c r="G41" s="1095">
        <f t="shared" si="29"/>
        <v>0</v>
      </c>
      <c r="H41" s="1150">
        <f t="shared" si="18"/>
        <v>0</v>
      </c>
      <c r="I41" s="1095">
        <f t="shared" si="19"/>
        <v>0</v>
      </c>
      <c r="J41" s="1095"/>
      <c r="K41" s="1095">
        <f t="shared" si="20"/>
        <v>0</v>
      </c>
      <c r="L41" s="1095">
        <f t="shared" si="21"/>
        <v>0</v>
      </c>
      <c r="M41" s="1091">
        <f>'[8]FY2012-13 Initial'!$D42</f>
        <v>2745</v>
      </c>
      <c r="N41" s="1092">
        <f t="shared" si="30"/>
        <v>0</v>
      </c>
      <c r="O41" s="1156">
        <f t="shared" si="22"/>
        <v>0</v>
      </c>
      <c r="P41" s="1092">
        <f t="shared" si="23"/>
        <v>0</v>
      </c>
      <c r="Q41" s="1092"/>
      <c r="R41" s="1092">
        <f t="shared" si="24"/>
        <v>0</v>
      </c>
      <c r="S41" s="1092">
        <f t="shared" si="25"/>
        <v>0</v>
      </c>
      <c r="T41" s="1093">
        <f t="shared" si="26"/>
        <v>0</v>
      </c>
      <c r="U41" s="1093">
        <f t="shared" si="27"/>
        <v>0</v>
      </c>
    </row>
    <row r="42" spans="1:21">
      <c r="A42" s="1021">
        <v>36</v>
      </c>
      <c r="B42" s="1022" t="s">
        <v>137</v>
      </c>
      <c r="C42" s="1040">
        <f>'Table 8 2.1.12 MFP Funded'!M39</f>
        <v>396</v>
      </c>
      <c r="D42" s="1041">
        <f>'Table 3 Levels 1&amp;2'!AL43</f>
        <v>3493.4615493208294</v>
      </c>
      <c r="E42" s="1141">
        <f t="shared" si="28"/>
        <v>1383410.7735310483</v>
      </c>
      <c r="F42" s="1141">
        <f t="shared" si="17"/>
        <v>283064.82239495794</v>
      </c>
      <c r="G42" s="1096">
        <f t="shared" si="29"/>
        <v>1666475.5959260063</v>
      </c>
      <c r="H42" s="1151">
        <f t="shared" si="18"/>
        <v>-4166.1889898150157</v>
      </c>
      <c r="I42" s="1096">
        <f t="shared" si="19"/>
        <v>1662309.4069361913</v>
      </c>
      <c r="J42" s="1096"/>
      <c r="K42" s="1096">
        <f t="shared" si="20"/>
        <v>1662309.4069361913</v>
      </c>
      <c r="L42" s="1096">
        <f t="shared" si="21"/>
        <v>138526</v>
      </c>
      <c r="M42" s="1086">
        <f>'[8]FY2012-13 Initial'!$D43</f>
        <v>4110</v>
      </c>
      <c r="N42" s="1026">
        <f t="shared" si="30"/>
        <v>1627560</v>
      </c>
      <c r="O42" s="1154">
        <f t="shared" si="22"/>
        <v>-4068.9</v>
      </c>
      <c r="P42" s="1026">
        <f t="shared" si="23"/>
        <v>1623491.1</v>
      </c>
      <c r="Q42" s="1026"/>
      <c r="R42" s="1026">
        <f t="shared" si="24"/>
        <v>1623491.1</v>
      </c>
      <c r="S42" s="1026">
        <f t="shared" si="25"/>
        <v>135291</v>
      </c>
      <c r="T42" s="1027">
        <f t="shared" si="26"/>
        <v>3285800.5069361916</v>
      </c>
      <c r="U42" s="1027">
        <f t="shared" si="27"/>
        <v>273817</v>
      </c>
    </row>
    <row r="43" spans="1:21">
      <c r="A43" s="1028">
        <v>37</v>
      </c>
      <c r="B43" s="1029" t="s">
        <v>138</v>
      </c>
      <c r="C43" s="1036">
        <f>'Table 8 2.1.12 MFP Funded'!M40</f>
        <v>0</v>
      </c>
      <c r="D43" s="1037">
        <f>'Table 3 Levels 1&amp;2'!AL44</f>
        <v>5484.3026094077886</v>
      </c>
      <c r="E43" s="1139">
        <f t="shared" si="28"/>
        <v>0</v>
      </c>
      <c r="F43" s="1139">
        <f t="shared" si="17"/>
        <v>0</v>
      </c>
      <c r="G43" s="1094">
        <f t="shared" si="29"/>
        <v>0</v>
      </c>
      <c r="H43" s="1149">
        <f t="shared" si="18"/>
        <v>0</v>
      </c>
      <c r="I43" s="1094">
        <f t="shared" si="19"/>
        <v>0</v>
      </c>
      <c r="J43" s="1094"/>
      <c r="K43" s="1094">
        <f t="shared" si="20"/>
        <v>0</v>
      </c>
      <c r="L43" s="1094">
        <f t="shared" si="21"/>
        <v>0</v>
      </c>
      <c r="M43" s="1086">
        <f>'[8]FY2012-13 Initial'!$D44</f>
        <v>2362</v>
      </c>
      <c r="N43" s="1088">
        <f t="shared" si="30"/>
        <v>0</v>
      </c>
      <c r="O43" s="1155">
        <f t="shared" si="22"/>
        <v>0</v>
      </c>
      <c r="P43" s="1088">
        <f t="shared" si="23"/>
        <v>0</v>
      </c>
      <c r="Q43" s="1088"/>
      <c r="R43" s="1088">
        <f t="shared" si="24"/>
        <v>0</v>
      </c>
      <c r="S43" s="1088">
        <f t="shared" si="25"/>
        <v>0</v>
      </c>
      <c r="T43" s="1089">
        <f t="shared" si="26"/>
        <v>0</v>
      </c>
      <c r="U43" s="1089">
        <f t="shared" si="27"/>
        <v>0</v>
      </c>
    </row>
    <row r="44" spans="1:21">
      <c r="A44" s="1028">
        <v>38</v>
      </c>
      <c r="B44" s="1029" t="s">
        <v>139</v>
      </c>
      <c r="C44" s="1036">
        <f>'Table 8 2.1.12 MFP Funded'!M41</f>
        <v>1</v>
      </c>
      <c r="D44" s="1037">
        <f>'Table 3 Levels 1&amp;2'!AL45</f>
        <v>2191.7415364583335</v>
      </c>
      <c r="E44" s="1139">
        <f t="shared" si="28"/>
        <v>2191.7415364583335</v>
      </c>
      <c r="F44" s="1139">
        <f t="shared" si="17"/>
        <v>714.81015756302509</v>
      </c>
      <c r="G44" s="1094">
        <f t="shared" si="29"/>
        <v>2906.5516940213583</v>
      </c>
      <c r="H44" s="1149">
        <f t="shared" si="18"/>
        <v>-7.266379235053396</v>
      </c>
      <c r="I44" s="1094">
        <f t="shared" si="19"/>
        <v>2899.2853147863048</v>
      </c>
      <c r="J44" s="1094"/>
      <c r="K44" s="1094">
        <f t="shared" si="20"/>
        <v>2899.2853147863048</v>
      </c>
      <c r="L44" s="1094">
        <f t="shared" si="21"/>
        <v>242</v>
      </c>
      <c r="M44" s="1086">
        <f>'[8]FY2012-13 Initial'!$D45</f>
        <v>9771</v>
      </c>
      <c r="N44" s="1088">
        <f t="shared" si="30"/>
        <v>9771</v>
      </c>
      <c r="O44" s="1155">
        <f t="shared" si="22"/>
        <v>-24.427500000000002</v>
      </c>
      <c r="P44" s="1088">
        <f t="shared" si="23"/>
        <v>9746.5725000000002</v>
      </c>
      <c r="Q44" s="1088"/>
      <c r="R44" s="1088">
        <f t="shared" si="24"/>
        <v>9746.5725000000002</v>
      </c>
      <c r="S44" s="1088">
        <f t="shared" si="25"/>
        <v>812</v>
      </c>
      <c r="T44" s="1089">
        <f t="shared" si="26"/>
        <v>12645.857814786305</v>
      </c>
      <c r="U44" s="1089">
        <f t="shared" si="27"/>
        <v>1054</v>
      </c>
    </row>
    <row r="45" spans="1:21">
      <c r="A45" s="1028">
        <v>39</v>
      </c>
      <c r="B45" s="1029" t="s">
        <v>140</v>
      </c>
      <c r="C45" s="1036">
        <f>'Table 8 2.1.12 MFP Funded'!M42</f>
        <v>0</v>
      </c>
      <c r="D45" s="1037">
        <f>'Table 3 Levels 1&amp;2'!AL46</f>
        <v>3686.1886996918806</v>
      </c>
      <c r="E45" s="1139">
        <f t="shared" si="28"/>
        <v>0</v>
      </c>
      <c r="F45" s="1139">
        <f t="shared" si="17"/>
        <v>0</v>
      </c>
      <c r="G45" s="1094">
        <f t="shared" si="29"/>
        <v>0</v>
      </c>
      <c r="H45" s="1149">
        <f t="shared" si="18"/>
        <v>0</v>
      </c>
      <c r="I45" s="1094">
        <f t="shared" si="19"/>
        <v>0</v>
      </c>
      <c r="J45" s="1094"/>
      <c r="K45" s="1094">
        <f t="shared" si="20"/>
        <v>0</v>
      </c>
      <c r="L45" s="1094">
        <f t="shared" si="21"/>
        <v>0</v>
      </c>
      <c r="M45" s="1086">
        <f>'[8]FY2012-13 Initial'!$D46</f>
        <v>4060</v>
      </c>
      <c r="N45" s="1088">
        <f t="shared" si="30"/>
        <v>0</v>
      </c>
      <c r="O45" s="1155">
        <f t="shared" si="22"/>
        <v>0</v>
      </c>
      <c r="P45" s="1088">
        <f t="shared" si="23"/>
        <v>0</v>
      </c>
      <c r="Q45" s="1088"/>
      <c r="R45" s="1088">
        <f t="shared" si="24"/>
        <v>0</v>
      </c>
      <c r="S45" s="1088">
        <f t="shared" si="25"/>
        <v>0</v>
      </c>
      <c r="T45" s="1089">
        <f t="shared" si="26"/>
        <v>0</v>
      </c>
      <c r="U45" s="1089">
        <f t="shared" si="27"/>
        <v>0</v>
      </c>
    </row>
    <row r="46" spans="1:21">
      <c r="A46" s="1032">
        <v>40</v>
      </c>
      <c r="B46" s="1033" t="s">
        <v>141</v>
      </c>
      <c r="C46" s="1038">
        <f>'Table 8 2.1.12 MFP Funded'!M43</f>
        <v>0</v>
      </c>
      <c r="D46" s="1039">
        <f>'Table 3 Levels 1&amp;2'!AL47</f>
        <v>4879.0185326187402</v>
      </c>
      <c r="E46" s="1140">
        <f t="shared" si="28"/>
        <v>0</v>
      </c>
      <c r="F46" s="1140">
        <f t="shared" si="17"/>
        <v>0</v>
      </c>
      <c r="G46" s="1095">
        <f t="shared" si="29"/>
        <v>0</v>
      </c>
      <c r="H46" s="1150">
        <f t="shared" si="18"/>
        <v>0</v>
      </c>
      <c r="I46" s="1095">
        <f t="shared" si="19"/>
        <v>0</v>
      </c>
      <c r="J46" s="1095"/>
      <c r="K46" s="1095">
        <f t="shared" si="20"/>
        <v>0</v>
      </c>
      <c r="L46" s="1095">
        <f t="shared" si="21"/>
        <v>0</v>
      </c>
      <c r="M46" s="1091">
        <f>'[8]FY2012-13 Initial'!$D47</f>
        <v>2531</v>
      </c>
      <c r="N46" s="1092">
        <f t="shared" si="30"/>
        <v>0</v>
      </c>
      <c r="O46" s="1156">
        <f t="shared" si="22"/>
        <v>0</v>
      </c>
      <c r="P46" s="1092">
        <f t="shared" si="23"/>
        <v>0</v>
      </c>
      <c r="Q46" s="1092"/>
      <c r="R46" s="1092">
        <f t="shared" si="24"/>
        <v>0</v>
      </c>
      <c r="S46" s="1092">
        <f t="shared" si="25"/>
        <v>0</v>
      </c>
      <c r="T46" s="1093">
        <f t="shared" si="26"/>
        <v>0</v>
      </c>
      <c r="U46" s="1093">
        <f t="shared" si="27"/>
        <v>0</v>
      </c>
    </row>
    <row r="47" spans="1:21">
      <c r="A47" s="1021">
        <v>41</v>
      </c>
      <c r="B47" s="1022" t="s">
        <v>142</v>
      </c>
      <c r="C47" s="1040">
        <f>'Table 8 2.1.12 MFP Funded'!M44</f>
        <v>0</v>
      </c>
      <c r="D47" s="1041">
        <f>'Table 3 Levels 1&amp;2'!AL48</f>
        <v>1608.4303482587065</v>
      </c>
      <c r="E47" s="1141">
        <f t="shared" si="28"/>
        <v>0</v>
      </c>
      <c r="F47" s="1141">
        <f t="shared" si="17"/>
        <v>0</v>
      </c>
      <c r="G47" s="1096">
        <f t="shared" si="29"/>
        <v>0</v>
      </c>
      <c r="H47" s="1151">
        <f t="shared" si="18"/>
        <v>0</v>
      </c>
      <c r="I47" s="1096">
        <f t="shared" si="19"/>
        <v>0</v>
      </c>
      <c r="J47" s="1096"/>
      <c r="K47" s="1096">
        <f t="shared" si="20"/>
        <v>0</v>
      </c>
      <c r="L47" s="1096">
        <f t="shared" si="21"/>
        <v>0</v>
      </c>
      <c r="M47" s="1086">
        <f>'[8]FY2012-13 Initial'!$D48</f>
        <v>11954</v>
      </c>
      <c r="N47" s="1026">
        <f t="shared" si="30"/>
        <v>0</v>
      </c>
      <c r="O47" s="1154">
        <f t="shared" si="22"/>
        <v>0</v>
      </c>
      <c r="P47" s="1026">
        <f t="shared" si="23"/>
        <v>0</v>
      </c>
      <c r="Q47" s="1026"/>
      <c r="R47" s="1026">
        <f t="shared" si="24"/>
        <v>0</v>
      </c>
      <c r="S47" s="1026">
        <f t="shared" si="25"/>
        <v>0</v>
      </c>
      <c r="T47" s="1027">
        <f t="shared" si="26"/>
        <v>0</v>
      </c>
      <c r="U47" s="1027">
        <f t="shared" si="27"/>
        <v>0</v>
      </c>
    </row>
    <row r="48" spans="1:21">
      <c r="A48" s="1028">
        <v>42</v>
      </c>
      <c r="B48" s="1029" t="s">
        <v>143</v>
      </c>
      <c r="C48" s="1036">
        <f>'Table 8 2.1.12 MFP Funded'!M45</f>
        <v>0</v>
      </c>
      <c r="D48" s="1037">
        <f>'Table 3 Levels 1&amp;2'!AL49</f>
        <v>5260.3047779801664</v>
      </c>
      <c r="E48" s="1139">
        <f t="shared" si="28"/>
        <v>0</v>
      </c>
      <c r="F48" s="1139">
        <f t="shared" si="17"/>
        <v>0</v>
      </c>
      <c r="G48" s="1094">
        <f t="shared" si="29"/>
        <v>0</v>
      </c>
      <c r="H48" s="1149">
        <f t="shared" si="18"/>
        <v>0</v>
      </c>
      <c r="I48" s="1094">
        <f t="shared" si="19"/>
        <v>0</v>
      </c>
      <c r="J48" s="1094"/>
      <c r="K48" s="1094">
        <f t="shared" si="20"/>
        <v>0</v>
      </c>
      <c r="L48" s="1094">
        <f t="shared" si="21"/>
        <v>0</v>
      </c>
      <c r="M48" s="1086">
        <f>'[8]FY2012-13 Initial'!$D49</f>
        <v>2026</v>
      </c>
      <c r="N48" s="1088">
        <f t="shared" si="30"/>
        <v>0</v>
      </c>
      <c r="O48" s="1155">
        <f t="shared" si="22"/>
        <v>0</v>
      </c>
      <c r="P48" s="1088">
        <f t="shared" si="23"/>
        <v>0</v>
      </c>
      <c r="Q48" s="1088"/>
      <c r="R48" s="1088">
        <f t="shared" si="24"/>
        <v>0</v>
      </c>
      <c r="S48" s="1088">
        <f t="shared" si="25"/>
        <v>0</v>
      </c>
      <c r="T48" s="1089">
        <f t="shared" si="26"/>
        <v>0</v>
      </c>
      <c r="U48" s="1089">
        <f t="shared" si="27"/>
        <v>0</v>
      </c>
    </row>
    <row r="49" spans="1:21">
      <c r="A49" s="1028">
        <v>43</v>
      </c>
      <c r="B49" s="1029" t="s">
        <v>144</v>
      </c>
      <c r="C49" s="1036">
        <f>'Table 8 2.1.12 MFP Funded'!M46</f>
        <v>0</v>
      </c>
      <c r="D49" s="1037">
        <f>'Table 3 Levels 1&amp;2'!AL50</f>
        <v>5587.3492327608728</v>
      </c>
      <c r="E49" s="1139">
        <f t="shared" si="28"/>
        <v>0</v>
      </c>
      <c r="F49" s="1139">
        <f t="shared" si="17"/>
        <v>0</v>
      </c>
      <c r="G49" s="1094">
        <f t="shared" si="29"/>
        <v>0</v>
      </c>
      <c r="H49" s="1149">
        <f t="shared" si="18"/>
        <v>0</v>
      </c>
      <c r="I49" s="1094">
        <f t="shared" si="19"/>
        <v>0</v>
      </c>
      <c r="J49" s="1094"/>
      <c r="K49" s="1094">
        <f t="shared" si="20"/>
        <v>0</v>
      </c>
      <c r="L49" s="1094">
        <f t="shared" si="21"/>
        <v>0</v>
      </c>
      <c r="M49" s="1086">
        <f>'[8]FY2012-13 Initial'!$D50</f>
        <v>5089</v>
      </c>
      <c r="N49" s="1088">
        <f t="shared" si="30"/>
        <v>0</v>
      </c>
      <c r="O49" s="1155">
        <f t="shared" si="22"/>
        <v>0</v>
      </c>
      <c r="P49" s="1088">
        <f t="shared" si="23"/>
        <v>0</v>
      </c>
      <c r="Q49" s="1088"/>
      <c r="R49" s="1088">
        <f t="shared" si="24"/>
        <v>0</v>
      </c>
      <c r="S49" s="1088">
        <f t="shared" si="25"/>
        <v>0</v>
      </c>
      <c r="T49" s="1089">
        <f t="shared" si="26"/>
        <v>0</v>
      </c>
      <c r="U49" s="1089">
        <f t="shared" si="27"/>
        <v>0</v>
      </c>
    </row>
    <row r="50" spans="1:21">
      <c r="A50" s="1028">
        <v>44</v>
      </c>
      <c r="B50" s="1029" t="s">
        <v>145</v>
      </c>
      <c r="C50" s="1036">
        <f>'Table 8 2.1.12 MFP Funded'!M47</f>
        <v>12</v>
      </c>
      <c r="D50" s="1037">
        <f>'Table 3 Levels 1&amp;2'!AL51</f>
        <v>4113.1787591918992</v>
      </c>
      <c r="E50" s="1139">
        <f t="shared" si="28"/>
        <v>49358.145110302794</v>
      </c>
      <c r="F50" s="1139">
        <f t="shared" si="17"/>
        <v>8577.7218907563001</v>
      </c>
      <c r="G50" s="1094">
        <f t="shared" si="29"/>
        <v>57935.867001059094</v>
      </c>
      <c r="H50" s="1149">
        <f t="shared" si="18"/>
        <v>-144.83966750264773</v>
      </c>
      <c r="I50" s="1094">
        <f t="shared" si="19"/>
        <v>57791.027333556449</v>
      </c>
      <c r="J50" s="1094"/>
      <c r="K50" s="1094">
        <f t="shared" si="20"/>
        <v>57791.027333556449</v>
      </c>
      <c r="L50" s="1094">
        <f t="shared" si="21"/>
        <v>4816</v>
      </c>
      <c r="M50" s="1086">
        <f>'[8]FY2012-13 Initial'!$D51</f>
        <v>4166</v>
      </c>
      <c r="N50" s="1088">
        <f t="shared" si="30"/>
        <v>49992</v>
      </c>
      <c r="O50" s="1155">
        <f t="shared" si="22"/>
        <v>-124.98</v>
      </c>
      <c r="P50" s="1088">
        <f t="shared" si="23"/>
        <v>49867.02</v>
      </c>
      <c r="Q50" s="1088"/>
      <c r="R50" s="1088">
        <f t="shared" si="24"/>
        <v>49867.02</v>
      </c>
      <c r="S50" s="1088">
        <f t="shared" si="25"/>
        <v>4156</v>
      </c>
      <c r="T50" s="1089">
        <f t="shared" si="26"/>
        <v>107658.04733355645</v>
      </c>
      <c r="U50" s="1089">
        <f t="shared" si="27"/>
        <v>8972</v>
      </c>
    </row>
    <row r="51" spans="1:21">
      <c r="A51" s="1032">
        <v>45</v>
      </c>
      <c r="B51" s="1033" t="s">
        <v>146</v>
      </c>
      <c r="C51" s="1038">
        <f>'Table 8 2.1.12 MFP Funded'!M48</f>
        <v>5</v>
      </c>
      <c r="D51" s="1039">
        <f>'Table 3 Levels 1&amp;2'!AL52</f>
        <v>2414.8479898164846</v>
      </c>
      <c r="E51" s="1140">
        <f t="shared" si="28"/>
        <v>12074.239949082423</v>
      </c>
      <c r="F51" s="1140">
        <f t="shared" si="17"/>
        <v>3574.0507878151257</v>
      </c>
      <c r="G51" s="1095">
        <f t="shared" si="29"/>
        <v>15648.290736897548</v>
      </c>
      <c r="H51" s="1150">
        <f t="shared" si="18"/>
        <v>-39.120726842243869</v>
      </c>
      <c r="I51" s="1095">
        <f t="shared" si="19"/>
        <v>15609.170010055304</v>
      </c>
      <c r="J51" s="1095"/>
      <c r="K51" s="1095">
        <f t="shared" si="20"/>
        <v>15609.170010055304</v>
      </c>
      <c r="L51" s="1095">
        <f t="shared" si="21"/>
        <v>1301</v>
      </c>
      <c r="M51" s="1091">
        <f>'[8]FY2012-13 Initial'!$D52</f>
        <v>10324</v>
      </c>
      <c r="N51" s="1092">
        <f t="shared" si="30"/>
        <v>51620</v>
      </c>
      <c r="O51" s="1156">
        <f t="shared" si="22"/>
        <v>-129.05000000000001</v>
      </c>
      <c r="P51" s="1092">
        <f t="shared" si="23"/>
        <v>51490.95</v>
      </c>
      <c r="Q51" s="1092"/>
      <c r="R51" s="1092">
        <f t="shared" si="24"/>
        <v>51490.95</v>
      </c>
      <c r="S51" s="1092">
        <f t="shared" si="25"/>
        <v>4291</v>
      </c>
      <c r="T51" s="1093">
        <f t="shared" si="26"/>
        <v>67100.120010055296</v>
      </c>
      <c r="U51" s="1093">
        <f t="shared" si="27"/>
        <v>5592</v>
      </c>
    </row>
    <row r="52" spans="1:21">
      <c r="A52" s="1021">
        <v>46</v>
      </c>
      <c r="B52" s="1022" t="s">
        <v>147</v>
      </c>
      <c r="C52" s="1040">
        <f>'Table 8 2.1.12 MFP Funded'!M49</f>
        <v>0</v>
      </c>
      <c r="D52" s="1041">
        <f>'Table 3 Levels 1&amp;2'!AL53</f>
        <v>5765.0314518803261</v>
      </c>
      <c r="E52" s="1141">
        <f t="shared" si="28"/>
        <v>0</v>
      </c>
      <c r="F52" s="1141">
        <f t="shared" si="17"/>
        <v>0</v>
      </c>
      <c r="G52" s="1096">
        <f t="shared" si="29"/>
        <v>0</v>
      </c>
      <c r="H52" s="1151">
        <f t="shared" si="18"/>
        <v>0</v>
      </c>
      <c r="I52" s="1096">
        <f t="shared" si="19"/>
        <v>0</v>
      </c>
      <c r="J52" s="1096"/>
      <c r="K52" s="1096">
        <f t="shared" si="20"/>
        <v>0</v>
      </c>
      <c r="L52" s="1096">
        <f t="shared" si="21"/>
        <v>0</v>
      </c>
      <c r="M52" s="1086">
        <f>'[8]FY2012-13 Initial'!$D53</f>
        <v>973</v>
      </c>
      <c r="N52" s="1026">
        <f t="shared" si="30"/>
        <v>0</v>
      </c>
      <c r="O52" s="1154">
        <f t="shared" si="22"/>
        <v>0</v>
      </c>
      <c r="P52" s="1026">
        <f t="shared" si="23"/>
        <v>0</v>
      </c>
      <c r="Q52" s="1026"/>
      <c r="R52" s="1026">
        <f t="shared" si="24"/>
        <v>0</v>
      </c>
      <c r="S52" s="1026">
        <f t="shared" si="25"/>
        <v>0</v>
      </c>
      <c r="T52" s="1027">
        <f t="shared" si="26"/>
        <v>0</v>
      </c>
      <c r="U52" s="1027">
        <f t="shared" si="27"/>
        <v>0</v>
      </c>
    </row>
    <row r="53" spans="1:21">
      <c r="A53" s="1028">
        <v>47</v>
      </c>
      <c r="B53" s="1029" t="s">
        <v>148</v>
      </c>
      <c r="C53" s="1036">
        <f>'Table 8 2.1.12 MFP Funded'!M50</f>
        <v>0</v>
      </c>
      <c r="D53" s="1037">
        <f>'Table 3 Levels 1&amp;2'!AL54</f>
        <v>3186.1712081166847</v>
      </c>
      <c r="E53" s="1139">
        <f t="shared" si="28"/>
        <v>0</v>
      </c>
      <c r="F53" s="1139">
        <f t="shared" si="17"/>
        <v>0</v>
      </c>
      <c r="G53" s="1094">
        <f t="shared" si="29"/>
        <v>0</v>
      </c>
      <c r="H53" s="1149">
        <f t="shared" si="18"/>
        <v>0</v>
      </c>
      <c r="I53" s="1094">
        <f t="shared" si="19"/>
        <v>0</v>
      </c>
      <c r="J53" s="1094"/>
      <c r="K53" s="1094">
        <f t="shared" si="20"/>
        <v>0</v>
      </c>
      <c r="L53" s="1094">
        <f t="shared" si="21"/>
        <v>0</v>
      </c>
      <c r="M53" s="1086">
        <f>'[8]FY2012-13 Initial'!$D54</f>
        <v>8858</v>
      </c>
      <c r="N53" s="1088">
        <f t="shared" si="30"/>
        <v>0</v>
      </c>
      <c r="O53" s="1155">
        <f t="shared" si="22"/>
        <v>0</v>
      </c>
      <c r="P53" s="1088">
        <f t="shared" si="23"/>
        <v>0</v>
      </c>
      <c r="Q53" s="1088"/>
      <c r="R53" s="1088">
        <f t="shared" si="24"/>
        <v>0</v>
      </c>
      <c r="S53" s="1088">
        <f t="shared" si="25"/>
        <v>0</v>
      </c>
      <c r="T53" s="1089">
        <f t="shared" si="26"/>
        <v>0</v>
      </c>
      <c r="U53" s="1089">
        <f t="shared" si="27"/>
        <v>0</v>
      </c>
    </row>
    <row r="54" spans="1:21">
      <c r="A54" s="1028">
        <v>48</v>
      </c>
      <c r="B54" s="1029" t="s">
        <v>222</v>
      </c>
      <c r="C54" s="1036">
        <f>'Table 8 2.1.12 MFP Funded'!M51</f>
        <v>7</v>
      </c>
      <c r="D54" s="1037">
        <f>'Table 3 Levels 1&amp;2'!AL55</f>
        <v>4260.4872196136057</v>
      </c>
      <c r="E54" s="1139">
        <f t="shared" si="28"/>
        <v>29823.41053729524</v>
      </c>
      <c r="F54" s="1139">
        <f t="shared" si="17"/>
        <v>5003.6711029411754</v>
      </c>
      <c r="G54" s="1094">
        <f t="shared" si="29"/>
        <v>34827.081640236414</v>
      </c>
      <c r="H54" s="1149">
        <f t="shared" si="18"/>
        <v>-87.067704100591044</v>
      </c>
      <c r="I54" s="1094">
        <f t="shared" si="19"/>
        <v>34740.013936135823</v>
      </c>
      <c r="J54" s="1094"/>
      <c r="K54" s="1094">
        <f t="shared" si="20"/>
        <v>34740.013936135823</v>
      </c>
      <c r="L54" s="1094">
        <f t="shared" si="21"/>
        <v>2895</v>
      </c>
      <c r="M54" s="1086">
        <f>'[8]FY2012-13 Initial'!$D55</f>
        <v>4300</v>
      </c>
      <c r="N54" s="1088">
        <f t="shared" si="30"/>
        <v>30100</v>
      </c>
      <c r="O54" s="1155">
        <f t="shared" si="22"/>
        <v>-75.25</v>
      </c>
      <c r="P54" s="1088">
        <f t="shared" si="23"/>
        <v>30024.75</v>
      </c>
      <c r="Q54" s="1088"/>
      <c r="R54" s="1088">
        <f t="shared" si="24"/>
        <v>30024.75</v>
      </c>
      <c r="S54" s="1088">
        <f t="shared" si="25"/>
        <v>2502</v>
      </c>
      <c r="T54" s="1089">
        <f t="shared" si="26"/>
        <v>64764.763936135823</v>
      </c>
      <c r="U54" s="1089">
        <f t="shared" si="27"/>
        <v>5397</v>
      </c>
    </row>
    <row r="55" spans="1:21">
      <c r="A55" s="1028">
        <v>49</v>
      </c>
      <c r="B55" s="1029" t="s">
        <v>149</v>
      </c>
      <c r="C55" s="1036">
        <f>'Table 8 2.1.12 MFP Funded'!M52</f>
        <v>0</v>
      </c>
      <c r="D55" s="1037">
        <f>'Table 3 Levels 1&amp;2'!AL56</f>
        <v>4800.2172145077111</v>
      </c>
      <c r="E55" s="1139">
        <f t="shared" si="28"/>
        <v>0</v>
      </c>
      <c r="F55" s="1139">
        <f t="shared" si="17"/>
        <v>0</v>
      </c>
      <c r="G55" s="1094">
        <f t="shared" si="29"/>
        <v>0</v>
      </c>
      <c r="H55" s="1149">
        <f t="shared" si="18"/>
        <v>0</v>
      </c>
      <c r="I55" s="1094">
        <f t="shared" si="19"/>
        <v>0</v>
      </c>
      <c r="J55" s="1094"/>
      <c r="K55" s="1094">
        <f t="shared" si="20"/>
        <v>0</v>
      </c>
      <c r="L55" s="1094">
        <f t="shared" si="21"/>
        <v>0</v>
      </c>
      <c r="M55" s="1086">
        <f>'[8]FY2012-13 Initial'!$D56</f>
        <v>2326</v>
      </c>
      <c r="N55" s="1088">
        <f t="shared" si="30"/>
        <v>0</v>
      </c>
      <c r="O55" s="1155">
        <f t="shared" si="22"/>
        <v>0</v>
      </c>
      <c r="P55" s="1088">
        <f t="shared" si="23"/>
        <v>0</v>
      </c>
      <c r="Q55" s="1088"/>
      <c r="R55" s="1088">
        <f t="shared" si="24"/>
        <v>0</v>
      </c>
      <c r="S55" s="1088">
        <f t="shared" si="25"/>
        <v>0</v>
      </c>
      <c r="T55" s="1089">
        <f t="shared" si="26"/>
        <v>0</v>
      </c>
      <c r="U55" s="1089">
        <f t="shared" si="27"/>
        <v>0</v>
      </c>
    </row>
    <row r="56" spans="1:21">
      <c r="A56" s="1032">
        <v>50</v>
      </c>
      <c r="B56" s="1033" t="s">
        <v>150</v>
      </c>
      <c r="C56" s="1038">
        <f>'Table 8 2.1.12 MFP Funded'!M53</f>
        <v>0</v>
      </c>
      <c r="D56" s="1039">
        <f>'Table 3 Levels 1&amp;2'!AL57</f>
        <v>5059.523754419537</v>
      </c>
      <c r="E56" s="1140">
        <f t="shared" si="28"/>
        <v>0</v>
      </c>
      <c r="F56" s="1140">
        <f t="shared" si="17"/>
        <v>0</v>
      </c>
      <c r="G56" s="1095">
        <f t="shared" si="29"/>
        <v>0</v>
      </c>
      <c r="H56" s="1150">
        <f t="shared" si="18"/>
        <v>0</v>
      </c>
      <c r="I56" s="1095">
        <f t="shared" si="19"/>
        <v>0</v>
      </c>
      <c r="J56" s="1095"/>
      <c r="K56" s="1095">
        <f t="shared" si="20"/>
        <v>0</v>
      </c>
      <c r="L56" s="1095">
        <f t="shared" si="21"/>
        <v>0</v>
      </c>
      <c r="M56" s="1091">
        <f>'[8]FY2012-13 Initial'!$D57</f>
        <v>1905</v>
      </c>
      <c r="N56" s="1092">
        <f t="shared" si="30"/>
        <v>0</v>
      </c>
      <c r="O56" s="1156">
        <f t="shared" si="22"/>
        <v>0</v>
      </c>
      <c r="P56" s="1092">
        <f t="shared" si="23"/>
        <v>0</v>
      </c>
      <c r="Q56" s="1092"/>
      <c r="R56" s="1092">
        <f t="shared" si="24"/>
        <v>0</v>
      </c>
      <c r="S56" s="1092">
        <f t="shared" si="25"/>
        <v>0</v>
      </c>
      <c r="T56" s="1093">
        <f t="shared" si="26"/>
        <v>0</v>
      </c>
      <c r="U56" s="1093">
        <f t="shared" si="27"/>
        <v>0</v>
      </c>
    </row>
    <row r="57" spans="1:21">
      <c r="A57" s="1021">
        <v>51</v>
      </c>
      <c r="B57" s="1022" t="s">
        <v>151</v>
      </c>
      <c r="C57" s="1040">
        <f>'Table 8 2.1.12 MFP Funded'!M54</f>
        <v>0</v>
      </c>
      <c r="D57" s="1041">
        <f>'Table 3 Levels 1&amp;2'!AL58</f>
        <v>4384.0477116019692</v>
      </c>
      <c r="E57" s="1141">
        <f t="shared" si="28"/>
        <v>0</v>
      </c>
      <c r="F57" s="1141">
        <f t="shared" si="17"/>
        <v>0</v>
      </c>
      <c r="G57" s="1096">
        <f t="shared" si="29"/>
        <v>0</v>
      </c>
      <c r="H57" s="1151">
        <f t="shared" si="18"/>
        <v>0</v>
      </c>
      <c r="I57" s="1096">
        <f t="shared" si="19"/>
        <v>0</v>
      </c>
      <c r="J57" s="1096"/>
      <c r="K57" s="1096">
        <f t="shared" si="20"/>
        <v>0</v>
      </c>
      <c r="L57" s="1096">
        <f t="shared" si="21"/>
        <v>0</v>
      </c>
      <c r="M57" s="1086">
        <f>'[8]FY2012-13 Initial'!$D58</f>
        <v>3704</v>
      </c>
      <c r="N57" s="1026">
        <f t="shared" si="30"/>
        <v>0</v>
      </c>
      <c r="O57" s="1154">
        <f t="shared" si="22"/>
        <v>0</v>
      </c>
      <c r="P57" s="1026">
        <f t="shared" si="23"/>
        <v>0</v>
      </c>
      <c r="Q57" s="1026"/>
      <c r="R57" s="1026">
        <f t="shared" si="24"/>
        <v>0</v>
      </c>
      <c r="S57" s="1026">
        <f t="shared" si="25"/>
        <v>0</v>
      </c>
      <c r="T57" s="1027">
        <f t="shared" si="26"/>
        <v>0</v>
      </c>
      <c r="U57" s="1027">
        <f t="shared" si="27"/>
        <v>0</v>
      </c>
    </row>
    <row r="58" spans="1:21">
      <c r="A58" s="1028">
        <v>52</v>
      </c>
      <c r="B58" s="1029" t="s">
        <v>152</v>
      </c>
      <c r="C58" s="1036">
        <f>'Table 8 2.1.12 MFP Funded'!M55</f>
        <v>10</v>
      </c>
      <c r="D58" s="1037">
        <f>'Table 3 Levels 1&amp;2'!AL59</f>
        <v>4920.0697942988754</v>
      </c>
      <c r="E58" s="1139">
        <f t="shared" si="28"/>
        <v>49200.697942988758</v>
      </c>
      <c r="F58" s="1139">
        <f t="shared" si="17"/>
        <v>7148.1015756302513</v>
      </c>
      <c r="G58" s="1094">
        <f t="shared" si="29"/>
        <v>56348.799518619009</v>
      </c>
      <c r="H58" s="1149">
        <f t="shared" si="18"/>
        <v>-140.87199879654753</v>
      </c>
      <c r="I58" s="1094">
        <f t="shared" si="19"/>
        <v>56207.927519822464</v>
      </c>
      <c r="J58" s="1094"/>
      <c r="K58" s="1094">
        <f t="shared" si="20"/>
        <v>56207.927519822464</v>
      </c>
      <c r="L58" s="1094">
        <f t="shared" si="21"/>
        <v>4684</v>
      </c>
      <c r="M58" s="1086">
        <f>'[8]FY2012-13 Initial'!$D59</f>
        <v>3930</v>
      </c>
      <c r="N58" s="1088">
        <f t="shared" si="30"/>
        <v>39300</v>
      </c>
      <c r="O58" s="1155">
        <f t="shared" si="22"/>
        <v>-98.25</v>
      </c>
      <c r="P58" s="1088">
        <f t="shared" si="23"/>
        <v>39201.75</v>
      </c>
      <c r="Q58" s="1088"/>
      <c r="R58" s="1088">
        <f t="shared" si="24"/>
        <v>39201.75</v>
      </c>
      <c r="S58" s="1088">
        <f t="shared" si="25"/>
        <v>3267</v>
      </c>
      <c r="T58" s="1089">
        <f t="shared" si="26"/>
        <v>95409.677519822464</v>
      </c>
      <c r="U58" s="1089">
        <f t="shared" si="27"/>
        <v>7951</v>
      </c>
    </row>
    <row r="59" spans="1:21">
      <c r="A59" s="1028">
        <v>53</v>
      </c>
      <c r="B59" s="1029" t="s">
        <v>153</v>
      </c>
      <c r="C59" s="1036">
        <f>'Table 8 2.1.12 MFP Funded'!M56</f>
        <v>0</v>
      </c>
      <c r="D59" s="1037">
        <f>'Table 3 Levels 1&amp;2'!AL60</f>
        <v>4784.2719870767614</v>
      </c>
      <c r="E59" s="1139">
        <f t="shared" si="28"/>
        <v>0</v>
      </c>
      <c r="F59" s="1139">
        <f t="shared" si="17"/>
        <v>0</v>
      </c>
      <c r="G59" s="1094">
        <f t="shared" si="29"/>
        <v>0</v>
      </c>
      <c r="H59" s="1149">
        <f t="shared" si="18"/>
        <v>0</v>
      </c>
      <c r="I59" s="1094">
        <f t="shared" si="19"/>
        <v>0</v>
      </c>
      <c r="J59" s="1094"/>
      <c r="K59" s="1094">
        <f t="shared" si="20"/>
        <v>0</v>
      </c>
      <c r="L59" s="1094">
        <f t="shared" si="21"/>
        <v>0</v>
      </c>
      <c r="M59" s="1086">
        <f>'[8]FY2012-13 Initial'!$D60</f>
        <v>1405</v>
      </c>
      <c r="N59" s="1088">
        <f t="shared" si="30"/>
        <v>0</v>
      </c>
      <c r="O59" s="1155">
        <f t="shared" si="22"/>
        <v>0</v>
      </c>
      <c r="P59" s="1088">
        <f t="shared" si="23"/>
        <v>0</v>
      </c>
      <c r="Q59" s="1088"/>
      <c r="R59" s="1088">
        <f t="shared" si="24"/>
        <v>0</v>
      </c>
      <c r="S59" s="1088">
        <f t="shared" si="25"/>
        <v>0</v>
      </c>
      <c r="T59" s="1089">
        <f t="shared" si="26"/>
        <v>0</v>
      </c>
      <c r="U59" s="1089">
        <f t="shared" si="27"/>
        <v>0</v>
      </c>
    </row>
    <row r="60" spans="1:21">
      <c r="A60" s="1028">
        <v>54</v>
      </c>
      <c r="B60" s="1029" t="s">
        <v>154</v>
      </c>
      <c r="C60" s="1036">
        <f>'Table 8 2.1.12 MFP Funded'!M57</f>
        <v>0</v>
      </c>
      <c r="D60" s="1037">
        <f>'Table 3 Levels 1&amp;2'!AL61</f>
        <v>5982.5555386476462</v>
      </c>
      <c r="E60" s="1139">
        <f t="shared" si="28"/>
        <v>0</v>
      </c>
      <c r="F60" s="1139">
        <f t="shared" si="17"/>
        <v>0</v>
      </c>
      <c r="G60" s="1094">
        <f t="shared" si="29"/>
        <v>0</v>
      </c>
      <c r="H60" s="1149">
        <f t="shared" si="18"/>
        <v>0</v>
      </c>
      <c r="I60" s="1094">
        <f t="shared" si="19"/>
        <v>0</v>
      </c>
      <c r="J60" s="1094"/>
      <c r="K60" s="1094">
        <f t="shared" si="20"/>
        <v>0</v>
      </c>
      <c r="L60" s="1094">
        <f t="shared" si="21"/>
        <v>0</v>
      </c>
      <c r="M60" s="1086">
        <f>'[8]FY2012-13 Initial'!$D61</f>
        <v>3264</v>
      </c>
      <c r="N60" s="1088">
        <f t="shared" si="30"/>
        <v>0</v>
      </c>
      <c r="O60" s="1155">
        <f t="shared" si="22"/>
        <v>0</v>
      </c>
      <c r="P60" s="1088">
        <f t="shared" si="23"/>
        <v>0</v>
      </c>
      <c r="Q60" s="1088"/>
      <c r="R60" s="1088">
        <f t="shared" si="24"/>
        <v>0</v>
      </c>
      <c r="S60" s="1088">
        <f t="shared" si="25"/>
        <v>0</v>
      </c>
      <c r="T60" s="1089">
        <f t="shared" si="26"/>
        <v>0</v>
      </c>
      <c r="U60" s="1089">
        <f t="shared" si="27"/>
        <v>0</v>
      </c>
    </row>
    <row r="61" spans="1:21">
      <c r="A61" s="1032">
        <v>55</v>
      </c>
      <c r="B61" s="1033" t="s">
        <v>155</v>
      </c>
      <c r="C61" s="1038">
        <f>'Table 8 2.1.12 MFP Funded'!M58</f>
        <v>0</v>
      </c>
      <c r="D61" s="1039">
        <f>'Table 3 Levels 1&amp;2'!AL62</f>
        <v>4087.4017448818722</v>
      </c>
      <c r="E61" s="1140">
        <f t="shared" si="28"/>
        <v>0</v>
      </c>
      <c r="F61" s="1140">
        <f t="shared" si="17"/>
        <v>0</v>
      </c>
      <c r="G61" s="1095">
        <f t="shared" si="29"/>
        <v>0</v>
      </c>
      <c r="H61" s="1150">
        <f t="shared" si="18"/>
        <v>0</v>
      </c>
      <c r="I61" s="1095">
        <f t="shared" si="19"/>
        <v>0</v>
      </c>
      <c r="J61" s="1095"/>
      <c r="K61" s="1095">
        <f t="shared" si="20"/>
        <v>0</v>
      </c>
      <c r="L61" s="1095">
        <f t="shared" si="21"/>
        <v>0</v>
      </c>
      <c r="M61" s="1091">
        <f>'[8]FY2012-13 Initial'!$D62</f>
        <v>3071</v>
      </c>
      <c r="N61" s="1092">
        <f t="shared" si="30"/>
        <v>0</v>
      </c>
      <c r="O61" s="1156">
        <f t="shared" si="22"/>
        <v>0</v>
      </c>
      <c r="P61" s="1092">
        <f t="shared" si="23"/>
        <v>0</v>
      </c>
      <c r="Q61" s="1092"/>
      <c r="R61" s="1092">
        <f t="shared" si="24"/>
        <v>0</v>
      </c>
      <c r="S61" s="1092">
        <f t="shared" si="25"/>
        <v>0</v>
      </c>
      <c r="T61" s="1093">
        <f t="shared" si="26"/>
        <v>0</v>
      </c>
      <c r="U61" s="1093">
        <f t="shared" si="27"/>
        <v>0</v>
      </c>
    </row>
    <row r="62" spans="1:21">
      <c r="A62" s="1021">
        <v>56</v>
      </c>
      <c r="B62" s="1022" t="s">
        <v>156</v>
      </c>
      <c r="C62" s="1040">
        <f>'Table 8 2.1.12 MFP Funded'!M59</f>
        <v>0</v>
      </c>
      <c r="D62" s="1041">
        <f>'Table 3 Levels 1&amp;2'!AL63</f>
        <v>5052.2250942802684</v>
      </c>
      <c r="E62" s="1141">
        <f t="shared" si="28"/>
        <v>0</v>
      </c>
      <c r="F62" s="1141">
        <f t="shared" si="17"/>
        <v>0</v>
      </c>
      <c r="G62" s="1096">
        <f t="shared" si="29"/>
        <v>0</v>
      </c>
      <c r="H62" s="1151">
        <f t="shared" si="18"/>
        <v>0</v>
      </c>
      <c r="I62" s="1096">
        <f t="shared" si="19"/>
        <v>0</v>
      </c>
      <c r="J62" s="1096"/>
      <c r="K62" s="1096">
        <f t="shared" si="20"/>
        <v>0</v>
      </c>
      <c r="L62" s="1096">
        <f t="shared" si="21"/>
        <v>0</v>
      </c>
      <c r="M62" s="1086">
        <f>'[8]FY2012-13 Initial'!$D63</f>
        <v>2630</v>
      </c>
      <c r="N62" s="1026">
        <f t="shared" si="30"/>
        <v>0</v>
      </c>
      <c r="O62" s="1154">
        <f t="shared" si="22"/>
        <v>0</v>
      </c>
      <c r="P62" s="1026">
        <f t="shared" si="23"/>
        <v>0</v>
      </c>
      <c r="Q62" s="1026"/>
      <c r="R62" s="1026">
        <f t="shared" si="24"/>
        <v>0</v>
      </c>
      <c r="S62" s="1026">
        <f t="shared" si="25"/>
        <v>0</v>
      </c>
      <c r="T62" s="1027">
        <f t="shared" si="26"/>
        <v>0</v>
      </c>
      <c r="U62" s="1027">
        <f t="shared" si="27"/>
        <v>0</v>
      </c>
    </row>
    <row r="63" spans="1:21">
      <c r="A63" s="1028">
        <v>57</v>
      </c>
      <c r="B63" s="1029" t="s">
        <v>157</v>
      </c>
      <c r="C63" s="1036">
        <f>'Table 8 2.1.12 MFP Funded'!M60</f>
        <v>0</v>
      </c>
      <c r="D63" s="1037">
        <f>'Table 3 Levels 1&amp;2'!AL64</f>
        <v>4389.3863180380931</v>
      </c>
      <c r="E63" s="1139">
        <f t="shared" si="28"/>
        <v>0</v>
      </c>
      <c r="F63" s="1139">
        <f t="shared" si="17"/>
        <v>0</v>
      </c>
      <c r="G63" s="1094">
        <f t="shared" si="29"/>
        <v>0</v>
      </c>
      <c r="H63" s="1149">
        <f t="shared" si="18"/>
        <v>0</v>
      </c>
      <c r="I63" s="1094">
        <f t="shared" si="19"/>
        <v>0</v>
      </c>
      <c r="J63" s="1094"/>
      <c r="K63" s="1094">
        <f t="shared" si="20"/>
        <v>0</v>
      </c>
      <c r="L63" s="1094">
        <f t="shared" si="21"/>
        <v>0</v>
      </c>
      <c r="M63" s="1086">
        <f>'[8]FY2012-13 Initial'!$D64</f>
        <v>3053</v>
      </c>
      <c r="N63" s="1088">
        <f t="shared" si="30"/>
        <v>0</v>
      </c>
      <c r="O63" s="1155">
        <f t="shared" si="22"/>
        <v>0</v>
      </c>
      <c r="P63" s="1088">
        <f t="shared" si="23"/>
        <v>0</v>
      </c>
      <c r="Q63" s="1088"/>
      <c r="R63" s="1088">
        <f t="shared" si="24"/>
        <v>0</v>
      </c>
      <c r="S63" s="1088">
        <f t="shared" si="25"/>
        <v>0</v>
      </c>
      <c r="T63" s="1089">
        <f t="shared" si="26"/>
        <v>0</v>
      </c>
      <c r="U63" s="1089">
        <f t="shared" si="27"/>
        <v>0</v>
      </c>
    </row>
    <row r="64" spans="1:21">
      <c r="A64" s="1028">
        <v>58</v>
      </c>
      <c r="B64" s="1029" t="s">
        <v>158</v>
      </c>
      <c r="C64" s="1036">
        <f>'Table 8 2.1.12 MFP Funded'!M61</f>
        <v>0</v>
      </c>
      <c r="D64" s="1037">
        <f>'Table 3 Levels 1&amp;2'!AL65</f>
        <v>5325.8881107130073</v>
      </c>
      <c r="E64" s="1139">
        <f t="shared" si="28"/>
        <v>0</v>
      </c>
      <c r="F64" s="1139">
        <f t="shared" si="17"/>
        <v>0</v>
      </c>
      <c r="G64" s="1094">
        <f t="shared" si="29"/>
        <v>0</v>
      </c>
      <c r="H64" s="1149">
        <f t="shared" si="18"/>
        <v>0</v>
      </c>
      <c r="I64" s="1094">
        <f t="shared" si="19"/>
        <v>0</v>
      </c>
      <c r="J64" s="1094"/>
      <c r="K64" s="1094">
        <f t="shared" si="20"/>
        <v>0</v>
      </c>
      <c r="L64" s="1094">
        <f t="shared" si="21"/>
        <v>0</v>
      </c>
      <c r="M64" s="1086">
        <f>'[8]FY2012-13 Initial'!$D65</f>
        <v>1533</v>
      </c>
      <c r="N64" s="1088">
        <f t="shared" si="30"/>
        <v>0</v>
      </c>
      <c r="O64" s="1155">
        <f t="shared" si="22"/>
        <v>0</v>
      </c>
      <c r="P64" s="1088">
        <f t="shared" si="23"/>
        <v>0</v>
      </c>
      <c r="Q64" s="1088"/>
      <c r="R64" s="1088">
        <f t="shared" si="24"/>
        <v>0</v>
      </c>
      <c r="S64" s="1088">
        <f t="shared" si="25"/>
        <v>0</v>
      </c>
      <c r="T64" s="1089">
        <f t="shared" si="26"/>
        <v>0</v>
      </c>
      <c r="U64" s="1089">
        <f t="shared" si="27"/>
        <v>0</v>
      </c>
    </row>
    <row r="65" spans="1:21">
      <c r="A65" s="1028">
        <v>59</v>
      </c>
      <c r="B65" s="1029" t="s">
        <v>159</v>
      </c>
      <c r="C65" s="1036">
        <f>'Table 8 2.1.12 MFP Funded'!M62</f>
        <v>0</v>
      </c>
      <c r="D65" s="1037">
        <f>'Table 3 Levels 1&amp;2'!AL66</f>
        <v>6328.4963620482158</v>
      </c>
      <c r="E65" s="1139">
        <f t="shared" si="28"/>
        <v>0</v>
      </c>
      <c r="F65" s="1139">
        <f t="shared" si="17"/>
        <v>0</v>
      </c>
      <c r="G65" s="1094">
        <f t="shared" si="29"/>
        <v>0</v>
      </c>
      <c r="H65" s="1149">
        <f t="shared" si="18"/>
        <v>0</v>
      </c>
      <c r="I65" s="1094">
        <f t="shared" si="19"/>
        <v>0</v>
      </c>
      <c r="J65" s="1094"/>
      <c r="K65" s="1094">
        <f t="shared" si="20"/>
        <v>0</v>
      </c>
      <c r="L65" s="1094">
        <f t="shared" si="21"/>
        <v>0</v>
      </c>
      <c r="M65" s="1086">
        <f>'[8]FY2012-13 Initial'!$D66</f>
        <v>1104</v>
      </c>
      <c r="N65" s="1088">
        <f t="shared" si="30"/>
        <v>0</v>
      </c>
      <c r="O65" s="1155">
        <f t="shared" si="22"/>
        <v>0</v>
      </c>
      <c r="P65" s="1088">
        <f t="shared" si="23"/>
        <v>0</v>
      </c>
      <c r="Q65" s="1088"/>
      <c r="R65" s="1088">
        <f t="shared" si="24"/>
        <v>0</v>
      </c>
      <c r="S65" s="1088">
        <f t="shared" si="25"/>
        <v>0</v>
      </c>
      <c r="T65" s="1089">
        <f t="shared" si="26"/>
        <v>0</v>
      </c>
      <c r="U65" s="1089">
        <f t="shared" si="27"/>
        <v>0</v>
      </c>
    </row>
    <row r="66" spans="1:21">
      <c r="A66" s="1032">
        <v>60</v>
      </c>
      <c r="B66" s="1033" t="s">
        <v>160</v>
      </c>
      <c r="C66" s="1038">
        <f>'Table 8 2.1.12 MFP Funded'!M63</f>
        <v>0</v>
      </c>
      <c r="D66" s="1039">
        <f>'Table 3 Levels 1&amp;2'!AL67</f>
        <v>4825.1723230627122</v>
      </c>
      <c r="E66" s="1140">
        <f t="shared" si="28"/>
        <v>0</v>
      </c>
      <c r="F66" s="1140">
        <f t="shared" si="17"/>
        <v>0</v>
      </c>
      <c r="G66" s="1095">
        <f t="shared" si="29"/>
        <v>0</v>
      </c>
      <c r="H66" s="1150">
        <f t="shared" si="18"/>
        <v>0</v>
      </c>
      <c r="I66" s="1095">
        <f t="shared" si="19"/>
        <v>0</v>
      </c>
      <c r="J66" s="1095"/>
      <c r="K66" s="1095">
        <f t="shared" si="20"/>
        <v>0</v>
      </c>
      <c r="L66" s="1095">
        <f t="shared" si="21"/>
        <v>0</v>
      </c>
      <c r="M66" s="1091">
        <f>'[8]FY2012-13 Initial'!$D67</f>
        <v>2713</v>
      </c>
      <c r="N66" s="1092">
        <f t="shared" si="30"/>
        <v>0</v>
      </c>
      <c r="O66" s="1156">
        <f t="shared" si="22"/>
        <v>0</v>
      </c>
      <c r="P66" s="1092">
        <f t="shared" si="23"/>
        <v>0</v>
      </c>
      <c r="Q66" s="1092"/>
      <c r="R66" s="1092">
        <f t="shared" si="24"/>
        <v>0</v>
      </c>
      <c r="S66" s="1092">
        <f t="shared" si="25"/>
        <v>0</v>
      </c>
      <c r="T66" s="1093">
        <f t="shared" si="26"/>
        <v>0</v>
      </c>
      <c r="U66" s="1093">
        <f t="shared" si="27"/>
        <v>0</v>
      </c>
    </row>
    <row r="67" spans="1:21">
      <c r="A67" s="1021">
        <v>61</v>
      </c>
      <c r="B67" s="1022" t="s">
        <v>161</v>
      </c>
      <c r="C67" s="1040">
        <f>'Table 8 2.1.12 MFP Funded'!M64</f>
        <v>0</v>
      </c>
      <c r="D67" s="1041">
        <f>'Table 3 Levels 1&amp;2'!AL68</f>
        <v>3063.3110364585282</v>
      </c>
      <c r="E67" s="1141">
        <f t="shared" si="28"/>
        <v>0</v>
      </c>
      <c r="F67" s="1141">
        <f t="shared" si="17"/>
        <v>0</v>
      </c>
      <c r="G67" s="1096">
        <f t="shared" si="29"/>
        <v>0</v>
      </c>
      <c r="H67" s="1151">
        <f t="shared" si="18"/>
        <v>0</v>
      </c>
      <c r="I67" s="1096">
        <f t="shared" si="19"/>
        <v>0</v>
      </c>
      <c r="J67" s="1096"/>
      <c r="K67" s="1096">
        <f t="shared" si="20"/>
        <v>0</v>
      </c>
      <c r="L67" s="1096">
        <f t="shared" si="21"/>
        <v>0</v>
      </c>
      <c r="M67" s="1086">
        <f>'[8]FY2012-13 Initial'!$D68</f>
        <v>6344</v>
      </c>
      <c r="N67" s="1026">
        <f t="shared" si="30"/>
        <v>0</v>
      </c>
      <c r="O67" s="1154">
        <f t="shared" si="22"/>
        <v>0</v>
      </c>
      <c r="P67" s="1026">
        <f t="shared" si="23"/>
        <v>0</v>
      </c>
      <c r="Q67" s="1026"/>
      <c r="R67" s="1026">
        <f t="shared" si="24"/>
        <v>0</v>
      </c>
      <c r="S67" s="1026">
        <f t="shared" si="25"/>
        <v>0</v>
      </c>
      <c r="T67" s="1027">
        <f t="shared" si="26"/>
        <v>0</v>
      </c>
      <c r="U67" s="1027">
        <f t="shared" si="27"/>
        <v>0</v>
      </c>
    </row>
    <row r="68" spans="1:21">
      <c r="A68" s="1028">
        <v>62</v>
      </c>
      <c r="B68" s="1029" t="s">
        <v>162</v>
      </c>
      <c r="C68" s="1036">
        <f>'Table 8 2.1.12 MFP Funded'!M65</f>
        <v>0</v>
      </c>
      <c r="D68" s="1037">
        <f>'Table 3 Levels 1&amp;2'!AL69</f>
        <v>5564.645485869667</v>
      </c>
      <c r="E68" s="1139">
        <f t="shared" si="28"/>
        <v>0</v>
      </c>
      <c r="F68" s="1139">
        <f t="shared" si="17"/>
        <v>0</v>
      </c>
      <c r="G68" s="1094">
        <f t="shared" si="29"/>
        <v>0</v>
      </c>
      <c r="H68" s="1149">
        <f t="shared" si="18"/>
        <v>0</v>
      </c>
      <c r="I68" s="1094">
        <f t="shared" si="19"/>
        <v>0</v>
      </c>
      <c r="J68" s="1094"/>
      <c r="K68" s="1094">
        <f t="shared" si="20"/>
        <v>0</v>
      </c>
      <c r="L68" s="1094">
        <f t="shared" si="21"/>
        <v>0</v>
      </c>
      <c r="M68" s="1086">
        <f>'[8]FY2012-13 Initial'!$D69</f>
        <v>1678</v>
      </c>
      <c r="N68" s="1088">
        <f t="shared" si="30"/>
        <v>0</v>
      </c>
      <c r="O68" s="1155">
        <f t="shared" si="22"/>
        <v>0</v>
      </c>
      <c r="P68" s="1088">
        <f t="shared" si="23"/>
        <v>0</v>
      </c>
      <c r="Q68" s="1088"/>
      <c r="R68" s="1088">
        <f t="shared" si="24"/>
        <v>0</v>
      </c>
      <c r="S68" s="1088">
        <f t="shared" si="25"/>
        <v>0</v>
      </c>
      <c r="T68" s="1089">
        <f t="shared" si="26"/>
        <v>0</v>
      </c>
      <c r="U68" s="1089">
        <f t="shared" si="27"/>
        <v>0</v>
      </c>
    </row>
    <row r="69" spans="1:21">
      <c r="A69" s="1028">
        <v>63</v>
      </c>
      <c r="B69" s="1029" t="s">
        <v>163</v>
      </c>
      <c r="C69" s="1036">
        <f>'Table 8 2.1.12 MFP Funded'!M66</f>
        <v>0</v>
      </c>
      <c r="D69" s="1037">
        <f>'Table 3 Levels 1&amp;2'!AL70</f>
        <v>4414.1775336636538</v>
      </c>
      <c r="E69" s="1139">
        <f t="shared" si="28"/>
        <v>0</v>
      </c>
      <c r="F69" s="1139">
        <f t="shared" si="17"/>
        <v>0</v>
      </c>
      <c r="G69" s="1094">
        <f t="shared" si="29"/>
        <v>0</v>
      </c>
      <c r="H69" s="1149">
        <f t="shared" si="18"/>
        <v>0</v>
      </c>
      <c r="I69" s="1094">
        <f t="shared" si="19"/>
        <v>0</v>
      </c>
      <c r="J69" s="1094"/>
      <c r="K69" s="1094">
        <f t="shared" si="20"/>
        <v>0</v>
      </c>
      <c r="L69" s="1094">
        <f t="shared" si="21"/>
        <v>0</v>
      </c>
      <c r="M69" s="1086">
        <f>'[8]FY2012-13 Initial'!$D70</f>
        <v>6011</v>
      </c>
      <c r="N69" s="1088">
        <f t="shared" si="30"/>
        <v>0</v>
      </c>
      <c r="O69" s="1155">
        <f t="shared" si="22"/>
        <v>0</v>
      </c>
      <c r="P69" s="1088">
        <f t="shared" si="23"/>
        <v>0</v>
      </c>
      <c r="Q69" s="1088"/>
      <c r="R69" s="1088">
        <f t="shared" si="24"/>
        <v>0</v>
      </c>
      <c r="S69" s="1088">
        <f t="shared" si="25"/>
        <v>0</v>
      </c>
      <c r="T69" s="1089">
        <f t="shared" si="26"/>
        <v>0</v>
      </c>
      <c r="U69" s="1089">
        <f t="shared" si="27"/>
        <v>0</v>
      </c>
    </row>
    <row r="70" spans="1:21">
      <c r="A70" s="1028">
        <v>64</v>
      </c>
      <c r="B70" s="1029" t="s">
        <v>164</v>
      </c>
      <c r="C70" s="1036">
        <f>'Table 8 2.1.12 MFP Funded'!M67</f>
        <v>0</v>
      </c>
      <c r="D70" s="1037">
        <f>'Table 3 Levels 1&amp;2'!AL71</f>
        <v>5871.0485811924027</v>
      </c>
      <c r="E70" s="1139">
        <f t="shared" si="28"/>
        <v>0</v>
      </c>
      <c r="F70" s="1139">
        <f t="shared" si="17"/>
        <v>0</v>
      </c>
      <c r="G70" s="1094">
        <f t="shared" si="29"/>
        <v>0</v>
      </c>
      <c r="H70" s="1149">
        <f t="shared" si="18"/>
        <v>0</v>
      </c>
      <c r="I70" s="1094">
        <f t="shared" si="19"/>
        <v>0</v>
      </c>
      <c r="J70" s="1094"/>
      <c r="K70" s="1094">
        <f t="shared" si="20"/>
        <v>0</v>
      </c>
      <c r="L70" s="1094">
        <f t="shared" si="21"/>
        <v>0</v>
      </c>
      <c r="M70" s="1086">
        <f>'[8]FY2012-13 Initial'!$D71</f>
        <v>2072</v>
      </c>
      <c r="N70" s="1088">
        <f t="shared" si="30"/>
        <v>0</v>
      </c>
      <c r="O70" s="1155">
        <f t="shared" si="22"/>
        <v>0</v>
      </c>
      <c r="P70" s="1088">
        <f t="shared" si="23"/>
        <v>0</v>
      </c>
      <c r="Q70" s="1088"/>
      <c r="R70" s="1088">
        <f t="shared" si="24"/>
        <v>0</v>
      </c>
      <c r="S70" s="1088">
        <f t="shared" si="25"/>
        <v>0</v>
      </c>
      <c r="T70" s="1089">
        <f t="shared" si="26"/>
        <v>0</v>
      </c>
      <c r="U70" s="1089">
        <f t="shared" si="27"/>
        <v>0</v>
      </c>
    </row>
    <row r="71" spans="1:21">
      <c r="A71" s="1032">
        <v>65</v>
      </c>
      <c r="B71" s="1033" t="s">
        <v>165</v>
      </c>
      <c r="C71" s="1038">
        <f>'Table 8 2.1.12 MFP Funded'!M68</f>
        <v>0</v>
      </c>
      <c r="D71" s="1039">
        <f>'Table 3 Levels 1&amp;2'!AL72</f>
        <v>4602.2046951319899</v>
      </c>
      <c r="E71" s="1140">
        <f t="shared" ref="E71:E75" si="31">D71*C71</f>
        <v>0</v>
      </c>
      <c r="F71" s="1140">
        <f t="shared" si="17"/>
        <v>0</v>
      </c>
      <c r="G71" s="1095">
        <f t="shared" ref="G71:G75" si="32">E71+F71</f>
        <v>0</v>
      </c>
      <c r="H71" s="1150">
        <f t="shared" si="18"/>
        <v>0</v>
      </c>
      <c r="I71" s="1095">
        <f t="shared" si="19"/>
        <v>0</v>
      </c>
      <c r="J71" s="1095"/>
      <c r="K71" s="1095">
        <f t="shared" si="20"/>
        <v>0</v>
      </c>
      <c r="L71" s="1095">
        <f t="shared" si="21"/>
        <v>0</v>
      </c>
      <c r="M71" s="1091">
        <f>'[8]FY2012-13 Initial'!$D72</f>
        <v>3985</v>
      </c>
      <c r="N71" s="1092">
        <f t="shared" ref="N71:N75" si="33">M71*C71</f>
        <v>0</v>
      </c>
      <c r="O71" s="1156">
        <f t="shared" si="22"/>
        <v>0</v>
      </c>
      <c r="P71" s="1092">
        <f t="shared" si="23"/>
        <v>0</v>
      </c>
      <c r="Q71" s="1092"/>
      <c r="R71" s="1092">
        <f t="shared" si="24"/>
        <v>0</v>
      </c>
      <c r="S71" s="1092">
        <f t="shared" si="25"/>
        <v>0</v>
      </c>
      <c r="T71" s="1093">
        <f t="shared" si="26"/>
        <v>0</v>
      </c>
      <c r="U71" s="1093">
        <f t="shared" ref="U71:U75" si="34">L71+S71</f>
        <v>0</v>
      </c>
    </row>
    <row r="72" spans="1:21">
      <c r="A72" s="1021">
        <v>66</v>
      </c>
      <c r="B72" s="1022" t="s">
        <v>166</v>
      </c>
      <c r="C72" s="1040">
        <f>'Table 8 2.1.12 MFP Funded'!M69</f>
        <v>0</v>
      </c>
      <c r="D72" s="1041">
        <f>'Table 3 Levels 1&amp;2'!AL73</f>
        <v>6243.8912249150071</v>
      </c>
      <c r="E72" s="1141">
        <f t="shared" si="31"/>
        <v>0</v>
      </c>
      <c r="F72" s="1141">
        <f t="shared" ref="F72:F75" si="35">C72*$F$4</f>
        <v>0</v>
      </c>
      <c r="G72" s="1096">
        <f t="shared" si="32"/>
        <v>0</v>
      </c>
      <c r="H72" s="1151">
        <f t="shared" ref="H72:H75" si="36">-G72*$H$4</f>
        <v>0</v>
      </c>
      <c r="I72" s="1096">
        <f t="shared" ref="I72:I75" si="37">SUM(G72:H72)</f>
        <v>0</v>
      </c>
      <c r="J72" s="1096"/>
      <c r="K72" s="1096">
        <f t="shared" ref="K72:K75" si="38">SUM(I72:J72)</f>
        <v>0</v>
      </c>
      <c r="L72" s="1096">
        <f t="shared" ref="L72:L75" si="39">ROUND(K72/12,0)</f>
        <v>0</v>
      </c>
      <c r="M72" s="1086">
        <f>'[8]FY2012-13 Initial'!$D73</f>
        <v>3443</v>
      </c>
      <c r="N72" s="1026">
        <f t="shared" si="33"/>
        <v>0</v>
      </c>
      <c r="O72" s="1154">
        <f t="shared" ref="O72:O75" si="40">-N72*$O$4</f>
        <v>0</v>
      </c>
      <c r="P72" s="1026">
        <f t="shared" ref="P72:P75" si="41">SUM(N72:O72)</f>
        <v>0</v>
      </c>
      <c r="Q72" s="1026"/>
      <c r="R72" s="1026">
        <f t="shared" ref="R72:R75" si="42">SUM(P72:Q72)</f>
        <v>0</v>
      </c>
      <c r="S72" s="1026">
        <f t="shared" ref="S72:S75" si="43">ROUND(R72/12,0)</f>
        <v>0</v>
      </c>
      <c r="T72" s="1027">
        <f t="shared" ref="T72:T75" si="44">K72+R72</f>
        <v>0</v>
      </c>
      <c r="U72" s="1027">
        <f t="shared" si="34"/>
        <v>0</v>
      </c>
    </row>
    <row r="73" spans="1:21">
      <c r="A73" s="1028">
        <v>67</v>
      </c>
      <c r="B73" s="1029" t="s">
        <v>33</v>
      </c>
      <c r="C73" s="1036">
        <f>'Table 8 2.1.12 MFP Funded'!M70</f>
        <v>0</v>
      </c>
      <c r="D73" s="1037">
        <f>'Table 3 Levels 1&amp;2'!AL74</f>
        <v>5049.6489898847567</v>
      </c>
      <c r="E73" s="1139">
        <f t="shared" si="31"/>
        <v>0</v>
      </c>
      <c r="F73" s="1139">
        <f t="shared" si="35"/>
        <v>0</v>
      </c>
      <c r="G73" s="1094">
        <f t="shared" si="32"/>
        <v>0</v>
      </c>
      <c r="H73" s="1149">
        <f t="shared" si="36"/>
        <v>0</v>
      </c>
      <c r="I73" s="1094">
        <f t="shared" si="37"/>
        <v>0</v>
      </c>
      <c r="J73" s="1094"/>
      <c r="K73" s="1094">
        <f t="shared" si="38"/>
        <v>0</v>
      </c>
      <c r="L73" s="1094">
        <f t="shared" si="39"/>
        <v>0</v>
      </c>
      <c r="M73" s="1086">
        <f>'[8]FY2012-13 Initial'!$D74</f>
        <v>3135</v>
      </c>
      <c r="N73" s="1088">
        <f t="shared" si="33"/>
        <v>0</v>
      </c>
      <c r="O73" s="1155">
        <f t="shared" si="40"/>
        <v>0</v>
      </c>
      <c r="P73" s="1088">
        <f t="shared" si="41"/>
        <v>0</v>
      </c>
      <c r="Q73" s="1088"/>
      <c r="R73" s="1088">
        <f t="shared" si="42"/>
        <v>0</v>
      </c>
      <c r="S73" s="1088">
        <f t="shared" si="43"/>
        <v>0</v>
      </c>
      <c r="T73" s="1089">
        <f t="shared" si="44"/>
        <v>0</v>
      </c>
      <c r="U73" s="1089">
        <f t="shared" si="34"/>
        <v>0</v>
      </c>
    </row>
    <row r="74" spans="1:21">
      <c r="A74" s="1028">
        <v>68</v>
      </c>
      <c r="B74" s="1029" t="s">
        <v>31</v>
      </c>
      <c r="C74" s="1036">
        <f>'Table 8 2.1.12 MFP Funded'!M71</f>
        <v>0</v>
      </c>
      <c r="D74" s="1037">
        <f>'Table 3 Levels 1&amp;2'!AL75</f>
        <v>5861.7500805575619</v>
      </c>
      <c r="E74" s="1139">
        <f t="shared" si="31"/>
        <v>0</v>
      </c>
      <c r="F74" s="1139">
        <f t="shared" si="35"/>
        <v>0</v>
      </c>
      <c r="G74" s="1094">
        <f t="shared" si="32"/>
        <v>0</v>
      </c>
      <c r="H74" s="1149">
        <f t="shared" si="36"/>
        <v>0</v>
      </c>
      <c r="I74" s="1094">
        <f t="shared" si="37"/>
        <v>0</v>
      </c>
      <c r="J74" s="1094"/>
      <c r="K74" s="1094">
        <f t="shared" si="38"/>
        <v>0</v>
      </c>
      <c r="L74" s="1094">
        <f t="shared" si="39"/>
        <v>0</v>
      </c>
      <c r="M74" s="1086">
        <f>'[8]FY2012-13 Initial'!$D75</f>
        <v>2587</v>
      </c>
      <c r="N74" s="1088">
        <f t="shared" si="33"/>
        <v>0</v>
      </c>
      <c r="O74" s="1155">
        <f t="shared" si="40"/>
        <v>0</v>
      </c>
      <c r="P74" s="1088">
        <f t="shared" si="41"/>
        <v>0</v>
      </c>
      <c r="Q74" s="1088"/>
      <c r="R74" s="1088">
        <f t="shared" si="42"/>
        <v>0</v>
      </c>
      <c r="S74" s="1088">
        <f t="shared" si="43"/>
        <v>0</v>
      </c>
      <c r="T74" s="1089">
        <f t="shared" si="44"/>
        <v>0</v>
      </c>
      <c r="U74" s="1089">
        <f t="shared" si="34"/>
        <v>0</v>
      </c>
    </row>
    <row r="75" spans="1:21">
      <c r="A75" s="1042">
        <v>69</v>
      </c>
      <c r="B75" s="1043" t="s">
        <v>235</v>
      </c>
      <c r="C75" s="1044">
        <f>'Table 8 2.1.12 MFP Funded'!M72</f>
        <v>0</v>
      </c>
      <c r="D75" s="1045">
        <f>'Table 3 Levels 1&amp;2'!AL76</f>
        <v>5508.3397285189958</v>
      </c>
      <c r="E75" s="1142">
        <f t="shared" si="31"/>
        <v>0</v>
      </c>
      <c r="F75" s="1142">
        <f t="shared" si="35"/>
        <v>0</v>
      </c>
      <c r="G75" s="1097">
        <f t="shared" si="32"/>
        <v>0</v>
      </c>
      <c r="H75" s="1152">
        <f t="shared" si="36"/>
        <v>0</v>
      </c>
      <c r="I75" s="1097">
        <f t="shared" si="37"/>
        <v>0</v>
      </c>
      <c r="J75" s="1097"/>
      <c r="K75" s="1097">
        <f t="shared" si="38"/>
        <v>0</v>
      </c>
      <c r="L75" s="1097">
        <f t="shared" si="39"/>
        <v>0</v>
      </c>
      <c r="M75" s="1086">
        <f>'[8]FY2012-13 Initial'!$D76</f>
        <v>2371</v>
      </c>
      <c r="N75" s="1098">
        <f t="shared" si="33"/>
        <v>0</v>
      </c>
      <c r="O75" s="1157">
        <f t="shared" si="40"/>
        <v>0</v>
      </c>
      <c r="P75" s="1098">
        <f t="shared" si="41"/>
        <v>0</v>
      </c>
      <c r="Q75" s="1098"/>
      <c r="R75" s="1098">
        <f t="shared" si="42"/>
        <v>0</v>
      </c>
      <c r="S75" s="1098">
        <f t="shared" si="43"/>
        <v>0</v>
      </c>
      <c r="T75" s="1099">
        <f t="shared" si="44"/>
        <v>0</v>
      </c>
      <c r="U75" s="1099">
        <f t="shared" si="34"/>
        <v>0</v>
      </c>
    </row>
    <row r="76" spans="1:21" s="1053" customFormat="1" ht="13.5" thickBot="1">
      <c r="A76" s="1046"/>
      <c r="B76" s="1047" t="s">
        <v>167</v>
      </c>
      <c r="C76" s="1048">
        <f>SUM(C7:C75)</f>
        <v>624</v>
      </c>
      <c r="D76" s="1049">
        <f>'Table 3 Levels 1&amp;2'!AL77</f>
        <v>4325.8670725247357</v>
      </c>
      <c r="E76" s="1143">
        <f>SUM(E7:E75)</f>
        <v>2133221.4158058935</v>
      </c>
      <c r="F76" s="1143">
        <f>SUM(F7:F75)</f>
        <v>446041.53831932758</v>
      </c>
      <c r="G76" s="1050">
        <f>SUM(G7:G75)</f>
        <v>2579262.9541252214</v>
      </c>
      <c r="H76" s="1153">
        <f t="shared" ref="H76:J76" si="45">SUM(H7:H75)</f>
        <v>-6448.1573853130531</v>
      </c>
      <c r="I76" s="1050">
        <f t="shared" si="45"/>
        <v>2572814.7967399084</v>
      </c>
      <c r="J76" s="1050">
        <f t="shared" si="45"/>
        <v>0</v>
      </c>
      <c r="K76" s="1050">
        <f>SUM(K7:K75)</f>
        <v>2572814.7967399084</v>
      </c>
      <c r="L76" s="1050">
        <f>SUM(L7:L75)</f>
        <v>214402</v>
      </c>
      <c r="M76" s="1100"/>
      <c r="N76" s="1051">
        <f>SUM(N7:N75)</f>
        <v>2694985</v>
      </c>
      <c r="O76" s="1158">
        <f t="shared" ref="O76" si="46">SUM(O7:O75)</f>
        <v>-6737.4624999999996</v>
      </c>
      <c r="P76" s="1051">
        <f t="shared" ref="P76:U76" si="47">SUM(P7:P75)</f>
        <v>2688247.5375000001</v>
      </c>
      <c r="Q76" s="1051">
        <f t="shared" si="47"/>
        <v>0</v>
      </c>
      <c r="R76" s="1051">
        <f t="shared" si="47"/>
        <v>2688247.5375000001</v>
      </c>
      <c r="S76" s="1051">
        <f t="shared" si="47"/>
        <v>224021</v>
      </c>
      <c r="T76" s="1052">
        <f t="shared" si="47"/>
        <v>5261062.3342399085</v>
      </c>
      <c r="U76" s="1052">
        <f t="shared" si="47"/>
        <v>438423</v>
      </c>
    </row>
    <row r="77" spans="1:21" s="1053" customFormat="1" ht="13.5" thickTop="1">
      <c r="A77" s="1054"/>
      <c r="B77" s="1054"/>
      <c r="C77" s="1055"/>
      <c r="D77" s="1055"/>
      <c r="M77" s="1057"/>
      <c r="N77" s="1057"/>
      <c r="O77" s="1057"/>
      <c r="P77" s="1057"/>
      <c r="Q77" s="1057"/>
      <c r="R77" s="1057"/>
      <c r="S77" s="1057"/>
    </row>
    <row r="78" spans="1:21" ht="12.75" customHeight="1">
      <c r="A78" s="1059"/>
      <c r="C78" s="1060"/>
    </row>
    <row r="79" spans="1:21" ht="12.75" hidden="1" customHeight="1"/>
    <row r="80" spans="1:21" hidden="1"/>
    <row r="81" spans="3:12" hidden="1"/>
    <row r="82" spans="3:12" hidden="1"/>
    <row r="83" spans="3:12" hidden="1">
      <c r="E83" s="1061" t="s">
        <v>581</v>
      </c>
      <c r="F83" s="1061"/>
      <c r="G83" s="1061"/>
      <c r="H83" s="1061"/>
      <c r="I83" s="1061"/>
      <c r="J83" s="1061"/>
      <c r="K83" s="1061"/>
      <c r="L83" s="1061"/>
    </row>
    <row r="84" spans="3:12" ht="10.5" hidden="1" customHeight="1"/>
    <row r="85" spans="3:12" hidden="1"/>
    <row r="86" spans="3:12" hidden="1">
      <c r="C86" s="1063">
        <v>85661</v>
      </c>
      <c r="D86" s="1064" t="s">
        <v>582</v>
      </c>
    </row>
    <row r="87" spans="3:12" hidden="1">
      <c r="C87" s="1063">
        <v>650290</v>
      </c>
      <c r="D87" s="1064" t="s">
        <v>583</v>
      </c>
    </row>
    <row r="88" spans="3:12" hidden="1">
      <c r="C88" s="1065">
        <f>C86/C87</f>
        <v>0.13172738316750987</v>
      </c>
      <c r="D88" s="1064" t="s">
        <v>584</v>
      </c>
    </row>
    <row r="89" spans="3:12" hidden="1">
      <c r="C89" s="1063"/>
      <c r="D89" s="1064"/>
    </row>
    <row r="90" spans="3:12" hidden="1">
      <c r="C90" s="1063">
        <v>128510</v>
      </c>
      <c r="D90" s="1064" t="s">
        <v>585</v>
      </c>
    </row>
    <row r="91" spans="3:12" hidden="1">
      <c r="C91" s="1063">
        <v>911320</v>
      </c>
      <c r="D91" s="1064" t="s">
        <v>586</v>
      </c>
    </row>
    <row r="92" spans="3:12" hidden="1">
      <c r="C92" s="1065">
        <f>C90/C91</f>
        <v>0.14101523065443533</v>
      </c>
      <c r="D92" s="1064" t="s">
        <v>587</v>
      </c>
    </row>
    <row r="93" spans="3:12" hidden="1">
      <c r="C93" s="1063"/>
      <c r="D93" s="1064"/>
    </row>
    <row r="94" spans="3:12" hidden="1">
      <c r="C94" s="1066">
        <v>2663489616</v>
      </c>
      <c r="D94" s="1067" t="s">
        <v>588</v>
      </c>
    </row>
    <row r="95" spans="3:12" hidden="1">
      <c r="C95" s="1068">
        <f>C92</f>
        <v>0.14101523065443533</v>
      </c>
      <c r="D95" s="1067"/>
    </row>
    <row r="96" spans="3:12" hidden="1">
      <c r="C96" s="1069">
        <f>C94*C95</f>
        <v>375592602.54593337</v>
      </c>
      <c r="D96" s="1064" t="s">
        <v>589</v>
      </c>
    </row>
    <row r="97" spans="3:4" hidden="1">
      <c r="C97" s="1070">
        <f>50%/C92</f>
        <v>3.5457162866702978</v>
      </c>
      <c r="D97" s="1067" t="s">
        <v>590</v>
      </c>
    </row>
    <row r="98" spans="3:4" hidden="1">
      <c r="C98" s="1069">
        <f>C96*C97</f>
        <v>1331744808</v>
      </c>
      <c r="D98" s="1071" t="s">
        <v>591</v>
      </c>
    </row>
    <row r="99" spans="3:4" hidden="1">
      <c r="C99" s="1072">
        <f>C87</f>
        <v>650290</v>
      </c>
      <c r="D99" s="1067" t="s">
        <v>592</v>
      </c>
    </row>
    <row r="100" spans="3:4" hidden="1">
      <c r="C100" s="1069">
        <f>C98/C99</f>
        <v>2047.9244767719017</v>
      </c>
      <c r="D100" s="1067" t="s">
        <v>593</v>
      </c>
    </row>
    <row r="101" spans="3:4" hidden="1">
      <c r="C101" s="1073">
        <f>(C96/C99)*-1</f>
        <v>-577.57708490970697</v>
      </c>
      <c r="D101" s="1067" t="s">
        <v>594</v>
      </c>
    </row>
    <row r="102" spans="3:4" hidden="1">
      <c r="C102" s="1074">
        <f>SUM(C100:C101)</f>
        <v>1470.3473918621949</v>
      </c>
      <c r="D102" s="1067" t="s">
        <v>595</v>
      </c>
    </row>
    <row r="103" spans="3:4" hidden="1">
      <c r="C103" s="1074"/>
      <c r="D103" s="1067"/>
    </row>
    <row r="104" spans="3:4" hidden="1">
      <c r="C104" s="1074"/>
      <c r="D104" s="1067"/>
    </row>
    <row r="105" spans="3:4" hidden="1">
      <c r="D105" s="1067"/>
    </row>
    <row r="106" spans="3:4" hidden="1"/>
  </sheetData>
  <mergeCells count="18">
    <mergeCell ref="U2:U4"/>
    <mergeCell ref="C3:C4"/>
    <mergeCell ref="D3:D4"/>
    <mergeCell ref="E3:E4"/>
    <mergeCell ref="L3:L4"/>
    <mergeCell ref="M3:M4"/>
    <mergeCell ref="J3:J4"/>
    <mergeCell ref="K3:K4"/>
    <mergeCell ref="Q3:Q4"/>
    <mergeCell ref="R3:R4"/>
    <mergeCell ref="A2:B4"/>
    <mergeCell ref="C2:L2"/>
    <mergeCell ref="M2:S2"/>
    <mergeCell ref="T2:T4"/>
    <mergeCell ref="G3:G4"/>
    <mergeCell ref="N3:N4"/>
    <mergeCell ref="S3:S4"/>
    <mergeCell ref="I3:I4"/>
  </mergeCells>
  <printOptions horizontalCentered="1"/>
  <pageMargins left="0.27" right="0.25" top="0.87" bottom="0.2" header="0.25" footer="0.2"/>
  <pageSetup paperSize="5" scale="61" firstPageNumber="76" fitToWidth="3" orientation="portrait" useFirstPageNumber="1" r:id="rId1"/>
  <headerFooter alignWithMargins="0">
    <oddHeader xml:space="preserve">&amp;L&amp;"Arial,Bold"&amp;16Table 5D-3:  FY2012-13 MFP Budget Letter &amp;"Arial,Regular"&amp;10
&amp;"Arial,Bold"&amp;14Legacy Type 2 Charters &amp;R&amp;"Arial,Bold"&amp;12&amp;KFF0000
</oddHeader>
    <oddFooter>&amp;R&amp;P</oddFooter>
  </headerFooter>
  <colBreaks count="1" manualBreakCount="1">
    <brk id="12" min="1" max="78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T81"/>
  <sheetViews>
    <sheetView view="pageBreakPreview" zoomScale="90" zoomScaleNormal="70" zoomScaleSheetLayoutView="90" workbookViewId="0">
      <pane xSplit="2" ySplit="4" topLeftCell="C5" activePane="bottomRight" state="frozen"/>
      <selection activeCell="A8" sqref="A8:A9"/>
      <selection pane="topRight" activeCell="A8" sqref="A8:A9"/>
      <selection pane="bottomLeft" activeCell="A8" sqref="A8:A9"/>
      <selection pane="bottomRight" activeCell="AA12" sqref="AA12"/>
    </sheetView>
  </sheetViews>
  <sheetFormatPr defaultRowHeight="12.75"/>
  <cols>
    <col min="1" max="1" width="3.42578125" bestFit="1" customWidth="1"/>
    <col min="2" max="2" width="17.85546875" customWidth="1"/>
    <col min="3" max="3" width="17.7109375" customWidth="1"/>
    <col min="4" max="7" width="10.5703125" bestFit="1" customWidth="1"/>
    <col min="8" max="8" width="13.28515625" bestFit="1" customWidth="1"/>
    <col min="9" max="9" width="14.5703125" bestFit="1" customWidth="1"/>
    <col min="10" max="13" width="12.85546875" bestFit="1" customWidth="1"/>
    <col min="14" max="14" width="13.28515625" customWidth="1"/>
    <col min="15" max="15" width="12.85546875" bestFit="1" customWidth="1"/>
    <col min="16" max="16" width="14.28515625" customWidth="1"/>
    <col min="17" max="17" width="13.140625" customWidth="1"/>
    <col min="18" max="18" width="12.5703125" bestFit="1" customWidth="1"/>
    <col min="19" max="19" width="12.42578125" bestFit="1" customWidth="1"/>
    <col min="20" max="20" width="12.85546875" bestFit="1" customWidth="1"/>
    <col min="21" max="21" width="14.42578125" bestFit="1" customWidth="1"/>
    <col min="22" max="22" width="15" bestFit="1" customWidth="1"/>
    <col min="23" max="23" width="14" bestFit="1" customWidth="1"/>
    <col min="24" max="25" width="14.42578125" bestFit="1" customWidth="1"/>
    <col min="26" max="26" width="14" bestFit="1" customWidth="1"/>
    <col min="27" max="27" width="15.7109375" bestFit="1" customWidth="1"/>
    <col min="28" max="28" width="14" bestFit="1" customWidth="1"/>
    <col min="29" max="29" width="13.140625" customWidth="1"/>
    <col min="30" max="30" width="15.5703125" customWidth="1"/>
    <col min="31" max="31" width="18.5703125" bestFit="1" customWidth="1"/>
    <col min="37" max="37" width="9.140625" style="49"/>
    <col min="46" max="46" width="9.140625" style="47"/>
  </cols>
  <sheetData>
    <row r="1" spans="1:46" ht="12.75" customHeight="1">
      <c r="A1" s="1657" t="s">
        <v>639</v>
      </c>
      <c r="B1" s="1657" t="s">
        <v>288</v>
      </c>
      <c r="C1" s="1677" t="s">
        <v>1444</v>
      </c>
      <c r="D1" s="1690" t="s">
        <v>1358</v>
      </c>
      <c r="E1" s="1690" t="s">
        <v>1359</v>
      </c>
      <c r="F1" s="1690" t="s">
        <v>1360</v>
      </c>
      <c r="G1" s="1690" t="s">
        <v>1361</v>
      </c>
      <c r="H1" s="1667" t="s">
        <v>1457</v>
      </c>
      <c r="I1" s="1667" t="s">
        <v>1362</v>
      </c>
      <c r="J1" s="1681" t="s">
        <v>1458</v>
      </c>
      <c r="K1" s="1681" t="s">
        <v>1459</v>
      </c>
      <c r="L1" s="1681" t="s">
        <v>1460</v>
      </c>
      <c r="M1" s="1681" t="s">
        <v>1461</v>
      </c>
      <c r="N1" s="1681" t="s">
        <v>1462</v>
      </c>
      <c r="O1" s="1681" t="s">
        <v>1463</v>
      </c>
      <c r="P1" s="1681" t="s">
        <v>1464</v>
      </c>
      <c r="Q1" s="1681" t="s">
        <v>1465</v>
      </c>
      <c r="R1" s="1681" t="s">
        <v>1363</v>
      </c>
      <c r="S1" s="1681" t="s">
        <v>1364</v>
      </c>
      <c r="T1" s="1690" t="s">
        <v>1466</v>
      </c>
      <c r="U1" s="1690" t="s">
        <v>1467</v>
      </c>
      <c r="V1" s="1690" t="s">
        <v>1468</v>
      </c>
      <c r="W1" s="1690" t="s">
        <v>1469</v>
      </c>
      <c r="X1" s="1690" t="s">
        <v>1470</v>
      </c>
      <c r="Y1" s="1690" t="s">
        <v>1471</v>
      </c>
      <c r="Z1" s="1690" t="s">
        <v>1472</v>
      </c>
      <c r="AA1" s="1690" t="s">
        <v>1473</v>
      </c>
      <c r="AB1" s="1684" t="s">
        <v>1365</v>
      </c>
      <c r="AC1" s="1684" t="s">
        <v>1366</v>
      </c>
      <c r="AD1" s="1687" t="s">
        <v>1367</v>
      </c>
      <c r="AE1" s="1681" t="s">
        <v>1368</v>
      </c>
      <c r="AK1"/>
      <c r="AT1"/>
    </row>
    <row r="2" spans="1:46" ht="21" customHeight="1">
      <c r="A2" s="1658"/>
      <c r="B2" s="1658"/>
      <c r="C2" s="1677"/>
      <c r="D2" s="1691"/>
      <c r="E2" s="1691"/>
      <c r="F2" s="1691"/>
      <c r="G2" s="1691"/>
      <c r="H2" s="1668"/>
      <c r="I2" s="1668"/>
      <c r="J2" s="1682"/>
      <c r="K2" s="1682"/>
      <c r="L2" s="1682"/>
      <c r="M2" s="1682"/>
      <c r="N2" s="1682"/>
      <c r="O2" s="1682"/>
      <c r="P2" s="1682"/>
      <c r="Q2" s="1682"/>
      <c r="R2" s="1682"/>
      <c r="S2" s="1682"/>
      <c r="T2" s="1691"/>
      <c r="U2" s="1691"/>
      <c r="V2" s="1691"/>
      <c r="W2" s="1691"/>
      <c r="X2" s="1691"/>
      <c r="Y2" s="1691"/>
      <c r="Z2" s="1691"/>
      <c r="AA2" s="1691"/>
      <c r="AB2" s="1685"/>
      <c r="AC2" s="1685"/>
      <c r="AD2" s="1688"/>
      <c r="AE2" s="1682"/>
      <c r="AK2"/>
      <c r="AT2"/>
    </row>
    <row r="3" spans="1:46" ht="24" customHeight="1">
      <c r="A3" s="1658"/>
      <c r="B3" s="1658"/>
      <c r="C3" s="1677"/>
      <c r="D3" s="1691"/>
      <c r="E3" s="1691"/>
      <c r="F3" s="1691"/>
      <c r="G3" s="1691"/>
      <c r="H3" s="1668"/>
      <c r="I3" s="1668"/>
      <c r="J3" s="1682"/>
      <c r="K3" s="1682"/>
      <c r="L3" s="1682"/>
      <c r="M3" s="1682"/>
      <c r="N3" s="1682"/>
      <c r="O3" s="1682"/>
      <c r="P3" s="1682"/>
      <c r="Q3" s="1682"/>
      <c r="R3" s="1682"/>
      <c r="S3" s="1682"/>
      <c r="T3" s="1691"/>
      <c r="U3" s="1691"/>
      <c r="V3" s="1691"/>
      <c r="W3" s="1691"/>
      <c r="X3" s="1691"/>
      <c r="Y3" s="1691"/>
      <c r="Z3" s="1691"/>
      <c r="AA3" s="1691"/>
      <c r="AB3" s="1685"/>
      <c r="AC3" s="1685"/>
      <c r="AD3" s="1688"/>
      <c r="AE3" s="1682"/>
      <c r="AK3"/>
      <c r="AT3"/>
    </row>
    <row r="4" spans="1:46" ht="117.75" customHeight="1">
      <c r="A4" s="1659"/>
      <c r="B4" s="1659"/>
      <c r="C4" s="1677"/>
      <c r="D4" s="1692"/>
      <c r="E4" s="1692"/>
      <c r="F4" s="1692"/>
      <c r="G4" s="1692"/>
      <c r="H4" s="1669"/>
      <c r="I4" s="1669"/>
      <c r="J4" s="1683"/>
      <c r="K4" s="1683"/>
      <c r="L4" s="1683"/>
      <c r="M4" s="1683"/>
      <c r="N4" s="1683"/>
      <c r="O4" s="1683"/>
      <c r="P4" s="1683"/>
      <c r="Q4" s="1683"/>
      <c r="R4" s="1683"/>
      <c r="S4" s="1683"/>
      <c r="T4" s="1692"/>
      <c r="U4" s="1692"/>
      <c r="V4" s="1692"/>
      <c r="W4" s="1692"/>
      <c r="X4" s="1692"/>
      <c r="Y4" s="1692"/>
      <c r="Z4" s="1692"/>
      <c r="AA4" s="1692"/>
      <c r="AB4" s="1686"/>
      <c r="AC4" s="1686"/>
      <c r="AD4" s="1689"/>
      <c r="AE4" s="1683"/>
      <c r="AK4"/>
      <c r="AT4"/>
    </row>
    <row r="5" spans="1:46" s="763" customFormat="1">
      <c r="A5" s="760"/>
      <c r="B5" s="761"/>
      <c r="C5" s="762">
        <v>1</v>
      </c>
      <c r="D5" s="762">
        <f>1+C5</f>
        <v>2</v>
      </c>
      <c r="E5" s="762">
        <f t="shared" ref="E5:L5" si="0">1+D5</f>
        <v>3</v>
      </c>
      <c r="F5" s="762">
        <f t="shared" si="0"/>
        <v>4</v>
      </c>
      <c r="G5" s="762">
        <f t="shared" si="0"/>
        <v>5</v>
      </c>
      <c r="H5" s="762">
        <f t="shared" si="0"/>
        <v>6</v>
      </c>
      <c r="I5" s="762">
        <f t="shared" si="0"/>
        <v>7</v>
      </c>
      <c r="J5" s="762">
        <f t="shared" si="0"/>
        <v>8</v>
      </c>
      <c r="K5" s="762">
        <f t="shared" si="0"/>
        <v>9</v>
      </c>
      <c r="L5" s="762">
        <f t="shared" si="0"/>
        <v>10</v>
      </c>
      <c r="M5" s="762">
        <f t="shared" ref="M5" si="1">L5+1</f>
        <v>11</v>
      </c>
      <c r="N5" s="762">
        <f t="shared" ref="N5" si="2">M5+1</f>
        <v>12</v>
      </c>
      <c r="O5" s="762">
        <f t="shared" ref="O5" si="3">N5+1</f>
        <v>13</v>
      </c>
      <c r="P5" s="762">
        <f t="shared" ref="P5" si="4">O5+1</f>
        <v>14</v>
      </c>
      <c r="Q5" s="762">
        <f t="shared" ref="Q5" si="5">P5+1</f>
        <v>15</v>
      </c>
      <c r="R5" s="762">
        <f t="shared" ref="R5" si="6">Q5+1</f>
        <v>16</v>
      </c>
      <c r="S5" s="762">
        <f t="shared" ref="S5" si="7">R5+1</f>
        <v>17</v>
      </c>
      <c r="T5" s="762">
        <f t="shared" ref="T5" si="8">S5+1</f>
        <v>18</v>
      </c>
      <c r="U5" s="762">
        <f t="shared" ref="U5" si="9">T5+1</f>
        <v>19</v>
      </c>
      <c r="V5" s="762">
        <f t="shared" ref="V5" si="10">U5+1</f>
        <v>20</v>
      </c>
      <c r="W5" s="762">
        <f t="shared" ref="W5" si="11">V5+1</f>
        <v>21</v>
      </c>
      <c r="X5" s="762">
        <f t="shared" ref="X5" si="12">W5+1</f>
        <v>22</v>
      </c>
      <c r="Y5" s="762">
        <f t="shared" ref="Y5" si="13">X5+1</f>
        <v>23</v>
      </c>
      <c r="Z5" s="762">
        <f t="shared" ref="Z5" si="14">Y5+1</f>
        <v>24</v>
      </c>
      <c r="AA5" s="762">
        <f t="shared" ref="AA5" si="15">Z5+1</f>
        <v>25</v>
      </c>
      <c r="AB5" s="762">
        <f t="shared" ref="AB5" si="16">AA5+1</f>
        <v>26</v>
      </c>
      <c r="AC5" s="762">
        <f t="shared" ref="AC5" si="17">AB5+1</f>
        <v>27</v>
      </c>
      <c r="AD5" s="762">
        <f t="shared" ref="AD5" si="18">AC5+1</f>
        <v>28</v>
      </c>
      <c r="AE5" s="762">
        <f t="shared" ref="AE5" si="19">AD5+1</f>
        <v>29</v>
      </c>
    </row>
    <row r="6" spans="1:46">
      <c r="A6" s="101">
        <v>1</v>
      </c>
      <c r="B6" s="1187" t="s">
        <v>102</v>
      </c>
      <c r="C6" s="736">
        <f>'Table 2_State Distrib and Adjs'!AF7</f>
        <v>50320513</v>
      </c>
      <c r="D6" s="368">
        <f>-'Table 5A2 LSMSA'!K7</f>
        <v>-4640.3133047082829</v>
      </c>
      <c r="E6" s="368">
        <f>-'Table 5A3 NOCCA'!K7</f>
        <v>0</v>
      </c>
      <c r="F6" s="368">
        <f>-'Table 5A4_LSDVI'!K7</f>
        <v>-6135</v>
      </c>
      <c r="G6" s="368">
        <f>-'Table 5A5_SSD'!K7</f>
        <v>-4090</v>
      </c>
      <c r="H6" s="1188"/>
      <c r="I6" s="1188"/>
      <c r="J6" s="1188">
        <f>-'Table 5C1A-Madison Prep'!O7-'Table 5C1A-Madison Prep'!R7</f>
        <v>0</v>
      </c>
      <c r="K6" s="368">
        <f>-'Table 5C1B-DArbonne'!O7-'Table 5C1B-DArbonne'!R7</f>
        <v>0</v>
      </c>
      <c r="L6" s="1188">
        <f>-'Table 5C1C-Intl_VIBE'!O7-'Table 5C1C-Intl_VIBE'!R7</f>
        <v>0</v>
      </c>
      <c r="M6" s="368">
        <f>-'Table 5C1D-NOMMA'!O7-'Table 5C1D-NOMMA'!R7</f>
        <v>0</v>
      </c>
      <c r="N6" s="1188">
        <f>-'Table 5C1E-LFNO'!O7-'Table 5C1E-LFNO'!R7</f>
        <v>0</v>
      </c>
      <c r="O6" s="1394">
        <f>-'Table 5C1F-Lake Charles Charter'!O7-'Table 5C1F-Lake Charles Charter'!R7</f>
        <v>0</v>
      </c>
      <c r="P6" s="368">
        <f>-'Table 5C1G-JS Clark Academy'!O7-'Table 5C1G-JS Clark Academy'!R7</f>
        <v>0</v>
      </c>
      <c r="Q6" s="368">
        <f>-'Table 5C1H-Southwest LA Charter'!O7-'Table 5C1H-Southwest LA Charter'!R7</f>
        <v>0</v>
      </c>
      <c r="R6" s="368">
        <f>-'Table 5C2 - LA Virtual Admy'!P4-'Table 5C2 - LA Virtual Admy'!S4</f>
        <v>-41521.5</v>
      </c>
      <c r="S6" s="368">
        <f>-'Table 5C3 - LA Connections EBR'!P4-'Table 5C3 - LA Connections EBR'!S4</f>
        <v>-18846</v>
      </c>
      <c r="T6" s="368">
        <f>-'Table 5D1 - New Vision'!N7-'Table 5D1 - New Vision'!Q7</f>
        <v>0</v>
      </c>
      <c r="U6" s="368">
        <f>-'Table 5D2 - Glencoe'!N7-'Table 5D2 - Glencoe'!Q7</f>
        <v>0</v>
      </c>
      <c r="V6" s="368">
        <f>-'Table 5D3 - International'!N7-'Table 5D3 - International'!Q7</f>
        <v>0</v>
      </c>
      <c r="W6" s="368">
        <f>-'Table 5D4 - Avoyelles'!N7-'Table 5D4 - Avoyelles'!Q7</f>
        <v>0</v>
      </c>
      <c r="X6" s="368">
        <f>-'Table 5D5 - Delhi'!N7-'Table 5D5 - Delhi'!Q7</f>
        <v>0</v>
      </c>
      <c r="Y6" s="368">
        <f>-'Table 5D6 - Milestone'!N7-'Table 5D6 - Milestone'!Q7</f>
        <v>0</v>
      </c>
      <c r="Z6" s="368">
        <f>-'Table 5D7 - Max'!N7-'Table 5D7 - Max'!Q7</f>
        <v>0</v>
      </c>
      <c r="AA6" s="368">
        <f>-'Table 5D8 - Belle Chasse'!P7-'Table 5D8 - Belle Chasse'!U7</f>
        <v>0</v>
      </c>
      <c r="AB6" s="368">
        <f>-'Table 5E_OJJ'!P7-'Table 5E_OJJ'!Q7</f>
        <v>-4679.9910192521656</v>
      </c>
      <c r="AC6" s="368">
        <f>-'Table 5F Scholarships'!G11</f>
        <v>0</v>
      </c>
      <c r="AD6" s="368">
        <f>SUM(D6:AC6)</f>
        <v>-79912.804323960445</v>
      </c>
      <c r="AE6" s="764">
        <f t="shared" ref="AE6:AE37" si="20">SUM(C6:AC6)</f>
        <v>50240600.195676044</v>
      </c>
      <c r="AK6"/>
      <c r="AT6"/>
    </row>
    <row r="7" spans="1:46">
      <c r="A7" s="101">
        <v>2</v>
      </c>
      <c r="B7" s="1187" t="s">
        <v>103</v>
      </c>
      <c r="C7" s="736">
        <f>'Table 2_State Distrib and Adjs'!AF8</f>
        <v>28001907</v>
      </c>
      <c r="D7" s="368">
        <f>-'Table 5A2 LSMSA'!K8</f>
        <v>-2260.7944483259998</v>
      </c>
      <c r="E7" s="368">
        <f>-'Table 5A3 NOCCA'!K8</f>
        <v>0</v>
      </c>
      <c r="F7" s="368">
        <f>-'Table 5A4_LSDVI'!K8</f>
        <v>0</v>
      </c>
      <c r="G7" s="368">
        <f>-'Table 5A5_SSD'!K8</f>
        <v>-2616.0300000000002</v>
      </c>
      <c r="H7" s="1188"/>
      <c r="I7" s="1188"/>
      <c r="J7" s="1188">
        <f>-'Table 5C1A-Madison Prep'!O8-'Table 5C1A-Madison Prep'!R8</f>
        <v>0</v>
      </c>
      <c r="K7" s="1188">
        <f>-'Table 5C1B-DArbonne'!O8-'Table 5C1B-DArbonne'!R8</f>
        <v>0</v>
      </c>
      <c r="L7" s="1188">
        <f>-'Table 5C1C-Intl_VIBE'!O8-'Table 5C1C-Intl_VIBE'!R8</f>
        <v>0</v>
      </c>
      <c r="M7" s="1188">
        <f>-'Table 5C1D-NOMMA'!O8-'Table 5C1D-NOMMA'!R8</f>
        <v>0</v>
      </c>
      <c r="N7" s="1188">
        <f>-'Table 5C1E-LFNO'!O8-'Table 5C1E-LFNO'!R8</f>
        <v>0</v>
      </c>
      <c r="O7" s="1188">
        <f>-'Table 5C1F-Lake Charles Charter'!O8-'Table 5C1F-Lake Charles Charter'!R8</f>
        <v>0</v>
      </c>
      <c r="P7" s="368">
        <f>-'Table 5C1G-JS Clark Academy'!O8-'Table 5C1G-JS Clark Academy'!R8</f>
        <v>0</v>
      </c>
      <c r="Q7" s="368">
        <f>-'Table 5C1H-Southwest LA Charter'!O8-'Table 5C1H-Southwest LA Charter'!R8</f>
        <v>0</v>
      </c>
      <c r="R7" s="368">
        <f>-'Table 5C2 - LA Virtual Admy'!P5-'Table 5C2 - LA Virtual Admy'!S5</f>
        <v>-20687.399999999998</v>
      </c>
      <c r="S7" s="368">
        <f>-'Table 5C3 - LA Connections EBR'!P5-'Table 5C3 - LA Connections EBR'!S5</f>
        <v>-4597.2</v>
      </c>
      <c r="T7" s="368">
        <f>-'Table 5D1 - New Vision'!N8-'Table 5D1 - New Vision'!Q8</f>
        <v>0</v>
      </c>
      <c r="U7" s="368">
        <f>-'Table 5D2 - Glencoe'!N8-'Table 5D2 - Glencoe'!Q8</f>
        <v>0</v>
      </c>
      <c r="V7" s="368">
        <f>-'Table 5D3 - International'!N8-'Table 5D3 - International'!Q8</f>
        <v>0</v>
      </c>
      <c r="W7" s="368">
        <f>-'Table 5D4 - Avoyelles'!N8-'Table 5D4 - Avoyelles'!Q8</f>
        <v>0</v>
      </c>
      <c r="X7" s="368">
        <f>-'Table 5D5 - Delhi'!N8-'Table 5D5 - Delhi'!Q8</f>
        <v>0</v>
      </c>
      <c r="Y7" s="368">
        <f>-'Table 5D6 - Milestone'!N8-'Table 5D6 - Milestone'!Q8</f>
        <v>0</v>
      </c>
      <c r="Z7" s="368">
        <f>-'Table 5D7 - Max'!N8-'Table 5D7 - Max'!Q8</f>
        <v>0</v>
      </c>
      <c r="AA7" s="368">
        <f>-'Table 5D8 - Belle Chasse'!P8-'Table 5D8 - Belle Chasse'!U8</f>
        <v>0</v>
      </c>
      <c r="AB7" s="368">
        <f>-'Table 5E_OJJ'!P8-'Table 5E_OJJ'!Q8</f>
        <v>0</v>
      </c>
      <c r="AC7" s="368">
        <f>-'Table 5F Scholarships'!G12</f>
        <v>0</v>
      </c>
      <c r="AD7" s="368">
        <f t="shared" ref="AD7:AD70" si="21">SUM(D7:AC7)</f>
        <v>-30161.424448326001</v>
      </c>
      <c r="AE7" s="764">
        <f t="shared" si="20"/>
        <v>27971745.575551674</v>
      </c>
      <c r="AK7"/>
      <c r="AT7"/>
    </row>
    <row r="8" spans="1:46">
      <c r="A8" s="101">
        <v>3</v>
      </c>
      <c r="B8" s="1187" t="s">
        <v>104</v>
      </c>
      <c r="C8" s="736">
        <f>'Table 2_State Distrib and Adjs'!AF9</f>
        <v>98862016</v>
      </c>
      <c r="D8" s="368">
        <f>-'Table 5A2 LSMSA'!K9</f>
        <v>-29275.627976387012</v>
      </c>
      <c r="E8" s="368">
        <f>-'Table 5A3 NOCCA'!K9</f>
        <v>0</v>
      </c>
      <c r="F8" s="368">
        <f>-'Table 5A4_LSDVI'!K9</f>
        <v>-33586.699999999997</v>
      </c>
      <c r="G8" s="368">
        <f>-'Table 5A5_SSD'!K9</f>
        <v>-20152.02</v>
      </c>
      <c r="H8" s="1188"/>
      <c r="I8" s="1188"/>
      <c r="J8" s="1188">
        <f>-'Table 5C1A-Madison Prep'!O9-'Table 5C1A-Madison Prep'!R9</f>
        <v>0</v>
      </c>
      <c r="K8" s="1188">
        <f>-'Table 5C1B-DArbonne'!O9-'Table 5C1B-DArbonne'!R9</f>
        <v>0</v>
      </c>
      <c r="L8" s="1188">
        <f>-'Table 5C1C-Intl_VIBE'!O9-'Table 5C1C-Intl_VIBE'!R9</f>
        <v>0</v>
      </c>
      <c r="M8" s="1188">
        <f>-'Table 5C1D-NOMMA'!O9-'Table 5C1D-NOMMA'!R9</f>
        <v>0</v>
      </c>
      <c r="N8" s="1188">
        <f>-'Table 5C1E-LFNO'!O9-'Table 5C1E-LFNO'!R9</f>
        <v>0</v>
      </c>
      <c r="O8" s="1188">
        <f>-'Table 5C1F-Lake Charles Charter'!O9-'Table 5C1F-Lake Charles Charter'!R9</f>
        <v>0</v>
      </c>
      <c r="P8" s="368">
        <f>-'Table 5C1G-JS Clark Academy'!O9-'Table 5C1G-JS Clark Academy'!R9</f>
        <v>0</v>
      </c>
      <c r="Q8" s="368">
        <f>-'Table 5C1H-Southwest LA Charter'!O9-'Table 5C1H-Southwest LA Charter'!R9</f>
        <v>0</v>
      </c>
      <c r="R8" s="368">
        <f>-'Table 5C2 - LA Virtual Admy'!P6-'Table 5C2 - LA Virtual Admy'!S6</f>
        <v>-148351.5</v>
      </c>
      <c r="S8" s="368">
        <f>-'Table 5C3 - LA Connections EBR'!P6-'Table 5C3 - LA Connections EBR'!S6</f>
        <v>-49450.5</v>
      </c>
      <c r="T8" s="368">
        <f>-'Table 5D1 - New Vision'!N9-'Table 5D1 - New Vision'!Q9</f>
        <v>0</v>
      </c>
      <c r="U8" s="368">
        <f>-'Table 5D2 - Glencoe'!N9-'Table 5D2 - Glencoe'!Q9</f>
        <v>0</v>
      </c>
      <c r="V8" s="368">
        <f>-'Table 5D3 - International'!N9-'Table 5D3 - International'!Q9</f>
        <v>0</v>
      </c>
      <c r="W8" s="368">
        <f>-'Table 5D4 - Avoyelles'!N9-'Table 5D4 - Avoyelles'!Q9</f>
        <v>0</v>
      </c>
      <c r="X8" s="368">
        <f>-'Table 5D5 - Delhi'!N9-'Table 5D5 - Delhi'!Q9</f>
        <v>0</v>
      </c>
      <c r="Y8" s="368">
        <f>-'Table 5D6 - Milestone'!N9-'Table 5D6 - Milestone'!Q9</f>
        <v>0</v>
      </c>
      <c r="Z8" s="368">
        <f>-'Table 5D7 - Max'!N9-'Table 5D7 - Max'!Q9</f>
        <v>0</v>
      </c>
      <c r="AA8" s="368">
        <f>-'Table 5D8 - Belle Chasse'!P9-'Table 5D8 - Belle Chasse'!U9</f>
        <v>0</v>
      </c>
      <c r="AB8" s="368">
        <f>-'Table 5E_OJJ'!P9-'Table 5E_OJJ'!Q9</f>
        <v>-6716.6681161578554</v>
      </c>
      <c r="AC8" s="368">
        <f>-'Table 5F Scholarships'!G13</f>
        <v>0</v>
      </c>
      <c r="AD8" s="368">
        <f t="shared" si="21"/>
        <v>-287533.01609254489</v>
      </c>
      <c r="AE8" s="764">
        <f t="shared" si="20"/>
        <v>98574482.983907461</v>
      </c>
      <c r="AK8"/>
      <c r="AT8"/>
    </row>
    <row r="9" spans="1:46">
      <c r="A9" s="101">
        <v>4</v>
      </c>
      <c r="B9" s="1187" t="s">
        <v>105</v>
      </c>
      <c r="C9" s="736">
        <f>'Table 2_State Distrib and Adjs'!AF10</f>
        <v>23707810</v>
      </c>
      <c r="D9" s="368">
        <f>-'Table 5A2 LSMSA'!K10</f>
        <v>0</v>
      </c>
      <c r="E9" s="368">
        <f>-'Table 5A3 NOCCA'!K10</f>
        <v>0</v>
      </c>
      <c r="F9" s="368">
        <f>-'Table 5A4_LSDVI'!K10</f>
        <v>-3133.44</v>
      </c>
      <c r="G9" s="368">
        <f>-'Table 5A5_SSD'!K10</f>
        <v>-9400.32</v>
      </c>
      <c r="H9" s="1188"/>
      <c r="I9" s="1188"/>
      <c r="J9" s="1188">
        <f>-'Table 5C1A-Madison Prep'!O10-'Table 5C1A-Madison Prep'!R10</f>
        <v>0</v>
      </c>
      <c r="K9" s="1188">
        <f>-'Table 5C1B-DArbonne'!O10-'Table 5C1B-DArbonne'!R10</f>
        <v>0</v>
      </c>
      <c r="L9" s="1188">
        <f>-'Table 5C1C-Intl_VIBE'!O10-'Table 5C1C-Intl_VIBE'!R10</f>
        <v>0</v>
      </c>
      <c r="M9" s="1188">
        <f>-'Table 5C1D-NOMMA'!O10-'Table 5C1D-NOMMA'!R10</f>
        <v>0</v>
      </c>
      <c r="N9" s="1188">
        <f>-'Table 5C1E-LFNO'!O10-'Table 5C1E-LFNO'!R10</f>
        <v>0</v>
      </c>
      <c r="O9" s="1188">
        <f>-'Table 5C1F-Lake Charles Charter'!O10-'Table 5C1F-Lake Charles Charter'!R10</f>
        <v>0</v>
      </c>
      <c r="P9" s="368">
        <f>-'Table 5C1G-JS Clark Academy'!O10-'Table 5C1G-JS Clark Academy'!R10</f>
        <v>0</v>
      </c>
      <c r="Q9" s="368">
        <f>-'Table 5C1H-Southwest LA Charter'!O10-'Table 5C1H-Southwest LA Charter'!R10</f>
        <v>0</v>
      </c>
      <c r="R9" s="368">
        <f>-'Table 5C2 - LA Virtual Admy'!P7-'Table 5C2 - LA Virtual Admy'!S7</f>
        <v>-9074.7000000000007</v>
      </c>
      <c r="S9" s="368">
        <f>-'Table 5C3 - LA Connections EBR'!P7-'Table 5C3 - LA Connections EBR'!S7</f>
        <v>-15124.5</v>
      </c>
      <c r="T9" s="368">
        <f>-'Table 5D1 - New Vision'!N10-'Table 5D1 - New Vision'!Q10</f>
        <v>0</v>
      </c>
      <c r="U9" s="368">
        <f>-'Table 5D2 - Glencoe'!N10-'Table 5D2 - Glencoe'!Q10</f>
        <v>0</v>
      </c>
      <c r="V9" s="368">
        <f>-'Table 5D3 - International'!N10-'Table 5D3 - International'!Q10</f>
        <v>0</v>
      </c>
      <c r="W9" s="368">
        <f>-'Table 5D4 - Avoyelles'!N10-'Table 5D4 - Avoyelles'!Q10</f>
        <v>0</v>
      </c>
      <c r="X9" s="368">
        <f>-'Table 5D5 - Delhi'!N10-'Table 5D5 - Delhi'!Q10</f>
        <v>0</v>
      </c>
      <c r="Y9" s="368">
        <f>-'Table 5D6 - Milestone'!N10-'Table 5D6 - Milestone'!Q10</f>
        <v>0</v>
      </c>
      <c r="Z9" s="368">
        <f>-'Table 5D7 - Max'!N10-'Table 5D7 - Max'!Q10</f>
        <v>-6722</v>
      </c>
      <c r="AA9" s="368">
        <f>-'Table 5D8 - Belle Chasse'!P10-'Table 5D8 - Belle Chasse'!U10</f>
        <v>0</v>
      </c>
      <c r="AB9" s="368">
        <f>-'Table 5E_OJJ'!P10-'Table 5E_OJJ'!Q10</f>
        <v>-2694.1148077342318</v>
      </c>
      <c r="AC9" s="368">
        <f>-'Table 5F Scholarships'!G14</f>
        <v>0</v>
      </c>
      <c r="AD9" s="368">
        <f t="shared" si="21"/>
        <v>-46149.074807734229</v>
      </c>
      <c r="AE9" s="764">
        <f t="shared" si="20"/>
        <v>23661660.925192267</v>
      </c>
      <c r="AK9"/>
      <c r="AT9"/>
    </row>
    <row r="10" spans="1:46">
      <c r="A10" s="102">
        <v>5</v>
      </c>
      <c r="B10" s="1189" t="s">
        <v>106</v>
      </c>
      <c r="C10" s="737">
        <f>'Table 2_State Distrib and Adjs'!AF11</f>
        <v>30749531</v>
      </c>
      <c r="D10" s="369">
        <f>-'Table 5A2 LSMSA'!K11</f>
        <v>0</v>
      </c>
      <c r="E10" s="369">
        <f>-'Table 5A3 NOCCA'!K11</f>
        <v>0</v>
      </c>
      <c r="F10" s="369">
        <f>-'Table 5A4_LSDVI'!K11</f>
        <v>-4735.5600000000004</v>
      </c>
      <c r="G10" s="369">
        <f>-'Table 5A5_SSD'!K11</f>
        <v>-4735.5600000000004</v>
      </c>
      <c r="H10" s="1190"/>
      <c r="I10" s="1190"/>
      <c r="J10" s="1190">
        <f>-'Table 5C1A-Madison Prep'!O11-'Table 5C1A-Madison Prep'!R11</f>
        <v>0</v>
      </c>
      <c r="K10" s="1190">
        <f>-'Table 5C1B-DArbonne'!O11-'Table 5C1B-DArbonne'!R11</f>
        <v>0</v>
      </c>
      <c r="L10" s="1190">
        <f>-'Table 5C1C-Intl_VIBE'!O11-'Table 5C1C-Intl_VIBE'!R11</f>
        <v>0</v>
      </c>
      <c r="M10" s="1190">
        <f>-'Table 5C1D-NOMMA'!O11-'Table 5C1D-NOMMA'!R11</f>
        <v>0</v>
      </c>
      <c r="N10" s="1190">
        <f>-'Table 5C1E-LFNO'!O11-'Table 5C1E-LFNO'!R11</f>
        <v>0</v>
      </c>
      <c r="O10" s="1190">
        <f>-'Table 5C1F-Lake Charles Charter'!O11-'Table 5C1F-Lake Charles Charter'!R11</f>
        <v>0</v>
      </c>
      <c r="P10" s="369">
        <f>-'Table 5C1G-JS Clark Academy'!O11-'Table 5C1G-JS Clark Academy'!R11</f>
        <v>0</v>
      </c>
      <c r="Q10" s="369">
        <f>-'Table 5C1H-Southwest LA Charter'!O11-'Table 5C1H-Southwest LA Charter'!R11</f>
        <v>0</v>
      </c>
      <c r="R10" s="369">
        <f>-'Table 5C2 - LA Virtual Admy'!P8-'Table 5C2 - LA Virtual Admy'!S8</f>
        <v>-23722.2</v>
      </c>
      <c r="S10" s="369">
        <f>-'Table 5C3 - LA Connections EBR'!P8-'Table 5C3 - LA Connections EBR'!S8</f>
        <v>-4125.6000000000004</v>
      </c>
      <c r="T10" s="369">
        <f>-'Table 5D1 - New Vision'!N11-'Table 5D1 - New Vision'!Q11</f>
        <v>0</v>
      </c>
      <c r="U10" s="369">
        <f>-'Table 5D2 - Glencoe'!N11-'Table 5D2 - Glencoe'!Q11</f>
        <v>0</v>
      </c>
      <c r="V10" s="369">
        <f>-'Table 5D3 - International'!N11-'Table 5D3 - International'!Q11</f>
        <v>0</v>
      </c>
      <c r="W10" s="369">
        <f>-'Table 5D4 - Avoyelles'!N11-'Table 5D4 - Avoyelles'!Q11</f>
        <v>-768966</v>
      </c>
      <c r="X10" s="369">
        <f>-'Table 5D5 - Delhi'!N11-'Table 5D5 - Delhi'!Q11</f>
        <v>0</v>
      </c>
      <c r="Y10" s="369">
        <f>-'Table 5D6 - Milestone'!N11-'Table 5D6 - Milestone'!Q11</f>
        <v>0</v>
      </c>
      <c r="Z10" s="369">
        <f>-'Table 5D7 - Max'!N11-'Table 5D7 - Max'!Q11</f>
        <v>0</v>
      </c>
      <c r="AA10" s="369">
        <f>-'Table 5D8 - Belle Chasse'!P11-'Table 5D8 - Belle Chasse'!U11</f>
        <v>0</v>
      </c>
      <c r="AB10" s="369">
        <f>-'Table 5E_OJJ'!P11-'Table 5E_OJJ'!Q11</f>
        <v>-4898.2055272046046</v>
      </c>
      <c r="AC10" s="369">
        <f>-'Table 5F Scholarships'!G15</f>
        <v>0</v>
      </c>
      <c r="AD10" s="369">
        <f t="shared" si="21"/>
        <v>-811183.1255272046</v>
      </c>
      <c r="AE10" s="765">
        <f t="shared" si="20"/>
        <v>29938347.874472797</v>
      </c>
      <c r="AK10"/>
      <c r="AT10"/>
    </row>
    <row r="11" spans="1:46">
      <c r="A11" s="101">
        <v>6</v>
      </c>
      <c r="B11" s="1187" t="s">
        <v>107</v>
      </c>
      <c r="C11" s="736">
        <f>'Table 2_State Distrib and Adjs'!AF12</f>
        <v>36503422</v>
      </c>
      <c r="D11" s="368">
        <f>-'Table 5A2 LSMSA'!K12</f>
        <v>-6728.0518362064804</v>
      </c>
      <c r="E11" s="368">
        <f>-'Table 5A3 NOCCA'!K12</f>
        <v>0</v>
      </c>
      <c r="F11" s="368">
        <f>-'Table 5A4_LSDVI'!K12</f>
        <v>-3081.93</v>
      </c>
      <c r="G11" s="368">
        <f>-'Table 5A5_SSD'!K12</f>
        <v>-6163.86</v>
      </c>
      <c r="H11" s="1188"/>
      <c r="I11" s="1188"/>
      <c r="J11" s="1188">
        <f>-'Table 5C1A-Madison Prep'!O12-'Table 5C1A-Madison Prep'!R12</f>
        <v>0</v>
      </c>
      <c r="K11" s="1188">
        <f>-'Table 5C1B-DArbonne'!O12-'Table 5C1B-DArbonne'!R12</f>
        <v>0</v>
      </c>
      <c r="L11" s="1188">
        <f>-'Table 5C1C-Intl_VIBE'!O12-'Table 5C1C-Intl_VIBE'!R12</f>
        <v>0</v>
      </c>
      <c r="M11" s="1188">
        <f>-'Table 5C1D-NOMMA'!O12-'Table 5C1D-NOMMA'!R12</f>
        <v>0</v>
      </c>
      <c r="N11" s="1188">
        <f>-'Table 5C1E-LFNO'!O12-'Table 5C1E-LFNO'!R12</f>
        <v>0</v>
      </c>
      <c r="O11" s="1188">
        <f>-'Table 5C1F-Lake Charles Charter'!O12-'Table 5C1F-Lake Charles Charter'!R12</f>
        <v>0</v>
      </c>
      <c r="P11" s="368">
        <f>-'Table 5C1G-JS Clark Academy'!O12-'Table 5C1G-JS Clark Academy'!R12</f>
        <v>0</v>
      </c>
      <c r="Q11" s="368">
        <f>-'Table 5C1H-Southwest LA Charter'!O12-'Table 5C1H-Southwest LA Charter'!R12</f>
        <v>0</v>
      </c>
      <c r="R11" s="368">
        <f>-'Table 5C2 - LA Virtual Admy'!P9-'Table 5C2 - LA Virtual Admy'!S9</f>
        <v>-46318.5</v>
      </c>
      <c r="S11" s="368">
        <f>-'Table 5C3 - LA Connections EBR'!P9-'Table 5C3 - LA Connections EBR'!S9</f>
        <v>-12351.6</v>
      </c>
      <c r="T11" s="368">
        <f>-'Table 5D1 - New Vision'!N12-'Table 5D1 - New Vision'!Q12</f>
        <v>0</v>
      </c>
      <c r="U11" s="368">
        <f>-'Table 5D2 - Glencoe'!N12-'Table 5D2 - Glencoe'!Q12</f>
        <v>0</v>
      </c>
      <c r="V11" s="368">
        <f>-'Table 5D3 - International'!N12-'Table 5D3 - International'!Q12</f>
        <v>0</v>
      </c>
      <c r="W11" s="368">
        <f>-'Table 5D4 - Avoyelles'!N12-'Table 5D4 - Avoyelles'!Q12</f>
        <v>0</v>
      </c>
      <c r="X11" s="368">
        <f>-'Table 5D5 - Delhi'!N12-'Table 5D5 - Delhi'!Q12</f>
        <v>0</v>
      </c>
      <c r="Y11" s="368">
        <f>-'Table 5D6 - Milestone'!N12-'Table 5D6 - Milestone'!Q12</f>
        <v>0</v>
      </c>
      <c r="Z11" s="368">
        <f>-'Table 5D7 - Max'!N12-'Table 5D7 - Max'!Q12</f>
        <v>0</v>
      </c>
      <c r="AA11" s="368">
        <f>-'Table 5D8 - Belle Chasse'!P12-'Table 5D8 - Belle Chasse'!U12</f>
        <v>0</v>
      </c>
      <c r="AB11" s="368">
        <f>-'Table 5E_OJJ'!P12-'Table 5E_OJJ'!Q12</f>
        <v>-4938.1062635768558</v>
      </c>
      <c r="AC11" s="368">
        <f>-'Table 5F Scholarships'!G16</f>
        <v>0</v>
      </c>
      <c r="AD11" s="368">
        <f t="shared" si="21"/>
        <v>-79582.048099783351</v>
      </c>
      <c r="AE11" s="764">
        <f t="shared" si="20"/>
        <v>36423839.951900214</v>
      </c>
      <c r="AK11"/>
      <c r="AT11"/>
    </row>
    <row r="12" spans="1:46">
      <c r="A12" s="101">
        <v>7</v>
      </c>
      <c r="B12" s="1187" t="s">
        <v>108</v>
      </c>
      <c r="C12" s="736">
        <f>'Table 2_State Distrib and Adjs'!AF13</f>
        <v>5084362</v>
      </c>
      <c r="D12" s="368">
        <f>-'Table 5A2 LSMSA'!K13</f>
        <v>-3773.0214424666219</v>
      </c>
      <c r="E12" s="368">
        <f>-'Table 5A3 NOCCA'!K13</f>
        <v>0</v>
      </c>
      <c r="F12" s="368">
        <f>-'Table 5A4_LSDVI'!K13</f>
        <v>0</v>
      </c>
      <c r="G12" s="368">
        <f>-'Table 5A5_SSD'!K13</f>
        <v>0</v>
      </c>
      <c r="H12" s="1188"/>
      <c r="I12" s="1188"/>
      <c r="J12" s="1188">
        <f>-'Table 5C1A-Madison Prep'!O13-'Table 5C1A-Madison Prep'!R13</f>
        <v>0</v>
      </c>
      <c r="K12" s="1188">
        <f>-'Table 5C1B-DArbonne'!O13-'Table 5C1B-DArbonne'!R13</f>
        <v>0</v>
      </c>
      <c r="L12" s="1188">
        <f>-'Table 5C1C-Intl_VIBE'!O13-'Table 5C1C-Intl_VIBE'!R13</f>
        <v>0</v>
      </c>
      <c r="M12" s="1188">
        <f>-'Table 5C1D-NOMMA'!O13-'Table 5C1D-NOMMA'!R13</f>
        <v>0</v>
      </c>
      <c r="N12" s="1188">
        <f>-'Table 5C1E-LFNO'!O13-'Table 5C1E-LFNO'!R13</f>
        <v>0</v>
      </c>
      <c r="O12" s="1188">
        <f>-'Table 5C1F-Lake Charles Charter'!O13-'Table 5C1F-Lake Charles Charter'!R13</f>
        <v>0</v>
      </c>
      <c r="P12" s="368">
        <f>-'Table 5C1G-JS Clark Academy'!O13-'Table 5C1G-JS Clark Academy'!R13</f>
        <v>0</v>
      </c>
      <c r="Q12" s="368">
        <f>-'Table 5C1H-Southwest LA Charter'!O13-'Table 5C1H-Southwest LA Charter'!R13</f>
        <v>0</v>
      </c>
      <c r="R12" s="368">
        <f>-'Table 5C2 - LA Virtual Admy'!P10-'Table 5C2 - LA Virtual Admy'!S10</f>
        <v>-58383</v>
      </c>
      <c r="S12" s="368">
        <f>-'Table 5C3 - LA Connections EBR'!P10-'Table 5C3 - LA Connections EBR'!S10</f>
        <v>-70059.600000000006</v>
      </c>
      <c r="T12" s="368">
        <f>-'Table 5D1 - New Vision'!N13-'Table 5D1 - New Vision'!Q13</f>
        <v>0</v>
      </c>
      <c r="U12" s="368">
        <f>-'Table 5D2 - Glencoe'!N13-'Table 5D2 - Glencoe'!Q13</f>
        <v>0</v>
      </c>
      <c r="V12" s="368">
        <f>-'Table 5D3 - International'!N13-'Table 5D3 - International'!Q13</f>
        <v>0</v>
      </c>
      <c r="W12" s="368">
        <f>-'Table 5D4 - Avoyelles'!N13-'Table 5D4 - Avoyelles'!Q13</f>
        <v>0</v>
      </c>
      <c r="X12" s="368">
        <f>-'Table 5D5 - Delhi'!N13-'Table 5D5 - Delhi'!Q13</f>
        <v>0</v>
      </c>
      <c r="Y12" s="368">
        <f>-'Table 5D6 - Milestone'!N13-'Table 5D6 - Milestone'!Q13</f>
        <v>0</v>
      </c>
      <c r="Z12" s="368">
        <f>-'Table 5D7 - Max'!N13-'Table 5D7 - Max'!Q13</f>
        <v>0</v>
      </c>
      <c r="AA12" s="368">
        <f>-'Table 5D8 - Belle Chasse'!P13-'Table 5D8 - Belle Chasse'!U13</f>
        <v>0</v>
      </c>
      <c r="AB12" s="368">
        <f>-'Table 5E_OJJ'!P13-'Table 5E_OJJ'!Q13</f>
        <v>0</v>
      </c>
      <c r="AC12" s="368">
        <f>-'Table 5F Scholarships'!G17</f>
        <v>0</v>
      </c>
      <c r="AD12" s="368">
        <f t="shared" si="21"/>
        <v>-132215.62144246663</v>
      </c>
      <c r="AE12" s="764">
        <f t="shared" si="20"/>
        <v>4952146.378557534</v>
      </c>
      <c r="AK12"/>
      <c r="AT12"/>
    </row>
    <row r="13" spans="1:46">
      <c r="A13" s="101">
        <v>8</v>
      </c>
      <c r="B13" s="1187" t="s">
        <v>109</v>
      </c>
      <c r="C13" s="736">
        <f>'Table 2_State Distrib and Adjs'!AF14</f>
        <v>98625815</v>
      </c>
      <c r="D13" s="368">
        <f>-'Table 5A2 LSMSA'!K14</f>
        <v>-10875.357005765791</v>
      </c>
      <c r="E13" s="368">
        <f>-'Table 5A3 NOCCA'!K14</f>
        <v>0</v>
      </c>
      <c r="F13" s="368">
        <f>-'Table 5A4_LSDVI'!K14</f>
        <v>-7093.62</v>
      </c>
      <c r="G13" s="368">
        <f>-'Table 5A5_SSD'!K14</f>
        <v>-7093.62</v>
      </c>
      <c r="H13" s="1188"/>
      <c r="I13" s="1188"/>
      <c r="J13" s="1188">
        <f>-'Table 5C1A-Madison Prep'!O14-'Table 5C1A-Madison Prep'!R14</f>
        <v>0</v>
      </c>
      <c r="K13" s="1188">
        <f>-'Table 5C1B-DArbonne'!O14-'Table 5C1B-DArbonne'!R14</f>
        <v>0</v>
      </c>
      <c r="L13" s="1188">
        <f>-'Table 5C1C-Intl_VIBE'!O14-'Table 5C1C-Intl_VIBE'!R14</f>
        <v>0</v>
      </c>
      <c r="M13" s="1188">
        <f>-'Table 5C1D-NOMMA'!O14-'Table 5C1D-NOMMA'!R14</f>
        <v>0</v>
      </c>
      <c r="N13" s="1188">
        <f>-'Table 5C1E-LFNO'!O14-'Table 5C1E-LFNO'!R14</f>
        <v>0</v>
      </c>
      <c r="O13" s="1188">
        <f>-'Table 5C1F-Lake Charles Charter'!O14-'Table 5C1F-Lake Charles Charter'!R14</f>
        <v>0</v>
      </c>
      <c r="P13" s="368">
        <f>-'Table 5C1G-JS Clark Academy'!O14-'Table 5C1G-JS Clark Academy'!R14</f>
        <v>0</v>
      </c>
      <c r="Q13" s="368">
        <f>-'Table 5C1H-Southwest LA Charter'!O14-'Table 5C1H-Southwest LA Charter'!R14</f>
        <v>0</v>
      </c>
      <c r="R13" s="368">
        <f>-'Table 5C2 - LA Virtual Admy'!P11-'Table 5C2 - LA Virtual Admy'!S11</f>
        <v>-167618.70000000001</v>
      </c>
      <c r="S13" s="368">
        <f>-'Table 5C3 - LA Connections EBR'!P11-'Table 5C3 - LA Connections EBR'!S11</f>
        <v>-83833.2</v>
      </c>
      <c r="T13" s="368">
        <f>-'Table 5D1 - New Vision'!N14-'Table 5D1 - New Vision'!Q14</f>
        <v>0</v>
      </c>
      <c r="U13" s="368">
        <f>-'Table 5D2 - Glencoe'!N14-'Table 5D2 - Glencoe'!Q14</f>
        <v>0</v>
      </c>
      <c r="V13" s="368">
        <f>-'Table 5D3 - International'!N14-'Table 5D3 - International'!Q14</f>
        <v>0</v>
      </c>
      <c r="W13" s="368">
        <f>-'Table 5D4 - Avoyelles'!N14-'Table 5D4 - Avoyelles'!Q14</f>
        <v>0</v>
      </c>
      <c r="X13" s="368">
        <f>-'Table 5D5 - Delhi'!N14-'Table 5D5 - Delhi'!Q14</f>
        <v>0</v>
      </c>
      <c r="Y13" s="368">
        <f>-'Table 5D6 - Milestone'!N14-'Table 5D6 - Milestone'!Q14</f>
        <v>0</v>
      </c>
      <c r="Z13" s="368">
        <f>-'Table 5D7 - Max'!N14-'Table 5D7 - Max'!Q14</f>
        <v>0</v>
      </c>
      <c r="AA13" s="368">
        <f>-'Table 5D8 - Belle Chasse'!P14-'Table 5D8 - Belle Chasse'!U14</f>
        <v>0</v>
      </c>
      <c r="AB13" s="368">
        <f>-'Table 5E_OJJ'!P14-'Table 5E_OJJ'!Q14</f>
        <v>-18818.908794960993</v>
      </c>
      <c r="AC13" s="368">
        <f>-'Table 5F Scholarships'!G18</f>
        <v>0</v>
      </c>
      <c r="AD13" s="368">
        <f t="shared" si="21"/>
        <v>-295333.40580072679</v>
      </c>
      <c r="AE13" s="764">
        <f t="shared" si="20"/>
        <v>98330481.59419927</v>
      </c>
      <c r="AK13"/>
      <c r="AT13"/>
    </row>
    <row r="14" spans="1:46">
      <c r="A14" s="101">
        <v>9</v>
      </c>
      <c r="B14" s="1187" t="s">
        <v>110</v>
      </c>
      <c r="C14" s="736">
        <f>'Table 2_State Distrib and Adjs'!AF15</f>
        <v>203240203</v>
      </c>
      <c r="D14" s="368">
        <f>-'Table 5A2 LSMSA'!K15</f>
        <v>-13719.712103859962</v>
      </c>
      <c r="E14" s="368">
        <f>-'Table 5A3 NOCCA'!K15</f>
        <v>0</v>
      </c>
      <c r="F14" s="368">
        <f>-'Table 5A4_LSDVI'!K15</f>
        <v>-28095.439999999999</v>
      </c>
      <c r="G14" s="368">
        <f>-'Table 5A5_SSD'!K15</f>
        <v>-24583.51</v>
      </c>
      <c r="H14" s="1188">
        <f>-'Table 5B2_RSD_LA'!Q30-'Table 5B2_RSD_LA'!V30</f>
        <v>-2468514</v>
      </c>
      <c r="I14" s="1188"/>
      <c r="J14" s="1188">
        <f>-'Table 5C1A-Madison Prep'!O15-'Table 5C1A-Madison Prep'!R15</f>
        <v>0</v>
      </c>
      <c r="K14" s="1188">
        <f>-'Table 5C1B-DArbonne'!O15-'Table 5C1B-DArbonne'!R15</f>
        <v>0</v>
      </c>
      <c r="L14" s="1188">
        <f>-'Table 5C1C-Intl_VIBE'!O15-'Table 5C1C-Intl_VIBE'!R15</f>
        <v>0</v>
      </c>
      <c r="M14" s="1188">
        <f>-'Table 5C1D-NOMMA'!O15-'Table 5C1D-NOMMA'!R15</f>
        <v>0</v>
      </c>
      <c r="N14" s="1188">
        <f>-'Table 5C1E-LFNO'!O15-'Table 5C1E-LFNO'!R15</f>
        <v>0</v>
      </c>
      <c r="O14" s="1188">
        <f>-'Table 5C1F-Lake Charles Charter'!O15-'Table 5C1F-Lake Charles Charter'!R15</f>
        <v>-4539</v>
      </c>
      <c r="P14" s="368">
        <f>-'Table 5C1G-JS Clark Academy'!O15-'Table 5C1G-JS Clark Academy'!R15</f>
        <v>0</v>
      </c>
      <c r="Q14" s="368">
        <f>-'Table 5C1H-Southwest LA Charter'!O15-'Table 5C1H-Southwest LA Charter'!R15</f>
        <v>0</v>
      </c>
      <c r="R14" s="368">
        <f>-'Table 5C2 - LA Virtual Admy'!P12-'Table 5C2 - LA Virtual Admy'!S12</f>
        <v>-375792.3</v>
      </c>
      <c r="S14" s="368">
        <f>-'Table 5C3 - LA Connections EBR'!P12-'Table 5C3 - LA Connections EBR'!S12</f>
        <v>-155233.79999999999</v>
      </c>
      <c r="T14" s="368">
        <f>-'Table 5D1 - New Vision'!N15-'Table 5D1 - New Vision'!Q15</f>
        <v>0</v>
      </c>
      <c r="U14" s="368">
        <f>-'Table 5D2 - Glencoe'!N15-'Table 5D2 - Glencoe'!Q15</f>
        <v>0</v>
      </c>
      <c r="V14" s="368">
        <f>-'Table 5D3 - International'!N15-'Table 5D3 - International'!Q15</f>
        <v>0</v>
      </c>
      <c r="W14" s="368">
        <f>-'Table 5D4 - Avoyelles'!N15-'Table 5D4 - Avoyelles'!Q15</f>
        <v>0</v>
      </c>
      <c r="X14" s="368">
        <f>-'Table 5D5 - Delhi'!N15-'Table 5D5 - Delhi'!Q15</f>
        <v>0</v>
      </c>
      <c r="Y14" s="368">
        <f>-'Table 5D6 - Milestone'!N15-'Table 5D6 - Milestone'!Q15</f>
        <v>0</v>
      </c>
      <c r="Z14" s="368">
        <f>-'Table 5D7 - Max'!N15-'Table 5D7 - Max'!Q15</f>
        <v>0</v>
      </c>
      <c r="AA14" s="368">
        <f>-'Table 5D8 - Belle Chasse'!P15-'Table 5D8 - Belle Chasse'!U15</f>
        <v>0</v>
      </c>
      <c r="AB14" s="368">
        <f>-'Table 5E_OJJ'!P15-'Table 5E_OJJ'!Q15</f>
        <v>-113130.0710729258</v>
      </c>
      <c r="AC14" s="368">
        <f>-'Table 5F Scholarships'!G19</f>
        <v>0</v>
      </c>
      <c r="AD14" s="368">
        <f t="shared" si="21"/>
        <v>-3183607.8331767856</v>
      </c>
      <c r="AE14" s="764">
        <f t="shared" si="20"/>
        <v>200056595.16682318</v>
      </c>
      <c r="AK14"/>
      <c r="AT14"/>
    </row>
    <row r="15" spans="1:46">
      <c r="A15" s="102">
        <v>10</v>
      </c>
      <c r="B15" s="1189" t="s">
        <v>111</v>
      </c>
      <c r="C15" s="737">
        <f>'Table 2_State Distrib and Adjs'!AF16</f>
        <v>152054137</v>
      </c>
      <c r="D15" s="369">
        <f>-'Table 5A2 LSMSA'!K16</f>
        <v>-32770.955040688088</v>
      </c>
      <c r="E15" s="369">
        <f>-'Table 5A3 NOCCA'!K16</f>
        <v>0</v>
      </c>
      <c r="F15" s="369">
        <f>-'Table 5A4_LSDVI'!K16</f>
        <v>-34189.380000000005</v>
      </c>
      <c r="G15" s="369">
        <f>-'Table 5A5_SSD'!K16</f>
        <v>-26591.74</v>
      </c>
      <c r="H15" s="1190"/>
      <c r="I15" s="1190"/>
      <c r="J15" s="1190">
        <f>-'Table 5C1A-Madison Prep'!O16-'Table 5C1A-Madison Prep'!R16</f>
        <v>0</v>
      </c>
      <c r="K15" s="1190">
        <f>-'Table 5C1B-DArbonne'!O16-'Table 5C1B-DArbonne'!R16</f>
        <v>0</v>
      </c>
      <c r="L15" s="1190">
        <f>-'Table 5C1C-Intl_VIBE'!O16-'Table 5C1C-Intl_VIBE'!R16</f>
        <v>0</v>
      </c>
      <c r="M15" s="1190">
        <f>-'Table 5C1D-NOMMA'!O16-'Table 5C1D-NOMMA'!R16</f>
        <v>0</v>
      </c>
      <c r="N15" s="1190">
        <f>-'Table 5C1E-LFNO'!O16-'Table 5C1E-LFNO'!R16</f>
        <v>0</v>
      </c>
      <c r="O15" s="1190">
        <f>-'Table 5C1F-Lake Charles Charter'!O16-'Table 5C1F-Lake Charles Charter'!R16</f>
        <v>-2738120</v>
      </c>
      <c r="P15" s="369">
        <f>-'Table 5C1G-JS Clark Academy'!O16-'Table 5C1G-JS Clark Academy'!R16</f>
        <v>0</v>
      </c>
      <c r="Q15" s="369">
        <f>-'Table 5C1H-Southwest LA Charter'!O16-'Table 5C1H-Southwest LA Charter'!R16</f>
        <v>-1940400</v>
      </c>
      <c r="R15" s="369">
        <f>-'Table 5C2 - LA Virtual Admy'!P13-'Table 5C2 - LA Virtual Admy'!S13</f>
        <v>-240609.6</v>
      </c>
      <c r="S15" s="369">
        <f>-'Table 5C3 - LA Connections EBR'!P13-'Table 5C3 - LA Connections EBR'!S13</f>
        <v>-93139.200000000012</v>
      </c>
      <c r="T15" s="369">
        <f>-'Table 5D1 - New Vision'!N16-'Table 5D1 - New Vision'!Q16</f>
        <v>0</v>
      </c>
      <c r="U15" s="369">
        <f>-'Table 5D2 - Glencoe'!N16-'Table 5D2 - Glencoe'!Q16</f>
        <v>0</v>
      </c>
      <c r="V15" s="369">
        <f>-'Table 5D3 - International'!N16-'Table 5D3 - International'!Q16</f>
        <v>0</v>
      </c>
      <c r="W15" s="369">
        <f>-'Table 5D4 - Avoyelles'!N16-'Table 5D4 - Avoyelles'!Q16</f>
        <v>0</v>
      </c>
      <c r="X15" s="369">
        <f>-'Table 5D5 - Delhi'!N16-'Table 5D5 - Delhi'!Q16</f>
        <v>0</v>
      </c>
      <c r="Y15" s="369">
        <f>-'Table 5D6 - Milestone'!N16-'Table 5D6 - Milestone'!Q16</f>
        <v>0</v>
      </c>
      <c r="Z15" s="369">
        <f>-'Table 5D7 - Max'!N16-'Table 5D7 - Max'!Q16</f>
        <v>0</v>
      </c>
      <c r="AA15" s="369">
        <f>-'Table 5D8 - Belle Chasse'!P16-'Table 5D8 - Belle Chasse'!U16</f>
        <v>0</v>
      </c>
      <c r="AB15" s="369">
        <f>-'Table 5E_OJJ'!P16-'Table 5E_OJJ'!Q16</f>
        <v>-29846.090490733641</v>
      </c>
      <c r="AC15" s="369">
        <f>-'Table 5F Scholarships'!G20</f>
        <v>0</v>
      </c>
      <c r="AD15" s="369">
        <f t="shared" si="21"/>
        <v>-5135666.9655314218</v>
      </c>
      <c r="AE15" s="765">
        <f t="shared" si="20"/>
        <v>146918470.03446859</v>
      </c>
      <c r="AK15"/>
      <c r="AT15"/>
    </row>
    <row r="16" spans="1:46">
      <c r="A16" s="101">
        <v>11</v>
      </c>
      <c r="B16" s="1187" t="s">
        <v>112</v>
      </c>
      <c r="C16" s="736">
        <f>'Table 2_State Distrib and Adjs'!AF17</f>
        <v>11752004</v>
      </c>
      <c r="D16" s="368">
        <f>-'Table 5A2 LSMSA'!K17</f>
        <v>-888.92385184513614</v>
      </c>
      <c r="E16" s="368">
        <f>-'Table 5A3 NOCCA'!K17</f>
        <v>0</v>
      </c>
      <c r="F16" s="368">
        <f>-'Table 5A4_LSDVI'!K17</f>
        <v>0</v>
      </c>
      <c r="G16" s="368">
        <f>-'Table 5A5_SSD'!K17</f>
        <v>0</v>
      </c>
      <c r="H16" s="1188"/>
      <c r="I16" s="1188"/>
      <c r="J16" s="1188">
        <f>-'Table 5C1A-Madison Prep'!O17-'Table 5C1A-Madison Prep'!R17</f>
        <v>0</v>
      </c>
      <c r="K16" s="1188">
        <f>-'Table 5C1B-DArbonne'!O17-'Table 5C1B-DArbonne'!R17</f>
        <v>0</v>
      </c>
      <c r="L16" s="1188">
        <f>-'Table 5C1C-Intl_VIBE'!O17-'Table 5C1C-Intl_VIBE'!R17</f>
        <v>0</v>
      </c>
      <c r="M16" s="1188">
        <f>-'Table 5C1D-NOMMA'!O17-'Table 5C1D-NOMMA'!R17</f>
        <v>0</v>
      </c>
      <c r="N16" s="1188">
        <f>-'Table 5C1E-LFNO'!O17-'Table 5C1E-LFNO'!R17</f>
        <v>0</v>
      </c>
      <c r="O16" s="1188">
        <f>-'Table 5C1F-Lake Charles Charter'!O17-'Table 5C1F-Lake Charles Charter'!R17</f>
        <v>0</v>
      </c>
      <c r="P16" s="368">
        <f>-'Table 5C1G-JS Clark Academy'!O17-'Table 5C1G-JS Clark Academy'!R17</f>
        <v>0</v>
      </c>
      <c r="Q16" s="368">
        <f>-'Table 5C1H-Southwest LA Charter'!O17-'Table 5C1H-Southwest LA Charter'!R17</f>
        <v>0</v>
      </c>
      <c r="R16" s="368">
        <f>-'Table 5C2 - LA Virtual Admy'!P14-'Table 5C2 - LA Virtual Admy'!S14</f>
        <v>-8110.7999999999993</v>
      </c>
      <c r="S16" s="368">
        <f>-'Table 5C3 - LA Connections EBR'!P14-'Table 5C3 - LA Connections EBR'!S14</f>
        <v>0</v>
      </c>
      <c r="T16" s="368">
        <f>-'Table 5D1 - New Vision'!N17-'Table 5D1 - New Vision'!Q17</f>
        <v>-6008</v>
      </c>
      <c r="U16" s="368">
        <f>-'Table 5D2 - Glencoe'!N17-'Table 5D2 - Glencoe'!Q17</f>
        <v>0</v>
      </c>
      <c r="V16" s="368">
        <f>-'Table 5D3 - International'!N17-'Table 5D3 - International'!Q17</f>
        <v>0</v>
      </c>
      <c r="W16" s="368">
        <f>-'Table 5D4 - Avoyelles'!N17-'Table 5D4 - Avoyelles'!Q17</f>
        <v>0</v>
      </c>
      <c r="X16" s="368">
        <f>-'Table 5D5 - Delhi'!N17-'Table 5D5 - Delhi'!Q17</f>
        <v>0</v>
      </c>
      <c r="Y16" s="368">
        <f>-'Table 5D6 - Milestone'!N17-'Table 5D6 - Milestone'!Q17</f>
        <v>0</v>
      </c>
      <c r="Z16" s="368">
        <f>-'Table 5D7 - Max'!N17-'Table 5D7 - Max'!Q17</f>
        <v>0</v>
      </c>
      <c r="AA16" s="368">
        <f>-'Table 5D8 - Belle Chasse'!P17-'Table 5D8 - Belle Chasse'!U17</f>
        <v>0</v>
      </c>
      <c r="AB16" s="368">
        <f>-'Table 5E_OJJ'!P17-'Table 5E_OJJ'!Q17</f>
        <v>0</v>
      </c>
      <c r="AC16" s="368">
        <f>-'Table 5F Scholarships'!G21</f>
        <v>0</v>
      </c>
      <c r="AD16" s="368">
        <f t="shared" si="21"/>
        <v>-15007.723851845136</v>
      </c>
      <c r="AE16" s="764">
        <f t="shared" si="20"/>
        <v>11736996.276148153</v>
      </c>
      <c r="AK16"/>
      <c r="AT16"/>
    </row>
    <row r="17" spans="1:46">
      <c r="A17" s="101">
        <v>12</v>
      </c>
      <c r="B17" s="1187" t="s">
        <v>113</v>
      </c>
      <c r="C17" s="736">
        <f>'Table 2_State Distrib and Adjs'!AF18</f>
        <v>3480123</v>
      </c>
      <c r="D17" s="368">
        <f>-'Table 5A2 LSMSA'!K18</f>
        <v>0</v>
      </c>
      <c r="E17" s="368">
        <f>-'Table 5A3 NOCCA'!K18</f>
        <v>0</v>
      </c>
      <c r="F17" s="368">
        <f>-'Table 5A4_LSDVI'!K18</f>
        <v>0</v>
      </c>
      <c r="G17" s="368">
        <f>-'Table 5A5_SSD'!K18</f>
        <v>0</v>
      </c>
      <c r="H17" s="1188"/>
      <c r="I17" s="1188"/>
      <c r="J17" s="1188">
        <f>-'Table 5C1A-Madison Prep'!O18-'Table 5C1A-Madison Prep'!R18</f>
        <v>0</v>
      </c>
      <c r="K17" s="1188">
        <f>-'Table 5C1B-DArbonne'!O18-'Table 5C1B-DArbonne'!R18</f>
        <v>0</v>
      </c>
      <c r="L17" s="1188">
        <f>-'Table 5C1C-Intl_VIBE'!O18-'Table 5C1C-Intl_VIBE'!R18</f>
        <v>0</v>
      </c>
      <c r="M17" s="1188">
        <f>-'Table 5C1D-NOMMA'!O18-'Table 5C1D-NOMMA'!R18</f>
        <v>0</v>
      </c>
      <c r="N17" s="1188">
        <f>-'Table 5C1E-LFNO'!O18-'Table 5C1E-LFNO'!R18</f>
        <v>0</v>
      </c>
      <c r="O17" s="1188">
        <f>-'Table 5C1F-Lake Charles Charter'!O18-'Table 5C1F-Lake Charles Charter'!R18</f>
        <v>0</v>
      </c>
      <c r="P17" s="368">
        <f>-'Table 5C1G-JS Clark Academy'!O18-'Table 5C1G-JS Clark Academy'!R18</f>
        <v>0</v>
      </c>
      <c r="Q17" s="368">
        <f>-'Table 5C1H-Southwest LA Charter'!O18-'Table 5C1H-Southwest LA Charter'!R18</f>
        <v>0</v>
      </c>
      <c r="R17" s="368">
        <f>-'Table 5C2 - LA Virtual Admy'!P15-'Table 5C2 - LA Virtual Admy'!S15</f>
        <v>0</v>
      </c>
      <c r="S17" s="368">
        <f>-'Table 5C3 - LA Connections EBR'!P15-'Table 5C3 - LA Connections EBR'!S15</f>
        <v>-22390.2</v>
      </c>
      <c r="T17" s="368">
        <f>-'Table 5D1 - New Vision'!N18-'Table 5D1 - New Vision'!Q18</f>
        <v>0</v>
      </c>
      <c r="U17" s="368">
        <f>-'Table 5D2 - Glencoe'!N18-'Table 5D2 - Glencoe'!Q18</f>
        <v>0</v>
      </c>
      <c r="V17" s="368">
        <f>-'Table 5D3 - International'!N18-'Table 5D3 - International'!Q18</f>
        <v>0</v>
      </c>
      <c r="W17" s="368">
        <f>-'Table 5D4 - Avoyelles'!N18-'Table 5D4 - Avoyelles'!Q18</f>
        <v>0</v>
      </c>
      <c r="X17" s="368">
        <f>-'Table 5D5 - Delhi'!N18-'Table 5D5 - Delhi'!Q18</f>
        <v>0</v>
      </c>
      <c r="Y17" s="368">
        <f>-'Table 5D6 - Milestone'!N18-'Table 5D6 - Milestone'!Q18</f>
        <v>0</v>
      </c>
      <c r="Z17" s="368">
        <f>-'Table 5D7 - Max'!N18-'Table 5D7 - Max'!Q18</f>
        <v>0</v>
      </c>
      <c r="AA17" s="368">
        <f>-'Table 5D8 - Belle Chasse'!P18-'Table 5D8 - Belle Chasse'!U18</f>
        <v>0</v>
      </c>
      <c r="AB17" s="368">
        <f>-'Table 5E_OJJ'!P18-'Table 5E_OJJ'!Q18</f>
        <v>0</v>
      </c>
      <c r="AC17" s="368">
        <f>-'Table 5F Scholarships'!G22</f>
        <v>0</v>
      </c>
      <c r="AD17" s="368">
        <f t="shared" si="21"/>
        <v>-22390.2</v>
      </c>
      <c r="AE17" s="764">
        <f t="shared" si="20"/>
        <v>3457732.8</v>
      </c>
      <c r="AK17"/>
      <c r="AT17"/>
    </row>
    <row r="18" spans="1:46">
      <c r="A18" s="101">
        <v>13</v>
      </c>
      <c r="B18" s="1187" t="s">
        <v>114</v>
      </c>
      <c r="C18" s="736">
        <f>'Table 2_State Distrib and Adjs'!AF19</f>
        <v>10366620</v>
      </c>
      <c r="D18" s="368">
        <f>-'Table 5A2 LSMSA'!K19</f>
        <v>0</v>
      </c>
      <c r="E18" s="368">
        <f>-'Table 5A3 NOCCA'!K19</f>
        <v>0</v>
      </c>
      <c r="F18" s="368">
        <f>-'Table 5A4_LSDVI'!K19</f>
        <v>0</v>
      </c>
      <c r="G18" s="368">
        <f>-'Table 5A5_SSD'!K19</f>
        <v>0</v>
      </c>
      <c r="H18" s="1188"/>
      <c r="I18" s="1188"/>
      <c r="J18" s="1188">
        <f>-'Table 5C1A-Madison Prep'!O19-'Table 5C1A-Madison Prep'!R19</f>
        <v>0</v>
      </c>
      <c r="K18" s="1188">
        <f>-'Table 5C1B-DArbonne'!O19-'Table 5C1B-DArbonne'!R19</f>
        <v>0</v>
      </c>
      <c r="L18" s="1188">
        <f>-'Table 5C1C-Intl_VIBE'!O19-'Table 5C1C-Intl_VIBE'!R19</f>
        <v>0</v>
      </c>
      <c r="M18" s="1188">
        <f>-'Table 5C1D-NOMMA'!O19-'Table 5C1D-NOMMA'!R19</f>
        <v>0</v>
      </c>
      <c r="N18" s="1188">
        <f>-'Table 5C1E-LFNO'!O19-'Table 5C1E-LFNO'!R19</f>
        <v>0</v>
      </c>
      <c r="O18" s="1188">
        <f>-'Table 5C1F-Lake Charles Charter'!O19-'Table 5C1F-Lake Charles Charter'!R19</f>
        <v>0</v>
      </c>
      <c r="P18" s="368">
        <f>-'Table 5C1G-JS Clark Academy'!O19-'Table 5C1G-JS Clark Academy'!R19</f>
        <v>0</v>
      </c>
      <c r="Q18" s="368">
        <f>-'Table 5C1H-Southwest LA Charter'!O19-'Table 5C1H-Southwest LA Charter'!R19</f>
        <v>0</v>
      </c>
      <c r="R18" s="368">
        <f>-'Table 5C2 - LA Virtual Admy'!P16-'Table 5C2 - LA Virtual Admy'!S16</f>
        <v>-13597.2</v>
      </c>
      <c r="S18" s="368">
        <f>-'Table 5C3 - LA Connections EBR'!P16-'Table 5C3 - LA Connections EBR'!S16</f>
        <v>-11331.000000000002</v>
      </c>
      <c r="T18" s="368">
        <f>-'Table 5D1 - New Vision'!N19-'Table 5D1 - New Vision'!Q19</f>
        <v>0</v>
      </c>
      <c r="U18" s="368">
        <f>-'Table 5D2 - Glencoe'!N19-'Table 5D2 - Glencoe'!Q19</f>
        <v>0</v>
      </c>
      <c r="V18" s="368">
        <f>-'Table 5D3 - International'!N19-'Table 5D3 - International'!Q19</f>
        <v>0</v>
      </c>
      <c r="W18" s="368">
        <f>-'Table 5D4 - Avoyelles'!N19-'Table 5D4 - Avoyelles'!Q19</f>
        <v>0</v>
      </c>
      <c r="X18" s="368">
        <f>-'Table 5D5 - Delhi'!N19-'Table 5D5 - Delhi'!Q19</f>
        <v>0</v>
      </c>
      <c r="Y18" s="368">
        <f>-'Table 5D6 - Milestone'!N19-'Table 5D6 - Milestone'!Q19</f>
        <v>0</v>
      </c>
      <c r="Z18" s="368">
        <f>-'Table 5D7 - Max'!N19-'Table 5D7 - Max'!Q19</f>
        <v>0</v>
      </c>
      <c r="AA18" s="368">
        <f>-'Table 5D8 - Belle Chasse'!P19-'Table 5D8 - Belle Chasse'!U19</f>
        <v>0</v>
      </c>
      <c r="AB18" s="368">
        <f>-'Table 5E_OJJ'!P19-'Table 5E_OJJ'!Q19</f>
        <v>0</v>
      </c>
      <c r="AC18" s="368">
        <f>-'Table 5F Scholarships'!G23</f>
        <v>0</v>
      </c>
      <c r="AD18" s="368">
        <f t="shared" si="21"/>
        <v>-24928.200000000004</v>
      </c>
      <c r="AE18" s="764">
        <f t="shared" si="20"/>
        <v>10341691.800000001</v>
      </c>
      <c r="AK18"/>
      <c r="AT18"/>
    </row>
    <row r="19" spans="1:46">
      <c r="A19" s="101">
        <v>14</v>
      </c>
      <c r="B19" s="1187" t="s">
        <v>115</v>
      </c>
      <c r="C19" s="736">
        <f>'Table 2_State Distrib and Adjs'!AF20</f>
        <v>11826724</v>
      </c>
      <c r="D19" s="368">
        <f>-'Table 5A2 LSMSA'!K20</f>
        <v>-1527.3190799104884</v>
      </c>
      <c r="E19" s="368">
        <f>-'Table 5A3 NOCCA'!K20</f>
        <v>0</v>
      </c>
      <c r="F19" s="368">
        <f>-'Table 5A4_LSDVI'!K20</f>
        <v>0</v>
      </c>
      <c r="G19" s="368">
        <f>-'Table 5A5_SSD'!K20</f>
        <v>0</v>
      </c>
      <c r="H19" s="1188"/>
      <c r="I19" s="1188"/>
      <c r="J19" s="1188">
        <f>-'Table 5C1A-Madison Prep'!O20-'Table 5C1A-Madison Prep'!R20</f>
        <v>0</v>
      </c>
      <c r="K19" s="1188">
        <f>-'Table 5C1B-DArbonne'!O20-'Table 5C1B-DArbonne'!R20</f>
        <v>-10815</v>
      </c>
      <c r="L19" s="1188">
        <f>-'Table 5C1C-Intl_VIBE'!O20-'Table 5C1C-Intl_VIBE'!R20</f>
        <v>0</v>
      </c>
      <c r="M19" s="1188">
        <f>-'Table 5C1D-NOMMA'!O20-'Table 5C1D-NOMMA'!R20</f>
        <v>0</v>
      </c>
      <c r="N19" s="1188">
        <f>-'Table 5C1E-LFNO'!O20-'Table 5C1E-LFNO'!R20</f>
        <v>0</v>
      </c>
      <c r="O19" s="1188">
        <f>-'Table 5C1F-Lake Charles Charter'!O20-'Table 5C1F-Lake Charles Charter'!R20</f>
        <v>0</v>
      </c>
      <c r="P19" s="368">
        <f>-'Table 5C1G-JS Clark Academy'!O20-'Table 5C1G-JS Clark Academy'!R20</f>
        <v>0</v>
      </c>
      <c r="Q19" s="368">
        <f>-'Table 5C1H-Southwest LA Charter'!O20-'Table 5C1H-Southwest LA Charter'!R20</f>
        <v>0</v>
      </c>
      <c r="R19" s="368">
        <f>-'Table 5C2 - LA Virtual Admy'!P17-'Table 5C2 - LA Virtual Admy'!S17</f>
        <v>-9733.5</v>
      </c>
      <c r="S19" s="368">
        <f>-'Table 5C3 - LA Connections EBR'!P17-'Table 5C3 - LA Connections EBR'!S17</f>
        <v>-22711.5</v>
      </c>
      <c r="T19" s="368">
        <f>-'Table 5D1 - New Vision'!N20-'Table 5D1 - New Vision'!Q20</f>
        <v>0</v>
      </c>
      <c r="U19" s="368">
        <f>-'Table 5D2 - Glencoe'!N20-'Table 5D2 - Glencoe'!Q20</f>
        <v>0</v>
      </c>
      <c r="V19" s="368">
        <f>-'Table 5D3 - International'!N20-'Table 5D3 - International'!Q20</f>
        <v>0</v>
      </c>
      <c r="W19" s="368">
        <f>-'Table 5D4 - Avoyelles'!N20-'Table 5D4 - Avoyelles'!Q20</f>
        <v>0</v>
      </c>
      <c r="X19" s="368">
        <f>-'Table 5D5 - Delhi'!N20-'Table 5D5 - Delhi'!Q20</f>
        <v>0</v>
      </c>
      <c r="Y19" s="368">
        <f>-'Table 5D6 - Milestone'!N20-'Table 5D6 - Milestone'!Q20</f>
        <v>0</v>
      </c>
      <c r="Z19" s="368">
        <f>-'Table 5D7 - Max'!N20-'Table 5D7 - Max'!Q20</f>
        <v>0</v>
      </c>
      <c r="AA19" s="368">
        <f>-'Table 5D8 - Belle Chasse'!P20-'Table 5D8 - Belle Chasse'!U20</f>
        <v>0</v>
      </c>
      <c r="AB19" s="368">
        <f>-'Table 5E_OJJ'!P20-'Table 5E_OJJ'!Q20</f>
        <v>0</v>
      </c>
      <c r="AC19" s="368">
        <f>-'Table 5F Scholarships'!G24</f>
        <v>0</v>
      </c>
      <c r="AD19" s="368">
        <f t="shared" si="21"/>
        <v>-44787.319079910492</v>
      </c>
      <c r="AE19" s="764">
        <f t="shared" si="20"/>
        <v>11781936.680920089</v>
      </c>
      <c r="AK19"/>
      <c r="AT19"/>
    </row>
    <row r="20" spans="1:46">
      <c r="A20" s="102">
        <v>15</v>
      </c>
      <c r="B20" s="1189" t="s">
        <v>116</v>
      </c>
      <c r="C20" s="737">
        <f>'Table 2_State Distrib and Adjs'!AF21</f>
        <v>21663330</v>
      </c>
      <c r="D20" s="369">
        <f>-'Table 5A2 LSMSA'!K21</f>
        <v>0</v>
      </c>
      <c r="E20" s="369">
        <f>-'Table 5A3 NOCCA'!K21</f>
        <v>0</v>
      </c>
      <c r="F20" s="369">
        <f>-'Table 5A4_LSDVI'!K21</f>
        <v>0</v>
      </c>
      <c r="G20" s="369">
        <f>-'Table 5A5_SSD'!K21</f>
        <v>-5246.98</v>
      </c>
      <c r="H20" s="1190"/>
      <c r="I20" s="1190"/>
      <c r="J20" s="1190">
        <f>-'Table 5C1A-Madison Prep'!O21-'Table 5C1A-Madison Prep'!R21</f>
        <v>0</v>
      </c>
      <c r="K20" s="1190">
        <f>-'Table 5C1B-DArbonne'!O21-'Table 5C1B-DArbonne'!R21</f>
        <v>0</v>
      </c>
      <c r="L20" s="1190">
        <f>-'Table 5C1C-Intl_VIBE'!O21-'Table 5C1C-Intl_VIBE'!R21</f>
        <v>0</v>
      </c>
      <c r="M20" s="1190">
        <f>-'Table 5C1D-NOMMA'!O21-'Table 5C1D-NOMMA'!R21</f>
        <v>0</v>
      </c>
      <c r="N20" s="1190">
        <f>-'Table 5C1E-LFNO'!O21-'Table 5C1E-LFNO'!R21</f>
        <v>0</v>
      </c>
      <c r="O20" s="1190">
        <f>-'Table 5C1F-Lake Charles Charter'!O21-'Table 5C1F-Lake Charles Charter'!R21</f>
        <v>0</v>
      </c>
      <c r="P20" s="369">
        <f>-'Table 5C1G-JS Clark Academy'!O21-'Table 5C1G-JS Clark Academy'!R21</f>
        <v>0</v>
      </c>
      <c r="Q20" s="369">
        <f>-'Table 5C1H-Southwest LA Charter'!O21-'Table 5C1H-Southwest LA Charter'!R21</f>
        <v>0</v>
      </c>
      <c r="R20" s="369">
        <f>-'Table 5C2 - LA Virtual Admy'!P18-'Table 5C2 - LA Virtual Admy'!S18</f>
        <v>-9410.4</v>
      </c>
      <c r="S20" s="369">
        <f>-'Table 5C3 - LA Connections EBR'!P18-'Table 5C3 - LA Connections EBR'!S18</f>
        <v>-4705.2</v>
      </c>
      <c r="T20" s="369">
        <f>-'Table 5D1 - New Vision'!N21-'Table 5D1 - New Vision'!Q21</f>
        <v>0</v>
      </c>
      <c r="U20" s="369">
        <f>-'Table 5D2 - Glencoe'!N21-'Table 5D2 - Glencoe'!Q21</f>
        <v>0</v>
      </c>
      <c r="V20" s="369">
        <f>-'Table 5D3 - International'!N21-'Table 5D3 - International'!Q21</f>
        <v>0</v>
      </c>
      <c r="W20" s="369">
        <f>-'Table 5D4 - Avoyelles'!N21-'Table 5D4 - Avoyelles'!Q21</f>
        <v>0</v>
      </c>
      <c r="X20" s="369">
        <f>-'Table 5D5 - Delhi'!N21-'Table 5D5 - Delhi'!Q21</f>
        <v>0</v>
      </c>
      <c r="Y20" s="369">
        <f>-'Table 5D6 - Milestone'!N21-'Table 5D6 - Milestone'!Q21</f>
        <v>0</v>
      </c>
      <c r="Z20" s="369">
        <f>-'Table 5D7 - Max'!N21-'Table 5D7 - Max'!Q21</f>
        <v>0</v>
      </c>
      <c r="AA20" s="369">
        <f>-'Table 5D8 - Belle Chasse'!P21-'Table 5D8 - Belle Chasse'!U21</f>
        <v>0</v>
      </c>
      <c r="AB20" s="369">
        <f>-'Table 5E_OJJ'!P21-'Table 5E_OJJ'!Q21</f>
        <v>-6103.5713953683053</v>
      </c>
      <c r="AC20" s="369">
        <f>-'Table 5F Scholarships'!G25</f>
        <v>0</v>
      </c>
      <c r="AD20" s="369">
        <f t="shared" si="21"/>
        <v>-25466.151395368302</v>
      </c>
      <c r="AE20" s="765">
        <f t="shared" si="20"/>
        <v>21637863.848604634</v>
      </c>
      <c r="AK20"/>
      <c r="AT20"/>
    </row>
    <row r="21" spans="1:46">
      <c r="A21" s="101">
        <v>16</v>
      </c>
      <c r="B21" s="1187" t="s">
        <v>117</v>
      </c>
      <c r="C21" s="736">
        <f>'Table 2_State Distrib and Adjs'!AF22</f>
        <v>10424437</v>
      </c>
      <c r="D21" s="368">
        <f>-'Table 5A2 LSMSA'!K22</f>
        <v>-3773.0214424666219</v>
      </c>
      <c r="E21" s="368">
        <f>-'Table 5A3 NOCCA'!K22</f>
        <v>0</v>
      </c>
      <c r="F21" s="368">
        <f>-'Table 5A4_LSDVI'!K22</f>
        <v>0</v>
      </c>
      <c r="G21" s="368">
        <f>-'Table 5A5_SSD'!K22</f>
        <v>0</v>
      </c>
      <c r="H21" s="1188"/>
      <c r="I21" s="1188"/>
      <c r="J21" s="1188">
        <f>-'Table 5C1A-Madison Prep'!O22-'Table 5C1A-Madison Prep'!R22</f>
        <v>0</v>
      </c>
      <c r="K21" s="1188">
        <f>-'Table 5C1B-DArbonne'!O22-'Table 5C1B-DArbonne'!R22</f>
        <v>0</v>
      </c>
      <c r="L21" s="1188">
        <f>-'Table 5C1C-Intl_VIBE'!O22-'Table 5C1C-Intl_VIBE'!R22</f>
        <v>0</v>
      </c>
      <c r="M21" s="1188">
        <f>-'Table 5C1D-NOMMA'!O22-'Table 5C1D-NOMMA'!R22</f>
        <v>0</v>
      </c>
      <c r="N21" s="1188">
        <f>-'Table 5C1E-LFNO'!O22-'Table 5C1E-LFNO'!R22</f>
        <v>0</v>
      </c>
      <c r="O21" s="1188">
        <f>-'Table 5C1F-Lake Charles Charter'!O22-'Table 5C1F-Lake Charles Charter'!R22</f>
        <v>0</v>
      </c>
      <c r="P21" s="368">
        <f>-'Table 5C1G-JS Clark Academy'!O22-'Table 5C1G-JS Clark Academy'!R22</f>
        <v>0</v>
      </c>
      <c r="Q21" s="368">
        <f>-'Table 5C1H-Southwest LA Charter'!O22-'Table 5C1H-Southwest LA Charter'!R22</f>
        <v>0</v>
      </c>
      <c r="R21" s="368">
        <f>-'Table 5C2 - LA Virtual Admy'!P19-'Table 5C2 - LA Virtual Admy'!S19</f>
        <v>-187270.19999999998</v>
      </c>
      <c r="S21" s="368">
        <f>-'Table 5C3 - LA Connections EBR'!P19-'Table 5C3 - LA Connections EBR'!S19</f>
        <v>-14405.4</v>
      </c>
      <c r="T21" s="368">
        <f>-'Table 5D1 - New Vision'!N22-'Table 5D1 - New Vision'!Q22</f>
        <v>0</v>
      </c>
      <c r="U21" s="368">
        <f>-'Table 5D2 - Glencoe'!N22-'Table 5D2 - Glencoe'!Q22</f>
        <v>0</v>
      </c>
      <c r="V21" s="368">
        <f>-'Table 5D3 - International'!N22-'Table 5D3 - International'!Q22</f>
        <v>0</v>
      </c>
      <c r="W21" s="368">
        <f>-'Table 5D4 - Avoyelles'!N22-'Table 5D4 - Avoyelles'!Q22</f>
        <v>0</v>
      </c>
      <c r="X21" s="368">
        <f>-'Table 5D5 - Delhi'!N22-'Table 5D5 - Delhi'!Q22</f>
        <v>0</v>
      </c>
      <c r="Y21" s="368">
        <f>-'Table 5D6 - Milestone'!N22-'Table 5D6 - Milestone'!Q22</f>
        <v>0</v>
      </c>
      <c r="Z21" s="368">
        <f>-'Table 5D7 - Max'!N22-'Table 5D7 - Max'!Q22</f>
        <v>0</v>
      </c>
      <c r="AA21" s="368">
        <f>-'Table 5D8 - Belle Chasse'!P22-'Table 5D8 - Belle Chasse'!U22</f>
        <v>0</v>
      </c>
      <c r="AB21" s="368">
        <f>-'Table 5E_OJJ'!P22-'Table 5E_OJJ'!Q22</f>
        <v>-13263.379247136345</v>
      </c>
      <c r="AC21" s="368">
        <f>-'Table 5F Scholarships'!G26</f>
        <v>0</v>
      </c>
      <c r="AD21" s="368">
        <f t="shared" si="21"/>
        <v>-218712.00068960295</v>
      </c>
      <c r="AE21" s="764">
        <f t="shared" si="20"/>
        <v>10205724.999310397</v>
      </c>
      <c r="AK21"/>
      <c r="AT21"/>
    </row>
    <row r="22" spans="1:46">
      <c r="A22" s="101">
        <v>17</v>
      </c>
      <c r="B22" s="1187" t="s">
        <v>118</v>
      </c>
      <c r="C22" s="736">
        <f>'Table 2_State Distrib and Adjs'!AF23</f>
        <v>168970836</v>
      </c>
      <c r="D22" s="368">
        <f>-'Table 5A2 LSMSA'!K23</f>
        <v>-43496.397327806546</v>
      </c>
      <c r="E22" s="368">
        <f>-'Table 5A3 NOCCA'!K23</f>
        <v>-5117.2232150360642</v>
      </c>
      <c r="F22" s="368">
        <f>-'Table 5A4_LSDVI'!K23</f>
        <v>-218310.24</v>
      </c>
      <c r="G22" s="368">
        <f>-'Table 5A5_SSD'!K23</f>
        <v>-77318.210000000006</v>
      </c>
      <c r="H22" s="1188">
        <f>-'Table 5B2_RSD_LA'!Q18-'Table 5B2_RSD_LA'!V18</f>
        <v>-17018540</v>
      </c>
      <c r="I22" s="1188"/>
      <c r="J22" s="1188">
        <f>-'Table 5C1A-Madison Prep'!O23-'Table 5C1A-Madison Prep'!R23</f>
        <v>-1233449</v>
      </c>
      <c r="K22" s="1188">
        <f>-'Table 5C1B-DArbonne'!O23-'Table 5C1B-DArbonne'!R23</f>
        <v>0</v>
      </c>
      <c r="L22" s="1188">
        <f>-'Table 5C1C-Intl_VIBE'!O23-'Table 5C1C-Intl_VIBE'!R23</f>
        <v>0</v>
      </c>
      <c r="M22" s="1188">
        <f>-'Table 5C1D-NOMMA'!O23-'Table 5C1D-NOMMA'!R23</f>
        <v>0</v>
      </c>
      <c r="N22" s="1188">
        <f>-'Table 5C1E-LFNO'!O23-'Table 5C1E-LFNO'!R23</f>
        <v>0</v>
      </c>
      <c r="O22" s="1188">
        <f>-'Table 5C1F-Lake Charles Charter'!O23-'Table 5C1F-Lake Charles Charter'!R23</f>
        <v>0</v>
      </c>
      <c r="P22" s="368">
        <f>-'Table 5C1G-JS Clark Academy'!O23-'Table 5C1G-JS Clark Academy'!R23</f>
        <v>0</v>
      </c>
      <c r="Q22" s="368">
        <f>-'Table 5C1H-Southwest LA Charter'!O23-'Table 5C1H-Southwest LA Charter'!R23</f>
        <v>0</v>
      </c>
      <c r="R22" s="368">
        <f>-'Table 5C2 - LA Virtual Admy'!P20-'Table 5C2 - LA Virtual Admy'!S20</f>
        <v>-449964.89999999997</v>
      </c>
      <c r="S22" s="368">
        <f>-'Table 5C3 - LA Connections EBR'!P20-'Table 5C3 - LA Connections EBR'!S20</f>
        <v>-233748</v>
      </c>
      <c r="T22" s="368">
        <f>-'Table 5D1 - New Vision'!N23-'Table 5D1 - New Vision'!Q23</f>
        <v>0</v>
      </c>
      <c r="U22" s="368">
        <f>-'Table 5D2 - Glencoe'!N23-'Table 5D2 - Glencoe'!Q23</f>
        <v>0</v>
      </c>
      <c r="V22" s="368">
        <f>-'Table 5D3 - International'!N23-'Table 5D3 - International'!Q23</f>
        <v>0</v>
      </c>
      <c r="W22" s="368">
        <f>-'Table 5D4 - Avoyelles'!N23-'Table 5D4 - Avoyelles'!Q23</f>
        <v>0</v>
      </c>
      <c r="X22" s="368">
        <f>-'Table 5D5 - Delhi'!N23-'Table 5D5 - Delhi'!Q23</f>
        <v>0</v>
      </c>
      <c r="Y22" s="368">
        <f>-'Table 5D6 - Milestone'!N23-'Table 5D6 - Milestone'!Q23</f>
        <v>0</v>
      </c>
      <c r="Z22" s="368">
        <f>-'Table 5D7 - Max'!N23-'Table 5D7 - Max'!Q23</f>
        <v>0</v>
      </c>
      <c r="AA22" s="368">
        <f>-'Table 5D8 - Belle Chasse'!P23-'Table 5D8 - Belle Chasse'!U23</f>
        <v>0</v>
      </c>
      <c r="AB22" s="368">
        <f>-'Table 5E_OJJ'!P23-'Table 5E_OJJ'!Q23</f>
        <v>-179000.32425574679</v>
      </c>
      <c r="AC22" s="368">
        <f>-'Table 5F Scholarships'!G27</f>
        <v>0</v>
      </c>
      <c r="AD22" s="368">
        <f t="shared" si="21"/>
        <v>-19458944.294798587</v>
      </c>
      <c r="AE22" s="764">
        <f t="shared" si="20"/>
        <v>149511891.70520139</v>
      </c>
      <c r="AK22"/>
      <c r="AT22"/>
    </row>
    <row r="23" spans="1:46">
      <c r="A23" s="101">
        <v>18</v>
      </c>
      <c r="B23" s="1187" t="s">
        <v>119</v>
      </c>
      <c r="C23" s="736">
        <f>'Table 2_State Distrib and Adjs'!AF24</f>
        <v>7589773</v>
      </c>
      <c r="D23" s="368">
        <f>-'Table 5A2 LSMSA'!K24</f>
        <v>0</v>
      </c>
      <c r="E23" s="368">
        <f>-'Table 5A3 NOCCA'!K24</f>
        <v>0</v>
      </c>
      <c r="F23" s="368">
        <f>-'Table 5A4_LSDVI'!K24</f>
        <v>0</v>
      </c>
      <c r="G23" s="368">
        <f>-'Table 5A5_SSD'!K24</f>
        <v>0</v>
      </c>
      <c r="H23" s="1188"/>
      <c r="I23" s="1188"/>
      <c r="J23" s="1188">
        <f>-'Table 5C1A-Madison Prep'!O24-'Table 5C1A-Madison Prep'!R24</f>
        <v>0</v>
      </c>
      <c r="K23" s="1188">
        <f>-'Table 5C1B-DArbonne'!O24-'Table 5C1B-DArbonne'!R24</f>
        <v>0</v>
      </c>
      <c r="L23" s="1188">
        <f>-'Table 5C1C-Intl_VIBE'!O24-'Table 5C1C-Intl_VIBE'!R24</f>
        <v>0</v>
      </c>
      <c r="M23" s="1188">
        <f>-'Table 5C1D-NOMMA'!O24-'Table 5C1D-NOMMA'!R24</f>
        <v>0</v>
      </c>
      <c r="N23" s="1188">
        <f>-'Table 5C1E-LFNO'!O24-'Table 5C1E-LFNO'!R24</f>
        <v>0</v>
      </c>
      <c r="O23" s="1188">
        <f>-'Table 5C1F-Lake Charles Charter'!O24-'Table 5C1F-Lake Charles Charter'!R24</f>
        <v>0</v>
      </c>
      <c r="P23" s="368">
        <f>-'Table 5C1G-JS Clark Academy'!O24-'Table 5C1G-JS Clark Academy'!R24</f>
        <v>0</v>
      </c>
      <c r="Q23" s="368">
        <f>-'Table 5C1H-Southwest LA Charter'!O24-'Table 5C1H-Southwest LA Charter'!R24</f>
        <v>0</v>
      </c>
      <c r="R23" s="368">
        <f>-'Table 5C2 - LA Virtual Admy'!P21-'Table 5C2 - LA Virtual Admy'!S21</f>
        <v>-1879.2</v>
      </c>
      <c r="S23" s="368">
        <f>-'Table 5C3 - LA Connections EBR'!P21-'Table 5C3 - LA Connections EBR'!S21</f>
        <v>0</v>
      </c>
      <c r="T23" s="368">
        <f>-'Table 5D1 - New Vision'!N24-'Table 5D1 - New Vision'!Q24</f>
        <v>0</v>
      </c>
      <c r="U23" s="368">
        <f>-'Table 5D2 - Glencoe'!N24-'Table 5D2 - Glencoe'!Q24</f>
        <v>0</v>
      </c>
      <c r="V23" s="368">
        <f>-'Table 5D3 - International'!N24-'Table 5D3 - International'!Q24</f>
        <v>0</v>
      </c>
      <c r="W23" s="368">
        <f>-'Table 5D4 - Avoyelles'!N24-'Table 5D4 - Avoyelles'!Q24</f>
        <v>0</v>
      </c>
      <c r="X23" s="368">
        <f>-'Table 5D5 - Delhi'!N24-'Table 5D5 - Delhi'!Q24</f>
        <v>-20880</v>
      </c>
      <c r="Y23" s="368">
        <f>-'Table 5D6 - Milestone'!N24-'Table 5D6 - Milestone'!Q24</f>
        <v>0</v>
      </c>
      <c r="Z23" s="368">
        <f>-'Table 5D7 - Max'!N24-'Table 5D7 - Max'!Q24</f>
        <v>0</v>
      </c>
      <c r="AA23" s="368">
        <f>-'Table 5D8 - Belle Chasse'!P24-'Table 5D8 - Belle Chasse'!U24</f>
        <v>0</v>
      </c>
      <c r="AB23" s="368">
        <f>-'Table 5E_OJJ'!P24-'Table 5E_OJJ'!Q24</f>
        <v>-2941.6701720309757</v>
      </c>
      <c r="AC23" s="368">
        <f>-'Table 5F Scholarships'!G28</f>
        <v>0</v>
      </c>
      <c r="AD23" s="368">
        <f t="shared" si="21"/>
        <v>-25700.870172030976</v>
      </c>
      <c r="AE23" s="764">
        <f t="shared" si="20"/>
        <v>7564072.1298279688</v>
      </c>
      <c r="AK23"/>
      <c r="AT23"/>
    </row>
    <row r="24" spans="1:46">
      <c r="A24" s="101">
        <v>19</v>
      </c>
      <c r="B24" s="311" t="s">
        <v>120</v>
      </c>
      <c r="C24" s="320">
        <f>'Table 2_State Distrib and Adjs'!AF25</f>
        <v>11788226</v>
      </c>
      <c r="D24" s="368">
        <f>-'Table 5A2 LSMSA'!K25</f>
        <v>0</v>
      </c>
      <c r="E24" s="368">
        <f>-'Table 5A3 NOCCA'!K25</f>
        <v>0</v>
      </c>
      <c r="F24" s="368">
        <f>-'Table 5A4_LSDVI'!K25</f>
        <v>-9068.4</v>
      </c>
      <c r="G24" s="368">
        <f>-'Table 5A5_SSD'!K25</f>
        <v>-31739.399999999998</v>
      </c>
      <c r="H24" s="368"/>
      <c r="I24" s="368"/>
      <c r="J24" s="368">
        <f>-'Table 5C1A-Madison Prep'!O25-'Table 5C1A-Madison Prep'!R25</f>
        <v>0</v>
      </c>
      <c r="K24" s="368">
        <f>-'Table 5C1B-DArbonne'!O25-'Table 5C1B-DArbonne'!R25</f>
        <v>0</v>
      </c>
      <c r="L24" s="368">
        <f>-'Table 5C1C-Intl_VIBE'!O25-'Table 5C1C-Intl_VIBE'!R25</f>
        <v>0</v>
      </c>
      <c r="M24" s="368">
        <f>-'Table 5C1D-NOMMA'!O25-'Table 5C1D-NOMMA'!R25</f>
        <v>0</v>
      </c>
      <c r="N24" s="368">
        <f>-'Table 5C1E-LFNO'!O25-'Table 5C1E-LFNO'!R25</f>
        <v>0</v>
      </c>
      <c r="O24" s="368">
        <f>-'Table 5C1F-Lake Charles Charter'!O25-'Table 5C1F-Lake Charles Charter'!R25</f>
        <v>0</v>
      </c>
      <c r="P24" s="368">
        <f>-'Table 5C1G-JS Clark Academy'!O25-'Table 5C1G-JS Clark Academy'!R25</f>
        <v>0</v>
      </c>
      <c r="Q24" s="368">
        <f>-'Table 5C1H-Southwest LA Charter'!O25-'Table 5C1H-Southwest LA Charter'!R25</f>
        <v>0</v>
      </c>
      <c r="R24" s="368">
        <f>-'Table 5C2 - LA Virtual Admy'!P22-'Table 5C2 - LA Virtual Admy'!S22</f>
        <v>-16380</v>
      </c>
      <c r="S24" s="368">
        <f>-'Table 5C3 - LA Connections EBR'!P22-'Table 5C3 - LA Connections EBR'!S22</f>
        <v>-2047.5</v>
      </c>
      <c r="T24" s="368">
        <f>-'Table 5D1 - New Vision'!N25-'Table 5D1 - New Vision'!Q25</f>
        <v>0</v>
      </c>
      <c r="U24" s="368">
        <f>-'Table 5D2 - Glencoe'!N25-'Table 5D2 - Glencoe'!Q25</f>
        <v>0</v>
      </c>
      <c r="V24" s="368">
        <f>-'Table 5D3 - International'!N25-'Table 5D3 - International'!Q25</f>
        <v>0</v>
      </c>
      <c r="W24" s="368">
        <f>-'Table 5D4 - Avoyelles'!N25-'Table 5D4 - Avoyelles'!Q25</f>
        <v>0</v>
      </c>
      <c r="X24" s="368">
        <f>-'Table 5D5 - Delhi'!N25-'Table 5D5 - Delhi'!Q25</f>
        <v>0</v>
      </c>
      <c r="Y24" s="368">
        <f>-'Table 5D6 - Milestone'!N25-'Table 5D6 - Milestone'!Q25</f>
        <v>0</v>
      </c>
      <c r="Z24" s="368">
        <f>-'Table 5D7 - Max'!N25-'Table 5D7 - Max'!Q25</f>
        <v>0</v>
      </c>
      <c r="AA24" s="368">
        <f>-'Table 5D8 - Belle Chasse'!P25-'Table 5D8 - Belle Chasse'!U25</f>
        <v>0</v>
      </c>
      <c r="AB24" s="368">
        <f>-'Table 5E_OJJ'!P25-'Table 5E_OJJ'!Q25</f>
        <v>-718.71943253137476</v>
      </c>
      <c r="AC24" s="368">
        <f>-'Table 5F Scholarships'!G29</f>
        <v>0</v>
      </c>
      <c r="AD24" s="368">
        <f t="shared" si="21"/>
        <v>-59954.019432531371</v>
      </c>
      <c r="AE24" s="764">
        <f t="shared" si="20"/>
        <v>11728271.980567468</v>
      </c>
      <c r="AK24"/>
      <c r="AT24"/>
    </row>
    <row r="25" spans="1:46">
      <c r="A25" s="102">
        <v>20</v>
      </c>
      <c r="B25" s="312" t="s">
        <v>121</v>
      </c>
      <c r="C25" s="329">
        <f>'Table 2_State Distrib and Adjs'!AF26</f>
        <v>34973638</v>
      </c>
      <c r="D25" s="369">
        <f>-'Table 5A2 LSMSA'!K26</f>
        <v>-1935.811534748208</v>
      </c>
      <c r="E25" s="369">
        <f>-'Table 5A3 NOCCA'!K26</f>
        <v>0</v>
      </c>
      <c r="F25" s="369">
        <f>-'Table 5A4_LSDVI'!K26</f>
        <v>-8984.52</v>
      </c>
      <c r="G25" s="369">
        <f>-'Table 5A5_SSD'!K26</f>
        <v>-8984.52</v>
      </c>
      <c r="H25" s="369"/>
      <c r="I25" s="369"/>
      <c r="J25" s="369">
        <f>-'Table 5C1A-Madison Prep'!O26-'Table 5C1A-Madison Prep'!R26</f>
        <v>0</v>
      </c>
      <c r="K25" s="369">
        <f>-'Table 5C1B-DArbonne'!O26-'Table 5C1B-DArbonne'!R26</f>
        <v>0</v>
      </c>
      <c r="L25" s="369">
        <f>-'Table 5C1C-Intl_VIBE'!O26-'Table 5C1C-Intl_VIBE'!R26</f>
        <v>0</v>
      </c>
      <c r="M25" s="369">
        <f>-'Table 5C1D-NOMMA'!O26-'Table 5C1D-NOMMA'!R26</f>
        <v>0</v>
      </c>
      <c r="N25" s="369">
        <f>-'Table 5C1E-LFNO'!O26-'Table 5C1E-LFNO'!R26</f>
        <v>0</v>
      </c>
      <c r="O25" s="369">
        <f>-'Table 5C1F-Lake Charles Charter'!O26-'Table 5C1F-Lake Charles Charter'!R26</f>
        <v>0</v>
      </c>
      <c r="P25" s="369">
        <f>-'Table 5C1G-JS Clark Academy'!O26-'Table 5C1G-JS Clark Academy'!R26</f>
        <v>0</v>
      </c>
      <c r="Q25" s="369">
        <f>-'Table 5C1H-Southwest LA Charter'!O26-'Table 5C1H-Southwest LA Charter'!R26</f>
        <v>0</v>
      </c>
      <c r="R25" s="369">
        <f>-'Table 5C2 - LA Virtual Admy'!P23-'Table 5C2 - LA Virtual Admy'!S23</f>
        <v>-16617.600000000002</v>
      </c>
      <c r="S25" s="369">
        <f>-'Table 5C3 - LA Connections EBR'!P23-'Table 5C3 - LA Connections EBR'!S23</f>
        <v>-2077.2000000000003</v>
      </c>
      <c r="T25" s="369">
        <f>-'Table 5D1 - New Vision'!N26-'Table 5D1 - New Vision'!Q26</f>
        <v>0</v>
      </c>
      <c r="U25" s="369">
        <f>-'Table 5D2 - Glencoe'!N26-'Table 5D2 - Glencoe'!Q26</f>
        <v>0</v>
      </c>
      <c r="V25" s="369">
        <f>-'Table 5D3 - International'!N26-'Table 5D3 - International'!Q26</f>
        <v>0</v>
      </c>
      <c r="W25" s="369">
        <f>-'Table 5D4 - Avoyelles'!N26-'Table 5D4 - Avoyelles'!Q26</f>
        <v>0</v>
      </c>
      <c r="X25" s="369">
        <f>-'Table 5D5 - Delhi'!N26-'Table 5D5 - Delhi'!Q26</f>
        <v>0</v>
      </c>
      <c r="Y25" s="369">
        <f>-'Table 5D6 - Milestone'!N26-'Table 5D6 - Milestone'!Q26</f>
        <v>0</v>
      </c>
      <c r="Z25" s="369">
        <f>-'Table 5D7 - Max'!N26-'Table 5D7 - Max'!Q26</f>
        <v>0</v>
      </c>
      <c r="AA25" s="369">
        <f>-'Table 5D8 - Belle Chasse'!P26-'Table 5D8 - Belle Chasse'!U26</f>
        <v>0</v>
      </c>
      <c r="AB25" s="369">
        <f>-'Table 5E_OJJ'!P26-'Table 5E_OJJ'!Q26</f>
        <v>-10301.519497513109</v>
      </c>
      <c r="AC25" s="369">
        <f>-'Table 5F Scholarships'!G30</f>
        <v>0</v>
      </c>
      <c r="AD25" s="369">
        <f t="shared" si="21"/>
        <v>-48901.171032261314</v>
      </c>
      <c r="AE25" s="765">
        <f t="shared" si="20"/>
        <v>34924736.828967728</v>
      </c>
      <c r="AK25"/>
      <c r="AT25"/>
    </row>
    <row r="26" spans="1:46">
      <c r="A26" s="101">
        <v>21</v>
      </c>
      <c r="B26" s="311" t="s">
        <v>122</v>
      </c>
      <c r="C26" s="320">
        <f>'Table 2_State Distrib and Adjs'!AF27</f>
        <v>18612885</v>
      </c>
      <c r="D26" s="368">
        <f>-'Table 5A2 LSMSA'!K27</f>
        <v>0</v>
      </c>
      <c r="E26" s="368">
        <f>-'Table 5A3 NOCCA'!K27</f>
        <v>0</v>
      </c>
      <c r="F26" s="368">
        <f>-'Table 5A4_LSDVI'!K27</f>
        <v>0</v>
      </c>
      <c r="G26" s="368">
        <f>-'Table 5A5_SSD'!K27</f>
        <v>-2032.39</v>
      </c>
      <c r="H26" s="368"/>
      <c r="I26" s="368"/>
      <c r="J26" s="368">
        <f>-'Table 5C1A-Madison Prep'!O27-'Table 5C1A-Madison Prep'!R27</f>
        <v>0</v>
      </c>
      <c r="K26" s="368">
        <f>-'Table 5C1B-DArbonne'!O27-'Table 5C1B-DArbonne'!R27</f>
        <v>0</v>
      </c>
      <c r="L26" s="368">
        <f>-'Table 5C1C-Intl_VIBE'!O27-'Table 5C1C-Intl_VIBE'!R27</f>
        <v>0</v>
      </c>
      <c r="M26" s="368">
        <f>-'Table 5C1D-NOMMA'!O27-'Table 5C1D-NOMMA'!R27</f>
        <v>0</v>
      </c>
      <c r="N26" s="368">
        <f>-'Table 5C1E-LFNO'!O27-'Table 5C1E-LFNO'!R27</f>
        <v>0</v>
      </c>
      <c r="O26" s="368">
        <f>-'Table 5C1F-Lake Charles Charter'!O27-'Table 5C1F-Lake Charles Charter'!R27</f>
        <v>0</v>
      </c>
      <c r="P26" s="368">
        <f>-'Table 5C1G-JS Clark Academy'!O27-'Table 5C1G-JS Clark Academy'!R27</f>
        <v>0</v>
      </c>
      <c r="Q26" s="368">
        <f>-'Table 5C1H-Southwest LA Charter'!O27-'Table 5C1H-Southwest LA Charter'!R27</f>
        <v>0</v>
      </c>
      <c r="R26" s="368">
        <f>-'Table 5C2 - LA Virtual Admy'!P24-'Table 5C2 - LA Virtual Admy'!S24</f>
        <v>-6061.5</v>
      </c>
      <c r="S26" s="368">
        <f>-'Table 5C3 - LA Connections EBR'!P24-'Table 5C3 - LA Connections EBR'!S24</f>
        <v>-18184.5</v>
      </c>
      <c r="T26" s="368">
        <f>-'Table 5D1 - New Vision'!N27-'Table 5D1 - New Vision'!Q27</f>
        <v>0</v>
      </c>
      <c r="U26" s="368">
        <f>-'Table 5D2 - Glencoe'!N27-'Table 5D2 - Glencoe'!Q27</f>
        <v>0</v>
      </c>
      <c r="V26" s="368">
        <f>-'Table 5D3 - International'!N27-'Table 5D3 - International'!Q27</f>
        <v>0</v>
      </c>
      <c r="W26" s="368">
        <f>-'Table 5D4 - Avoyelles'!N27-'Table 5D4 - Avoyelles'!Q27</f>
        <v>0</v>
      </c>
      <c r="X26" s="368">
        <f>-'Table 5D5 - Delhi'!N27-'Table 5D5 - Delhi'!Q27</f>
        <v>-195315</v>
      </c>
      <c r="Y26" s="368">
        <f>-'Table 5D6 - Milestone'!N27-'Table 5D6 - Milestone'!Q27</f>
        <v>0</v>
      </c>
      <c r="Z26" s="368">
        <f>-'Table 5D7 - Max'!N27-'Table 5D7 - Max'!Q27</f>
        <v>0</v>
      </c>
      <c r="AA26" s="368">
        <f>-'Table 5D8 - Belle Chasse'!P27-'Table 5D8 - Belle Chasse'!U27</f>
        <v>0</v>
      </c>
      <c r="AB26" s="368">
        <f>-'Table 5E_OJJ'!P27-'Table 5E_OJJ'!Q27</f>
        <v>-8173.7486949860522</v>
      </c>
      <c r="AC26" s="368">
        <f>-'Table 5F Scholarships'!G31</f>
        <v>0</v>
      </c>
      <c r="AD26" s="368">
        <f t="shared" si="21"/>
        <v>-229767.13869498606</v>
      </c>
      <c r="AE26" s="764">
        <f t="shared" si="20"/>
        <v>18383117.861305013</v>
      </c>
      <c r="AK26"/>
      <c r="AT26"/>
    </row>
    <row r="27" spans="1:46">
      <c r="A27" s="101">
        <v>22</v>
      </c>
      <c r="B27" s="311" t="s">
        <v>123</v>
      </c>
      <c r="C27" s="320">
        <f>'Table 2_State Distrib and Adjs'!AF28</f>
        <v>21897238</v>
      </c>
      <c r="D27" s="368">
        <f>-'Table 5A2 LSMSA'!K28</f>
        <v>-2038.4377179833002</v>
      </c>
      <c r="E27" s="368">
        <f>-'Table 5A3 NOCCA'!K28</f>
        <v>0</v>
      </c>
      <c r="F27" s="368">
        <f>-'Table 5A4_LSDVI'!K28</f>
        <v>0</v>
      </c>
      <c r="G27" s="368">
        <f>-'Table 5A5_SSD'!K28</f>
        <v>-6297.76</v>
      </c>
      <c r="H27" s="368"/>
      <c r="I27" s="368"/>
      <c r="J27" s="368">
        <f>-'Table 5C1A-Madison Prep'!O28-'Table 5C1A-Madison Prep'!R28</f>
        <v>0</v>
      </c>
      <c r="K27" s="368">
        <f>-'Table 5C1B-DArbonne'!O28-'Table 5C1B-DArbonne'!R28</f>
        <v>0</v>
      </c>
      <c r="L27" s="368">
        <f>-'Table 5C1C-Intl_VIBE'!O28-'Table 5C1C-Intl_VIBE'!R28</f>
        <v>0</v>
      </c>
      <c r="M27" s="368">
        <f>-'Table 5C1D-NOMMA'!O28-'Table 5C1D-NOMMA'!R28</f>
        <v>0</v>
      </c>
      <c r="N27" s="368">
        <f>-'Table 5C1E-LFNO'!O28-'Table 5C1E-LFNO'!R28</f>
        <v>0</v>
      </c>
      <c r="O27" s="368">
        <f>-'Table 5C1F-Lake Charles Charter'!O28-'Table 5C1F-Lake Charles Charter'!R28</f>
        <v>0</v>
      </c>
      <c r="P27" s="368">
        <f>-'Table 5C1G-JS Clark Academy'!O28-'Table 5C1G-JS Clark Academy'!R28</f>
        <v>0</v>
      </c>
      <c r="Q27" s="368">
        <f>-'Table 5C1H-Southwest LA Charter'!O28-'Table 5C1H-Southwest LA Charter'!R28</f>
        <v>0</v>
      </c>
      <c r="R27" s="368">
        <f>-'Table 5C2 - LA Virtual Admy'!P25-'Table 5C2 - LA Virtual Admy'!S25</f>
        <v>-2601</v>
      </c>
      <c r="S27" s="368">
        <f>-'Table 5C3 - LA Connections EBR'!P25-'Table 5C3 - LA Connections EBR'!S25</f>
        <v>-10404</v>
      </c>
      <c r="T27" s="368">
        <f>-'Table 5D1 - New Vision'!N28-'Table 5D1 - New Vision'!Q28</f>
        <v>0</v>
      </c>
      <c r="U27" s="368">
        <f>-'Table 5D2 - Glencoe'!N28-'Table 5D2 - Glencoe'!Q28</f>
        <v>0</v>
      </c>
      <c r="V27" s="368">
        <f>-'Table 5D3 - International'!N28-'Table 5D3 - International'!Q28</f>
        <v>0</v>
      </c>
      <c r="W27" s="368">
        <f>-'Table 5D4 - Avoyelles'!N28-'Table 5D4 - Avoyelles'!Q28</f>
        <v>0</v>
      </c>
      <c r="X27" s="368">
        <f>-'Table 5D5 - Delhi'!N28-'Table 5D5 - Delhi'!Q28</f>
        <v>0</v>
      </c>
      <c r="Y27" s="368">
        <f>-'Table 5D6 - Milestone'!N28-'Table 5D6 - Milestone'!Q28</f>
        <v>0</v>
      </c>
      <c r="Z27" s="368">
        <f>-'Table 5D7 - Max'!N28-'Table 5D7 - Max'!Q28</f>
        <v>0</v>
      </c>
      <c r="AA27" s="368">
        <f>-'Table 5D8 - Belle Chasse'!P28-'Table 5D8 - Belle Chasse'!U28</f>
        <v>0</v>
      </c>
      <c r="AB27" s="368">
        <f>-'Table 5E_OJJ'!P28-'Table 5E_OJJ'!Q28</f>
        <v>-358.38452387876112</v>
      </c>
      <c r="AC27" s="368">
        <f>-'Table 5F Scholarships'!G32</f>
        <v>0</v>
      </c>
      <c r="AD27" s="368">
        <f t="shared" si="21"/>
        <v>-21699.582241862063</v>
      </c>
      <c r="AE27" s="764">
        <f t="shared" si="20"/>
        <v>21875538.417758137</v>
      </c>
      <c r="AK27"/>
      <c r="AT27"/>
    </row>
    <row r="28" spans="1:46">
      <c r="A28" s="101">
        <v>23</v>
      </c>
      <c r="B28" s="311" t="s">
        <v>124</v>
      </c>
      <c r="C28" s="320">
        <f>'Table 2_State Distrib and Adjs'!AF29</f>
        <v>72920970</v>
      </c>
      <c r="D28" s="368">
        <f>-'Table 5A2 LSMSA'!K29</f>
        <v>-1420.1652709444365</v>
      </c>
      <c r="E28" s="368">
        <f>-'Table 5A3 NOCCA'!K29</f>
        <v>0</v>
      </c>
      <c r="F28" s="368">
        <f>-'Table 5A4_LSDVI'!K29</f>
        <v>-6256.78</v>
      </c>
      <c r="G28" s="368">
        <f>-'Table 5A5_SSD'!K29</f>
        <v>-21898.73</v>
      </c>
      <c r="H28" s="368"/>
      <c r="I28" s="368"/>
      <c r="J28" s="368">
        <f>-'Table 5C1A-Madison Prep'!O29-'Table 5C1A-Madison Prep'!R29</f>
        <v>0</v>
      </c>
      <c r="K28" s="368">
        <f>-'Table 5C1B-DArbonne'!O29-'Table 5C1B-DArbonne'!R29</f>
        <v>0</v>
      </c>
      <c r="L28" s="368">
        <f>-'Table 5C1C-Intl_VIBE'!O29-'Table 5C1C-Intl_VIBE'!R29</f>
        <v>0</v>
      </c>
      <c r="M28" s="368">
        <f>-'Table 5C1D-NOMMA'!O29-'Table 5C1D-NOMMA'!R29</f>
        <v>0</v>
      </c>
      <c r="N28" s="368">
        <f>-'Table 5C1E-LFNO'!O29-'Table 5C1E-LFNO'!R29</f>
        <v>0</v>
      </c>
      <c r="O28" s="368">
        <f>-'Table 5C1F-Lake Charles Charter'!O29-'Table 5C1F-Lake Charles Charter'!R29</f>
        <v>0</v>
      </c>
      <c r="P28" s="368">
        <f>-'Table 5C1G-JS Clark Academy'!O29-'Table 5C1G-JS Clark Academy'!R29</f>
        <v>0</v>
      </c>
      <c r="Q28" s="368">
        <f>-'Table 5C1H-Southwest LA Charter'!O29-'Table 5C1H-Southwest LA Charter'!R29</f>
        <v>0</v>
      </c>
      <c r="R28" s="368">
        <f>-'Table 5C2 - LA Virtual Admy'!P26-'Table 5C2 - LA Virtual Admy'!S26</f>
        <v>-29655</v>
      </c>
      <c r="S28" s="368">
        <f>-'Table 5C3 - LA Connections EBR'!P26-'Table 5C3 - LA Connections EBR'!S26</f>
        <v>-32620.5</v>
      </c>
      <c r="T28" s="368">
        <f>-'Table 5D1 - New Vision'!N29-'Table 5D1 - New Vision'!Q29</f>
        <v>0</v>
      </c>
      <c r="U28" s="368">
        <f>-'Table 5D2 - Glencoe'!N29-'Table 5D2 - Glencoe'!Q29</f>
        <v>-257010</v>
      </c>
      <c r="V28" s="368">
        <f>-'Table 5D3 - International'!N29-'Table 5D3 - International'!Q29</f>
        <v>0</v>
      </c>
      <c r="W28" s="368">
        <f>-'Table 5D4 - Avoyelles'!N29-'Table 5D4 - Avoyelles'!Q29</f>
        <v>0</v>
      </c>
      <c r="X28" s="368">
        <f>-'Table 5D5 - Delhi'!N29-'Table 5D5 - Delhi'!Q29</f>
        <v>0</v>
      </c>
      <c r="Y28" s="368">
        <f>-'Table 5D6 - Milestone'!N29-'Table 5D6 - Milestone'!Q29</f>
        <v>0</v>
      </c>
      <c r="Z28" s="368">
        <f>-'Table 5D7 - Max'!N29-'Table 5D7 - Max'!Q29</f>
        <v>0</v>
      </c>
      <c r="AA28" s="368">
        <f>-'Table 5D8 - Belle Chasse'!P29-'Table 5D8 - Belle Chasse'!U29</f>
        <v>0</v>
      </c>
      <c r="AB28" s="368">
        <f>-'Table 5E_OJJ'!P29-'Table 5E_OJJ'!Q29</f>
        <v>-18953.463819296459</v>
      </c>
      <c r="AC28" s="368">
        <f>-'Table 5F Scholarships'!G33</f>
        <v>0</v>
      </c>
      <c r="AD28" s="368">
        <f t="shared" si="21"/>
        <v>-367814.63909024087</v>
      </c>
      <c r="AE28" s="764">
        <f t="shared" si="20"/>
        <v>72553155.36090976</v>
      </c>
      <c r="AK28"/>
      <c r="AT28"/>
    </row>
    <row r="29" spans="1:46">
      <c r="A29" s="101">
        <v>24</v>
      </c>
      <c r="B29" s="311" t="s">
        <v>125</v>
      </c>
      <c r="C29" s="320">
        <f>'Table 2_State Distrib and Adjs'!AF30</f>
        <v>15624233</v>
      </c>
      <c r="D29" s="368">
        <f>-'Table 5A2 LSMSA'!K30</f>
        <v>-3123.5586848367006</v>
      </c>
      <c r="E29" s="368">
        <f>-'Table 5A3 NOCCA'!K30</f>
        <v>0</v>
      </c>
      <c r="F29" s="368">
        <f>-'Table 5A4_LSDVI'!K30</f>
        <v>-37475.130000000005</v>
      </c>
      <c r="G29" s="368">
        <f>-'Table 5A5_SSD'!K30</f>
        <v>-5353.59</v>
      </c>
      <c r="H29" s="368"/>
      <c r="I29" s="368"/>
      <c r="J29" s="368">
        <f>-'Table 5C1A-Madison Prep'!O30-'Table 5C1A-Madison Prep'!R30</f>
        <v>0</v>
      </c>
      <c r="K29" s="368">
        <f>-'Table 5C1B-DArbonne'!O30-'Table 5C1B-DArbonne'!R30</f>
        <v>0</v>
      </c>
      <c r="L29" s="368">
        <f>-'Table 5C1C-Intl_VIBE'!O30-'Table 5C1C-Intl_VIBE'!R30</f>
        <v>0</v>
      </c>
      <c r="M29" s="368">
        <f>-'Table 5C1D-NOMMA'!O30-'Table 5C1D-NOMMA'!R30</f>
        <v>0</v>
      </c>
      <c r="N29" s="368">
        <f>-'Table 5C1E-LFNO'!O30-'Table 5C1E-LFNO'!R30</f>
        <v>0</v>
      </c>
      <c r="O29" s="368">
        <f>-'Table 5C1F-Lake Charles Charter'!O30-'Table 5C1F-Lake Charles Charter'!R30</f>
        <v>0</v>
      </c>
      <c r="P29" s="368">
        <f>-'Table 5C1G-JS Clark Academy'!O30-'Table 5C1G-JS Clark Academy'!R30</f>
        <v>0</v>
      </c>
      <c r="Q29" s="368">
        <f>-'Table 5C1H-Southwest LA Charter'!O30-'Table 5C1H-Southwest LA Charter'!R30</f>
        <v>0</v>
      </c>
      <c r="R29" s="368">
        <f>-'Table 5C2 - LA Virtual Admy'!P27-'Table 5C2 - LA Virtual Admy'!S27</f>
        <v>-71028.900000000009</v>
      </c>
      <c r="S29" s="368">
        <f>-'Table 5C3 - LA Connections EBR'!P27-'Table 5C3 - LA Connections EBR'!S27</f>
        <v>-7892.1</v>
      </c>
      <c r="T29" s="368">
        <f>-'Table 5D1 - New Vision'!N30-'Table 5D1 - New Vision'!Q30</f>
        <v>0</v>
      </c>
      <c r="U29" s="368">
        <f>-'Table 5D2 - Glencoe'!N30-'Table 5D2 - Glencoe'!Q30</f>
        <v>0</v>
      </c>
      <c r="V29" s="368">
        <f>-'Table 5D3 - International'!N30-'Table 5D3 - International'!Q30</f>
        <v>0</v>
      </c>
      <c r="W29" s="368">
        <f>-'Table 5D4 - Avoyelles'!N30-'Table 5D4 - Avoyelles'!Q30</f>
        <v>0</v>
      </c>
      <c r="X29" s="368">
        <f>-'Table 5D5 - Delhi'!N30-'Table 5D5 - Delhi'!Q30</f>
        <v>0</v>
      </c>
      <c r="Y29" s="368">
        <f>-'Table 5D6 - Milestone'!N30-'Table 5D6 - Milestone'!Q30</f>
        <v>0</v>
      </c>
      <c r="Z29" s="368">
        <f>-'Table 5D7 - Max'!N30-'Table 5D7 - Max'!Q30</f>
        <v>0</v>
      </c>
      <c r="AA29" s="368">
        <f>-'Table 5D8 - Belle Chasse'!P30-'Table 5D8 - Belle Chasse'!U30</f>
        <v>0</v>
      </c>
      <c r="AB29" s="368">
        <f>-'Table 5E_OJJ'!P30-'Table 5E_OJJ'!Q30</f>
        <v>-10023.014600741617</v>
      </c>
      <c r="AC29" s="368">
        <f>-'Table 5F Scholarships'!G34</f>
        <v>0</v>
      </c>
      <c r="AD29" s="368">
        <f t="shared" si="21"/>
        <v>-134896.29328557834</v>
      </c>
      <c r="AE29" s="764">
        <f t="shared" si="20"/>
        <v>15489336.706714422</v>
      </c>
      <c r="AK29"/>
      <c r="AT29"/>
    </row>
    <row r="30" spans="1:46">
      <c r="A30" s="102">
        <v>25</v>
      </c>
      <c r="B30" s="312" t="s">
        <v>126</v>
      </c>
      <c r="C30" s="329">
        <f>'Table 2_State Distrib and Adjs'!AF31</f>
        <v>10013271</v>
      </c>
      <c r="D30" s="369">
        <f>-'Table 5A2 LSMSA'!K31</f>
        <v>0</v>
      </c>
      <c r="E30" s="369">
        <f>-'Table 5A3 NOCCA'!K31</f>
        <v>0</v>
      </c>
      <c r="F30" s="369">
        <f>-'Table 5A4_LSDVI'!K31</f>
        <v>0</v>
      </c>
      <c r="G30" s="369">
        <f>-'Table 5A5_SSD'!K31</f>
        <v>0</v>
      </c>
      <c r="H30" s="369"/>
      <c r="I30" s="369"/>
      <c r="J30" s="369">
        <f>-'Table 5C1A-Madison Prep'!O31-'Table 5C1A-Madison Prep'!R31</f>
        <v>0</v>
      </c>
      <c r="K30" s="369">
        <f>-'Table 5C1B-DArbonne'!O31-'Table 5C1B-DArbonne'!R31</f>
        <v>0</v>
      </c>
      <c r="L30" s="369">
        <f>-'Table 5C1C-Intl_VIBE'!O31-'Table 5C1C-Intl_VIBE'!R31</f>
        <v>0</v>
      </c>
      <c r="M30" s="369">
        <f>-'Table 5C1D-NOMMA'!O31-'Table 5C1D-NOMMA'!R31</f>
        <v>0</v>
      </c>
      <c r="N30" s="369">
        <f>-'Table 5C1E-LFNO'!O31-'Table 5C1E-LFNO'!R31</f>
        <v>0</v>
      </c>
      <c r="O30" s="369">
        <f>-'Table 5C1F-Lake Charles Charter'!O31-'Table 5C1F-Lake Charles Charter'!R31</f>
        <v>0</v>
      </c>
      <c r="P30" s="369">
        <f>-'Table 5C1G-JS Clark Academy'!O31-'Table 5C1G-JS Clark Academy'!R31</f>
        <v>0</v>
      </c>
      <c r="Q30" s="369">
        <f>-'Table 5C1H-Southwest LA Charter'!O31-'Table 5C1H-Southwest LA Charter'!R31</f>
        <v>0</v>
      </c>
      <c r="R30" s="369">
        <f>-'Table 5C2 - LA Virtual Admy'!P28-'Table 5C2 - LA Virtual Admy'!S28</f>
        <v>-9336.6</v>
      </c>
      <c r="S30" s="369">
        <f>-'Table 5C3 - LA Connections EBR'!P28-'Table 5C3 - LA Connections EBR'!S28</f>
        <v>0</v>
      </c>
      <c r="T30" s="369">
        <f>-'Table 5D1 - New Vision'!N31-'Table 5D1 - New Vision'!Q31</f>
        <v>0</v>
      </c>
      <c r="U30" s="369">
        <f>-'Table 5D2 - Glencoe'!N31-'Table 5D2 - Glencoe'!Q31</f>
        <v>0</v>
      </c>
      <c r="V30" s="369">
        <f>-'Table 5D3 - International'!N31-'Table 5D3 - International'!Q31</f>
        <v>0</v>
      </c>
      <c r="W30" s="369">
        <f>-'Table 5D4 - Avoyelles'!N31-'Table 5D4 - Avoyelles'!Q31</f>
        <v>0</v>
      </c>
      <c r="X30" s="369">
        <f>-'Table 5D5 - Delhi'!N31-'Table 5D5 - Delhi'!Q31</f>
        <v>0</v>
      </c>
      <c r="Y30" s="369">
        <f>-'Table 5D6 - Milestone'!N31-'Table 5D6 - Milestone'!Q31</f>
        <v>0</v>
      </c>
      <c r="Z30" s="369">
        <f>-'Table 5D7 - Max'!N31-'Table 5D7 - Max'!Q31</f>
        <v>0</v>
      </c>
      <c r="AA30" s="369">
        <f>-'Table 5D8 - Belle Chasse'!P31-'Table 5D8 - Belle Chasse'!U31</f>
        <v>0</v>
      </c>
      <c r="AB30" s="369">
        <f>-'Table 5E_OJJ'!P31-'Table 5E_OJJ'!Q31</f>
        <v>-1726.6788906545407</v>
      </c>
      <c r="AC30" s="369">
        <f>-'Table 5F Scholarships'!G35</f>
        <v>0</v>
      </c>
      <c r="AD30" s="369">
        <f t="shared" si="21"/>
        <v>-11063.278890654541</v>
      </c>
      <c r="AE30" s="765">
        <f t="shared" si="20"/>
        <v>10002207.721109346</v>
      </c>
      <c r="AK30"/>
      <c r="AT30"/>
    </row>
    <row r="31" spans="1:46">
      <c r="A31" s="101">
        <v>26</v>
      </c>
      <c r="B31" s="311" t="s">
        <v>127</v>
      </c>
      <c r="C31" s="320">
        <f>'Table 2_State Distrib and Adjs'!AF32</f>
        <v>173068627</v>
      </c>
      <c r="D31" s="368">
        <f>-'Table 5A2 LSMSA'!K32</f>
        <v>-24612.173473498267</v>
      </c>
      <c r="E31" s="368">
        <f>-'Table 5A3 NOCCA'!K32</f>
        <v>-106652.75171849249</v>
      </c>
      <c r="F31" s="368">
        <f>-'Table 5A4_LSDVI'!K32</f>
        <v>-29068.02</v>
      </c>
      <c r="G31" s="368">
        <f>-'Table 5A5_SSD'!K32</f>
        <v>-130806.09</v>
      </c>
      <c r="H31" s="368"/>
      <c r="I31" s="368"/>
      <c r="J31" s="368">
        <f>-'Table 5C1A-Madison Prep'!O32-'Table 5C1A-Madison Prep'!R32</f>
        <v>0</v>
      </c>
      <c r="K31" s="368">
        <f>-'Table 5C1B-DArbonne'!O32-'Table 5C1B-DArbonne'!R32</f>
        <v>0</v>
      </c>
      <c r="L31" s="368">
        <f>-'Table 5C1C-Intl_VIBE'!O32-'Table 5C1C-Intl_VIBE'!R32</f>
        <v>-128632</v>
      </c>
      <c r="M31" s="368">
        <f>-'Table 5C1D-NOMMA'!O32-'Table 5C1D-NOMMA'!R32</f>
        <v>-219372</v>
      </c>
      <c r="N31" s="368">
        <f>-'Table 5C1E-LFNO'!O32-'Table 5C1E-LFNO'!R32</f>
        <v>-62364</v>
      </c>
      <c r="O31" s="368">
        <f>-'Table 5C1F-Lake Charles Charter'!O32-'Table 5C1F-Lake Charles Charter'!R32</f>
        <v>0</v>
      </c>
      <c r="P31" s="368">
        <f>-'Table 5C1G-JS Clark Academy'!O32-'Table 5C1G-JS Clark Academy'!R32</f>
        <v>0</v>
      </c>
      <c r="Q31" s="368">
        <f>-'Table 5C1H-Southwest LA Charter'!O32-'Table 5C1H-Southwest LA Charter'!R32</f>
        <v>0</v>
      </c>
      <c r="R31" s="368">
        <f>-'Table 5C2 - LA Virtual Admy'!P29-'Table 5C2 - LA Virtual Admy'!S29</f>
        <v>-477084.60000000003</v>
      </c>
      <c r="S31" s="368">
        <f>-'Table 5C3 - LA Connections EBR'!P29-'Table 5C3 - LA Connections EBR'!S29</f>
        <v>-182414.7</v>
      </c>
      <c r="T31" s="368">
        <f>-'Table 5D1 - New Vision'!N32-'Table 5D1 - New Vision'!Q32</f>
        <v>0</v>
      </c>
      <c r="U31" s="368">
        <f>-'Table 5D2 - Glencoe'!N32-'Table 5D2 - Glencoe'!Q32</f>
        <v>0</v>
      </c>
      <c r="V31" s="368">
        <f>-'Table 5D3 - International'!N32-'Table 5D3 - International'!Q32</f>
        <v>-886642</v>
      </c>
      <c r="W31" s="368">
        <f>-'Table 5D4 - Avoyelles'!N32-'Table 5D4 - Avoyelles'!Q32</f>
        <v>0</v>
      </c>
      <c r="X31" s="368">
        <f>-'Table 5D5 - Delhi'!N32-'Table 5D5 - Delhi'!Q32</f>
        <v>0</v>
      </c>
      <c r="Y31" s="368">
        <f>-'Table 5D6 - Milestone'!N32-'Table 5D6 - Milestone'!Q32</f>
        <v>-348199</v>
      </c>
      <c r="Z31" s="368">
        <f>-'Table 5D7 - Max'!N32-'Table 5D7 - Max'!Q32</f>
        <v>0</v>
      </c>
      <c r="AA31" s="368">
        <f>-'Table 5D8 - Belle Chasse'!P32-'Table 5D8 - Belle Chasse'!U32</f>
        <v>-1288856</v>
      </c>
      <c r="AB31" s="368">
        <f>-'Table 5E_OJJ'!P32-'Table 5E_OJJ'!Q32</f>
        <v>-169554.8823636391</v>
      </c>
      <c r="AC31" s="368">
        <f>-'Table 5F Scholarships'!G36</f>
        <v>0</v>
      </c>
      <c r="AD31" s="368">
        <f t="shared" si="21"/>
        <v>-4054258.21755563</v>
      </c>
      <c r="AE31" s="764">
        <f t="shared" si="20"/>
        <v>169014368.78244436</v>
      </c>
      <c r="AK31"/>
      <c r="AT31"/>
    </row>
    <row r="32" spans="1:46">
      <c r="A32" s="101">
        <v>27</v>
      </c>
      <c r="B32" s="311" t="s">
        <v>128</v>
      </c>
      <c r="C32" s="320">
        <f>'Table 2_State Distrib and Adjs'!AF33</f>
        <v>35530770</v>
      </c>
      <c r="D32" s="368">
        <f>-'Table 5A2 LSMSA'!K33</f>
        <v>0</v>
      </c>
      <c r="E32" s="368">
        <f>-'Table 5A3 NOCCA'!K33</f>
        <v>0</v>
      </c>
      <c r="F32" s="368">
        <f>-'Table 5A4_LSDVI'!K33</f>
        <v>-3055.18</v>
      </c>
      <c r="G32" s="368">
        <f>-'Table 5A5_SSD'!K33</f>
        <v>-3055.18</v>
      </c>
      <c r="H32" s="368"/>
      <c r="I32" s="368"/>
      <c r="J32" s="368">
        <f>-'Table 5C1A-Madison Prep'!O33-'Table 5C1A-Madison Prep'!R33</f>
        <v>0</v>
      </c>
      <c r="K32" s="368">
        <f>-'Table 5C1B-DArbonne'!O33-'Table 5C1B-DArbonne'!R33</f>
        <v>0</v>
      </c>
      <c r="L32" s="368">
        <f>-'Table 5C1C-Intl_VIBE'!O33-'Table 5C1C-Intl_VIBE'!R33</f>
        <v>0</v>
      </c>
      <c r="M32" s="368">
        <f>-'Table 5C1D-NOMMA'!O33-'Table 5C1D-NOMMA'!R33</f>
        <v>0</v>
      </c>
      <c r="N32" s="368">
        <f>-'Table 5C1E-LFNO'!O33-'Table 5C1E-LFNO'!R33</f>
        <v>0</v>
      </c>
      <c r="O32" s="368">
        <f>-'Table 5C1F-Lake Charles Charter'!O33-'Table 5C1F-Lake Charles Charter'!R33</f>
        <v>-12292</v>
      </c>
      <c r="P32" s="368">
        <f>-'Table 5C1G-JS Clark Academy'!O33-'Table 5C1G-JS Clark Academy'!R33</f>
        <v>0</v>
      </c>
      <c r="Q32" s="368">
        <f>-'Table 5C1H-Southwest LA Charter'!O33-'Table 5C1H-Southwest LA Charter'!R33</f>
        <v>0</v>
      </c>
      <c r="R32" s="368">
        <f>-'Table 5C2 - LA Virtual Admy'!P30-'Table 5C2 - LA Virtual Admy'!S30</f>
        <v>-22125.600000000002</v>
      </c>
      <c r="S32" s="368">
        <f>-'Table 5C3 - LA Connections EBR'!P30-'Table 5C3 - LA Connections EBR'!S30</f>
        <v>-8297.1</v>
      </c>
      <c r="T32" s="368">
        <f>-'Table 5D1 - New Vision'!N33-'Table 5D1 - New Vision'!Q33</f>
        <v>0</v>
      </c>
      <c r="U32" s="368">
        <f>-'Table 5D2 - Glencoe'!N33-'Table 5D2 - Glencoe'!Q33</f>
        <v>0</v>
      </c>
      <c r="V32" s="368">
        <f>-'Table 5D3 - International'!N33-'Table 5D3 - International'!Q33</f>
        <v>0</v>
      </c>
      <c r="W32" s="368">
        <f>-'Table 5D4 - Avoyelles'!N33-'Table 5D4 - Avoyelles'!Q33</f>
        <v>0</v>
      </c>
      <c r="X32" s="368">
        <f>-'Table 5D5 - Delhi'!N33-'Table 5D5 - Delhi'!Q33</f>
        <v>0</v>
      </c>
      <c r="Y32" s="368">
        <f>-'Table 5D6 - Milestone'!N33-'Table 5D6 - Milestone'!Q33</f>
        <v>0</v>
      </c>
      <c r="Z32" s="368">
        <f>-'Table 5D7 - Max'!N33-'Table 5D7 - Max'!Q33</f>
        <v>0</v>
      </c>
      <c r="AA32" s="368">
        <f>-'Table 5D8 - Belle Chasse'!P33-'Table 5D8 - Belle Chasse'!U33</f>
        <v>0</v>
      </c>
      <c r="AB32" s="368">
        <f>-'Table 5E_OJJ'!P33-'Table 5E_OJJ'!Q33</f>
        <v>-8061.8965217639015</v>
      </c>
      <c r="AC32" s="368">
        <f>-'Table 5F Scholarships'!G37</f>
        <v>0</v>
      </c>
      <c r="AD32" s="368">
        <f t="shared" si="21"/>
        <v>-56886.956521763903</v>
      </c>
      <c r="AE32" s="764">
        <f t="shared" si="20"/>
        <v>35473883.043478236</v>
      </c>
      <c r="AK32"/>
      <c r="AT32"/>
    </row>
    <row r="33" spans="1:46">
      <c r="A33" s="101">
        <v>28</v>
      </c>
      <c r="B33" s="311" t="s">
        <v>129</v>
      </c>
      <c r="C33" s="320">
        <f>'Table 2_State Distrib and Adjs'!AF34</f>
        <v>114939850</v>
      </c>
      <c r="D33" s="368">
        <f>-'Table 5A2 LSMSA'!K34</f>
        <v>-19225.304992707257</v>
      </c>
      <c r="E33" s="368">
        <f>-'Table 5A3 NOCCA'!K34</f>
        <v>0</v>
      </c>
      <c r="F33" s="368">
        <f>-'Table 5A4_LSDVI'!K34</f>
        <v>-4167.09</v>
      </c>
      <c r="G33" s="368">
        <f>-'Table 5A5_SSD'!K34</f>
        <v>-29169.63</v>
      </c>
      <c r="H33" s="368"/>
      <c r="I33" s="368"/>
      <c r="J33" s="368">
        <f>-'Table 5C1A-Madison Prep'!O34-'Table 5C1A-Madison Prep'!R34</f>
        <v>0</v>
      </c>
      <c r="K33" s="368">
        <f>-'Table 5C1B-DArbonne'!O34-'Table 5C1B-DArbonne'!R34</f>
        <v>0</v>
      </c>
      <c r="L33" s="368">
        <f>-'Table 5C1C-Intl_VIBE'!O34-'Table 5C1C-Intl_VIBE'!R34</f>
        <v>0</v>
      </c>
      <c r="M33" s="368">
        <f>-'Table 5C1D-NOMMA'!O34-'Table 5C1D-NOMMA'!R34</f>
        <v>0</v>
      </c>
      <c r="N33" s="368">
        <f>-'Table 5C1E-LFNO'!O34-'Table 5C1E-LFNO'!R34</f>
        <v>0</v>
      </c>
      <c r="O33" s="368">
        <f>-'Table 5C1F-Lake Charles Charter'!O34-'Table 5C1F-Lake Charles Charter'!R34</f>
        <v>0</v>
      </c>
      <c r="P33" s="368">
        <f>-'Table 5C1G-JS Clark Academy'!O34-'Table 5C1G-JS Clark Academy'!R34</f>
        <v>0</v>
      </c>
      <c r="Q33" s="368">
        <f>-'Table 5C1H-Southwest LA Charter'!O34-'Table 5C1H-Southwest LA Charter'!R34</f>
        <v>0</v>
      </c>
      <c r="R33" s="368">
        <f>-'Table 5C2 - LA Virtual Admy'!P31-'Table 5C2 - LA Virtual Admy'!S31</f>
        <v>-237880.80000000002</v>
      </c>
      <c r="S33" s="368">
        <f>-'Table 5C3 - LA Connections EBR'!P31-'Table 5C3 - LA Connections EBR'!S31</f>
        <v>-105197.40000000001</v>
      </c>
      <c r="T33" s="368">
        <f>-'Table 5D1 - New Vision'!N34-'Table 5D1 - New Vision'!Q34</f>
        <v>0</v>
      </c>
      <c r="U33" s="368">
        <f>-'Table 5D2 - Glencoe'!N34-'Table 5D2 - Glencoe'!Q34</f>
        <v>-5082</v>
      </c>
      <c r="V33" s="368">
        <f>-'Table 5D3 - International'!N34-'Table 5D3 - International'!Q34</f>
        <v>0</v>
      </c>
      <c r="W33" s="368">
        <f>-'Table 5D4 - Avoyelles'!N34-'Table 5D4 - Avoyelles'!Q34</f>
        <v>0</v>
      </c>
      <c r="X33" s="368">
        <f>-'Table 5D5 - Delhi'!N34-'Table 5D5 - Delhi'!Q34</f>
        <v>0</v>
      </c>
      <c r="Y33" s="368">
        <f>-'Table 5D6 - Milestone'!N34-'Table 5D6 - Milestone'!Q34</f>
        <v>0</v>
      </c>
      <c r="Z33" s="368">
        <f>-'Table 5D7 - Max'!N34-'Table 5D7 - Max'!Q34</f>
        <v>0</v>
      </c>
      <c r="AA33" s="368">
        <f>-'Table 5D8 - Belle Chasse'!P34-'Table 5D8 - Belle Chasse'!U34</f>
        <v>0</v>
      </c>
      <c r="AB33" s="368">
        <f>-'Table 5E_OJJ'!P34-'Table 5E_OJJ'!Q34</f>
        <v>-31405.80439636677</v>
      </c>
      <c r="AC33" s="368">
        <f>-'Table 5F Scholarships'!G38</f>
        <v>0</v>
      </c>
      <c r="AD33" s="368">
        <f t="shared" si="21"/>
        <v>-432128.02938907407</v>
      </c>
      <c r="AE33" s="764">
        <f t="shared" si="20"/>
        <v>114507721.97061093</v>
      </c>
      <c r="AK33"/>
      <c r="AT33"/>
    </row>
    <row r="34" spans="1:46">
      <c r="A34" s="101">
        <v>29</v>
      </c>
      <c r="B34" s="311" t="s">
        <v>130</v>
      </c>
      <c r="C34" s="320">
        <f>'Table 2_State Distrib and Adjs'!AF35</f>
        <v>63512913</v>
      </c>
      <c r="D34" s="368">
        <f>-'Table 5A2 LSMSA'!K35</f>
        <v>-5636.894035045133</v>
      </c>
      <c r="E34" s="368">
        <f>-'Table 5A3 NOCCA'!K35</f>
        <v>0</v>
      </c>
      <c r="F34" s="368">
        <f>-'Table 5A4_LSDVI'!K35</f>
        <v>0</v>
      </c>
      <c r="G34" s="368">
        <f>-'Table 5A5_SSD'!K35</f>
        <v>-10785.150000000001</v>
      </c>
      <c r="H34" s="368"/>
      <c r="I34" s="368"/>
      <c r="J34" s="368">
        <f>-'Table 5C1A-Madison Prep'!O35-'Table 5C1A-Madison Prep'!R35</f>
        <v>0</v>
      </c>
      <c r="K34" s="368">
        <f>-'Table 5C1B-DArbonne'!O35-'Table 5C1B-DArbonne'!R35</f>
        <v>0</v>
      </c>
      <c r="L34" s="368">
        <f>-'Table 5C1C-Intl_VIBE'!O35-'Table 5C1C-Intl_VIBE'!R35</f>
        <v>0</v>
      </c>
      <c r="M34" s="368">
        <f>-'Table 5C1D-NOMMA'!O35-'Table 5C1D-NOMMA'!R35</f>
        <v>0</v>
      </c>
      <c r="N34" s="368">
        <f>-'Table 5C1E-LFNO'!O35-'Table 5C1E-LFNO'!R35</f>
        <v>0</v>
      </c>
      <c r="O34" s="368">
        <f>-'Table 5C1F-Lake Charles Charter'!O35-'Table 5C1F-Lake Charles Charter'!R35</f>
        <v>0</v>
      </c>
      <c r="P34" s="368">
        <f>-'Table 5C1G-JS Clark Academy'!O35-'Table 5C1G-JS Clark Academy'!R35</f>
        <v>0</v>
      </c>
      <c r="Q34" s="368">
        <f>-'Table 5C1H-Southwest LA Charter'!O35-'Table 5C1H-Southwest LA Charter'!R35</f>
        <v>0</v>
      </c>
      <c r="R34" s="368">
        <f>-'Table 5C2 - LA Virtual Admy'!P32-'Table 5C2 - LA Virtual Admy'!S32</f>
        <v>-69579</v>
      </c>
      <c r="S34" s="368">
        <f>-'Table 5C3 - LA Connections EBR'!P32-'Table 5C3 - LA Connections EBR'!S32</f>
        <v>-19327.5</v>
      </c>
      <c r="T34" s="368">
        <f>-'Table 5D1 - New Vision'!N35-'Table 5D1 - New Vision'!Q35</f>
        <v>0</v>
      </c>
      <c r="U34" s="368">
        <f>-'Table 5D2 - Glencoe'!N35-'Table 5D2 - Glencoe'!Q35</f>
        <v>0</v>
      </c>
      <c r="V34" s="368">
        <f>-'Table 5D3 - International'!N35-'Table 5D3 - International'!Q35</f>
        <v>0</v>
      </c>
      <c r="W34" s="368">
        <f>-'Table 5D4 - Avoyelles'!N35-'Table 5D4 - Avoyelles'!Q35</f>
        <v>0</v>
      </c>
      <c r="X34" s="368">
        <f>-'Table 5D5 - Delhi'!N35-'Table 5D5 - Delhi'!Q35</f>
        <v>0</v>
      </c>
      <c r="Y34" s="368">
        <f>-'Table 5D6 - Milestone'!N35-'Table 5D6 - Milestone'!Q35</f>
        <v>0</v>
      </c>
      <c r="Z34" s="368">
        <f>-'Table 5D7 - Max'!N35-'Table 5D7 - Max'!Q35</f>
        <v>-223340</v>
      </c>
      <c r="AA34" s="368">
        <f>-'Table 5D8 - Belle Chasse'!P35-'Table 5D8 - Belle Chasse'!U35</f>
        <v>0</v>
      </c>
      <c r="AB34" s="368">
        <f>-'Table 5E_OJJ'!P35-'Table 5E_OJJ'!Q35</f>
        <v>-67586.842206795118</v>
      </c>
      <c r="AC34" s="368">
        <f>-'Table 5F Scholarships'!G39</f>
        <v>0</v>
      </c>
      <c r="AD34" s="368">
        <f t="shared" si="21"/>
        <v>-396255.38624184026</v>
      </c>
      <c r="AE34" s="764">
        <f t="shared" si="20"/>
        <v>63116657.613758154</v>
      </c>
      <c r="AK34"/>
      <c r="AT34"/>
    </row>
    <row r="35" spans="1:46">
      <c r="A35" s="102">
        <v>30</v>
      </c>
      <c r="B35" s="312" t="s">
        <v>131</v>
      </c>
      <c r="C35" s="329">
        <f>'Table 2_State Distrib and Adjs'!AF36</f>
        <v>15375094</v>
      </c>
      <c r="D35" s="369">
        <f>-'Table 5A2 LSMSA'!K36</f>
        <v>-1062.9859077242629</v>
      </c>
      <c r="E35" s="369">
        <f>-'Table 5A3 NOCCA'!K36</f>
        <v>0</v>
      </c>
      <c r="F35" s="369">
        <f>-'Table 5A4_LSDVI'!K36</f>
        <v>0</v>
      </c>
      <c r="G35" s="369">
        <f>-'Table 5A5_SSD'!K36</f>
        <v>-2994.12</v>
      </c>
      <c r="H35" s="369"/>
      <c r="I35" s="369"/>
      <c r="J35" s="369">
        <f>-'Table 5C1A-Madison Prep'!O36-'Table 5C1A-Madison Prep'!R36</f>
        <v>0</v>
      </c>
      <c r="K35" s="369">
        <f>-'Table 5C1B-DArbonne'!O36-'Table 5C1B-DArbonne'!R36</f>
        <v>0</v>
      </c>
      <c r="L35" s="369">
        <f>-'Table 5C1C-Intl_VIBE'!O36-'Table 5C1C-Intl_VIBE'!R36</f>
        <v>0</v>
      </c>
      <c r="M35" s="369">
        <f>-'Table 5C1D-NOMMA'!O36-'Table 5C1D-NOMMA'!R36</f>
        <v>0</v>
      </c>
      <c r="N35" s="369">
        <f>-'Table 5C1E-LFNO'!O36-'Table 5C1E-LFNO'!R36</f>
        <v>0</v>
      </c>
      <c r="O35" s="369">
        <f>-'Table 5C1F-Lake Charles Charter'!O36-'Table 5C1F-Lake Charles Charter'!R36</f>
        <v>0</v>
      </c>
      <c r="P35" s="369">
        <f>-'Table 5C1G-JS Clark Academy'!O36-'Table 5C1G-JS Clark Academy'!R36</f>
        <v>0</v>
      </c>
      <c r="Q35" s="369">
        <f>-'Table 5C1H-Southwest LA Charter'!O36-'Table 5C1H-Southwest LA Charter'!R36</f>
        <v>0</v>
      </c>
      <c r="R35" s="369">
        <f>-'Table 5C2 - LA Virtual Admy'!P33-'Table 5C2 - LA Virtual Admy'!S33</f>
        <v>-3197.7000000000003</v>
      </c>
      <c r="S35" s="369">
        <f>-'Table 5C3 - LA Connections EBR'!P33-'Table 5C3 - LA Connections EBR'!S33</f>
        <v>-9593.1</v>
      </c>
      <c r="T35" s="369">
        <f>-'Table 5D1 - New Vision'!N36-'Table 5D1 - New Vision'!Q36</f>
        <v>0</v>
      </c>
      <c r="U35" s="369">
        <f>-'Table 5D2 - Glencoe'!N36-'Table 5D2 - Glencoe'!Q36</f>
        <v>0</v>
      </c>
      <c r="V35" s="369">
        <f>-'Table 5D3 - International'!N36-'Table 5D3 - International'!Q36</f>
        <v>0</v>
      </c>
      <c r="W35" s="369">
        <f>-'Table 5D4 - Avoyelles'!N36-'Table 5D4 - Avoyelles'!Q36</f>
        <v>0</v>
      </c>
      <c r="X35" s="369">
        <f>-'Table 5D5 - Delhi'!N36-'Table 5D5 - Delhi'!Q36</f>
        <v>0</v>
      </c>
      <c r="Y35" s="369">
        <f>-'Table 5D6 - Milestone'!N36-'Table 5D6 - Milestone'!Q36</f>
        <v>0</v>
      </c>
      <c r="Z35" s="369">
        <f>-'Table 5D7 - Max'!N36-'Table 5D7 - Max'!Q36</f>
        <v>0</v>
      </c>
      <c r="AA35" s="369">
        <f>-'Table 5D8 - Belle Chasse'!P36-'Table 5D8 - Belle Chasse'!U36</f>
        <v>0</v>
      </c>
      <c r="AB35" s="369">
        <f>-'Table 5E_OJJ'!P36-'Table 5E_OJJ'!Q36</f>
        <v>0</v>
      </c>
      <c r="AC35" s="369">
        <f>-'Table 5F Scholarships'!G40</f>
        <v>0</v>
      </c>
      <c r="AD35" s="369">
        <f t="shared" si="21"/>
        <v>-16847.905907724264</v>
      </c>
      <c r="AE35" s="765">
        <f t="shared" si="20"/>
        <v>15358246.094092278</v>
      </c>
      <c r="AK35"/>
      <c r="AT35"/>
    </row>
    <row r="36" spans="1:46">
      <c r="A36" s="101">
        <v>31</v>
      </c>
      <c r="B36" s="311" t="s">
        <v>132</v>
      </c>
      <c r="C36" s="320">
        <f>'Table 2_State Distrib and Adjs'!AF37</f>
        <v>30813758</v>
      </c>
      <c r="D36" s="368">
        <f>-'Table 5A2 LSMSA'!K37</f>
        <v>0</v>
      </c>
      <c r="E36" s="368">
        <f>-'Table 5A3 NOCCA'!K37</f>
        <v>0</v>
      </c>
      <c r="F36" s="368">
        <f>-'Table 5A4_LSDVI'!K37</f>
        <v>-11260.349999999999</v>
      </c>
      <c r="G36" s="368">
        <f>-'Table 5A5_SSD'!K37</f>
        <v>-18767.25</v>
      </c>
      <c r="H36" s="368"/>
      <c r="I36" s="368"/>
      <c r="J36" s="368">
        <f>-'Table 5C1A-Madison Prep'!O37-'Table 5C1A-Madison Prep'!R37</f>
        <v>0</v>
      </c>
      <c r="K36" s="368">
        <f>-'Table 5C1B-DArbonne'!O37-'Table 5C1B-DArbonne'!R37</f>
        <v>-9438</v>
      </c>
      <c r="L36" s="368">
        <f>-'Table 5C1C-Intl_VIBE'!O37-'Table 5C1C-Intl_VIBE'!R37</f>
        <v>0</v>
      </c>
      <c r="M36" s="368">
        <f>-'Table 5C1D-NOMMA'!O37-'Table 5C1D-NOMMA'!R37</f>
        <v>0</v>
      </c>
      <c r="N36" s="368">
        <f>-'Table 5C1E-LFNO'!O37-'Table 5C1E-LFNO'!R37</f>
        <v>0</v>
      </c>
      <c r="O36" s="368">
        <f>-'Table 5C1F-Lake Charles Charter'!O37-'Table 5C1F-Lake Charles Charter'!R37</f>
        <v>0</v>
      </c>
      <c r="P36" s="368">
        <f>-'Table 5C1G-JS Clark Academy'!O37-'Table 5C1G-JS Clark Academy'!R37</f>
        <v>0</v>
      </c>
      <c r="Q36" s="368">
        <f>-'Table 5C1H-Southwest LA Charter'!O37-'Table 5C1H-Southwest LA Charter'!R37</f>
        <v>0</v>
      </c>
      <c r="R36" s="368">
        <f>-'Table 5C2 - LA Virtual Admy'!P34-'Table 5C2 - LA Virtual Admy'!S34</f>
        <v>-8494.2000000000007</v>
      </c>
      <c r="S36" s="368">
        <f>-'Table 5C3 - LA Connections EBR'!P34-'Table 5C3 - LA Connections EBR'!S34</f>
        <v>-4247.1000000000004</v>
      </c>
      <c r="T36" s="368">
        <f>-'Table 5D1 - New Vision'!N37-'Table 5D1 - New Vision'!Q37</f>
        <v>0</v>
      </c>
      <c r="U36" s="368">
        <f>-'Table 5D2 - Glencoe'!N37-'Table 5D2 - Glencoe'!Q37</f>
        <v>0</v>
      </c>
      <c r="V36" s="368">
        <f>-'Table 5D3 - International'!N37-'Table 5D3 - International'!Q37</f>
        <v>0</v>
      </c>
      <c r="W36" s="368">
        <f>-'Table 5D4 - Avoyelles'!N37-'Table 5D4 - Avoyelles'!Q37</f>
        <v>0</v>
      </c>
      <c r="X36" s="368">
        <f>-'Table 5D5 - Delhi'!N37-'Table 5D5 - Delhi'!Q37</f>
        <v>0</v>
      </c>
      <c r="Y36" s="368">
        <f>-'Table 5D6 - Milestone'!N37-'Table 5D6 - Milestone'!Q37</f>
        <v>0</v>
      </c>
      <c r="Z36" s="368">
        <f>-'Table 5D7 - Max'!N37-'Table 5D7 - Max'!Q37</f>
        <v>0</v>
      </c>
      <c r="AA36" s="368">
        <f>-'Table 5D8 - Belle Chasse'!P37-'Table 5D8 - Belle Chasse'!U37</f>
        <v>0</v>
      </c>
      <c r="AB36" s="368">
        <f>-'Table 5E_OJJ'!P37-'Table 5E_OJJ'!Q37</f>
        <v>-5276.2223062336006</v>
      </c>
      <c r="AC36" s="368">
        <f>-'Table 5F Scholarships'!G41</f>
        <v>0</v>
      </c>
      <c r="AD36" s="368">
        <f t="shared" si="21"/>
        <v>-57483.122306233599</v>
      </c>
      <c r="AE36" s="764">
        <f t="shared" si="20"/>
        <v>30756274.877693765</v>
      </c>
      <c r="AK36"/>
      <c r="AT36"/>
    </row>
    <row r="37" spans="1:46">
      <c r="A37" s="101">
        <v>32</v>
      </c>
      <c r="B37" s="311" t="s">
        <v>133</v>
      </c>
      <c r="C37" s="320">
        <f>'Table 2_State Distrib and Adjs'!AF38</f>
        <v>146883724</v>
      </c>
      <c r="D37" s="368">
        <f>-'Table 5A2 LSMSA'!K38</f>
        <v>-9587.4990200705179</v>
      </c>
      <c r="E37" s="368">
        <f>-'Table 5A3 NOCCA'!K38</f>
        <v>0</v>
      </c>
      <c r="F37" s="368">
        <f>-'Table 5A4_LSDVI'!K38</f>
        <v>-30804.32</v>
      </c>
      <c r="G37" s="368">
        <f>-'Table 5A5_SSD'!K38</f>
        <v>-25028.51</v>
      </c>
      <c r="H37" s="368"/>
      <c r="I37" s="368"/>
      <c r="J37" s="368">
        <f>-'Table 5C1A-Madison Prep'!O38-'Table 5C1A-Madison Prep'!R38</f>
        <v>-1979</v>
      </c>
      <c r="K37" s="368">
        <f>-'Table 5C1B-DArbonne'!O38-'Table 5C1B-DArbonne'!R38</f>
        <v>0</v>
      </c>
      <c r="L37" s="368">
        <f>-'Table 5C1C-Intl_VIBE'!O38-'Table 5C1C-Intl_VIBE'!R38</f>
        <v>0</v>
      </c>
      <c r="M37" s="368">
        <f>-'Table 5C1D-NOMMA'!O38-'Table 5C1D-NOMMA'!R38</f>
        <v>0</v>
      </c>
      <c r="N37" s="368">
        <f>-'Table 5C1E-LFNO'!O38-'Table 5C1E-LFNO'!R38</f>
        <v>0</v>
      </c>
      <c r="O37" s="368">
        <f>-'Table 5C1F-Lake Charles Charter'!O38-'Table 5C1F-Lake Charles Charter'!R38</f>
        <v>0</v>
      </c>
      <c r="P37" s="368">
        <f>-'Table 5C1G-JS Clark Academy'!O38-'Table 5C1G-JS Clark Academy'!R38</f>
        <v>0</v>
      </c>
      <c r="Q37" s="368">
        <f>-'Table 5C1H-Southwest LA Charter'!O38-'Table 5C1H-Southwest LA Charter'!R38</f>
        <v>0</v>
      </c>
      <c r="R37" s="368">
        <f>-'Table 5C2 - LA Virtual Admy'!P35-'Table 5C2 - LA Virtual Admy'!S35</f>
        <v>-60651.000000000007</v>
      </c>
      <c r="S37" s="368">
        <f>-'Table 5C3 - LA Connections EBR'!P35-'Table 5C3 - LA Connections EBR'!S35</f>
        <v>-64119.600000000006</v>
      </c>
      <c r="T37" s="368">
        <f>-'Table 5D1 - New Vision'!N38-'Table 5D1 - New Vision'!Q38</f>
        <v>0</v>
      </c>
      <c r="U37" s="368">
        <f>-'Table 5D2 - Glencoe'!N38-'Table 5D2 - Glencoe'!Q38</f>
        <v>0</v>
      </c>
      <c r="V37" s="368">
        <f>-'Table 5D3 - International'!N38-'Table 5D3 - International'!Q38</f>
        <v>0</v>
      </c>
      <c r="W37" s="368">
        <f>-'Table 5D4 - Avoyelles'!N38-'Table 5D4 - Avoyelles'!Q38</f>
        <v>0</v>
      </c>
      <c r="X37" s="368">
        <f>-'Table 5D5 - Delhi'!N38-'Table 5D5 - Delhi'!Q38</f>
        <v>0</v>
      </c>
      <c r="Y37" s="368">
        <f>-'Table 5D6 - Milestone'!N38-'Table 5D6 - Milestone'!Q38</f>
        <v>0</v>
      </c>
      <c r="Z37" s="368">
        <f>-'Table 5D7 - Max'!N38-'Table 5D7 - Max'!Q38</f>
        <v>0</v>
      </c>
      <c r="AA37" s="368">
        <f>-'Table 5D8 - Belle Chasse'!P38-'Table 5D8 - Belle Chasse'!U38</f>
        <v>0</v>
      </c>
      <c r="AB37" s="368">
        <f>-'Table 5E_OJJ'!P38-'Table 5E_OJJ'!Q38</f>
        <v>-6260.9294595707379</v>
      </c>
      <c r="AC37" s="368">
        <f>-'Table 5F Scholarships'!G42</f>
        <v>0</v>
      </c>
      <c r="AD37" s="368">
        <f t="shared" si="21"/>
        <v>-198430.85847964126</v>
      </c>
      <c r="AE37" s="764">
        <f t="shared" si="20"/>
        <v>146685293.14152038</v>
      </c>
      <c r="AK37"/>
      <c r="AT37"/>
    </row>
    <row r="38" spans="1:46">
      <c r="A38" s="101">
        <v>33</v>
      </c>
      <c r="B38" s="311" t="s">
        <v>134</v>
      </c>
      <c r="C38" s="320">
        <f>'Table 2_State Distrib and Adjs'!AF39</f>
        <v>11281153</v>
      </c>
      <c r="D38" s="368">
        <f>-'Table 5A2 LSMSA'!K39</f>
        <v>0</v>
      </c>
      <c r="E38" s="368">
        <f>-'Table 5A3 NOCCA'!K39</f>
        <v>0</v>
      </c>
      <c r="F38" s="368">
        <f>-'Table 5A4_LSDVI'!K39</f>
        <v>-8304.48</v>
      </c>
      <c r="G38" s="368">
        <f>-'Table 5A5_SSD'!K39</f>
        <v>-5536.32</v>
      </c>
      <c r="H38" s="368"/>
      <c r="I38" s="368"/>
      <c r="J38" s="368">
        <f>-'Table 5C1A-Madison Prep'!O39-'Table 5C1A-Madison Prep'!R39</f>
        <v>0</v>
      </c>
      <c r="K38" s="368">
        <f>-'Table 5C1B-DArbonne'!O39-'Table 5C1B-DArbonne'!R39</f>
        <v>0</v>
      </c>
      <c r="L38" s="368">
        <f>-'Table 5C1C-Intl_VIBE'!O39-'Table 5C1C-Intl_VIBE'!R39</f>
        <v>0</v>
      </c>
      <c r="M38" s="368">
        <f>-'Table 5C1D-NOMMA'!O39-'Table 5C1D-NOMMA'!R39</f>
        <v>0</v>
      </c>
      <c r="N38" s="368">
        <f>-'Table 5C1E-LFNO'!O39-'Table 5C1E-LFNO'!R39</f>
        <v>0</v>
      </c>
      <c r="O38" s="368">
        <f>-'Table 5C1F-Lake Charles Charter'!O39-'Table 5C1F-Lake Charles Charter'!R39</f>
        <v>0</v>
      </c>
      <c r="P38" s="368">
        <f>-'Table 5C1G-JS Clark Academy'!O39-'Table 5C1G-JS Clark Academy'!R39</f>
        <v>0</v>
      </c>
      <c r="Q38" s="368">
        <f>-'Table 5C1H-Southwest LA Charter'!O39-'Table 5C1H-Southwest LA Charter'!R39</f>
        <v>0</v>
      </c>
      <c r="R38" s="368">
        <f>-'Table 5C2 - LA Virtual Admy'!P36-'Table 5C2 - LA Virtual Admy'!S36</f>
        <v>-5508</v>
      </c>
      <c r="S38" s="368">
        <f>-'Table 5C3 - LA Connections EBR'!P36-'Table 5C3 - LA Connections EBR'!S36</f>
        <v>-5499</v>
      </c>
      <c r="T38" s="368">
        <f>-'Table 5D1 - New Vision'!N39-'Table 5D1 - New Vision'!Q39</f>
        <v>0</v>
      </c>
      <c r="U38" s="368">
        <f>-'Table 5D2 - Glencoe'!N39-'Table 5D2 - Glencoe'!Q39</f>
        <v>0</v>
      </c>
      <c r="V38" s="368">
        <f>-'Table 5D3 - International'!N39-'Table 5D3 - International'!Q39</f>
        <v>0</v>
      </c>
      <c r="W38" s="368">
        <f>-'Table 5D4 - Avoyelles'!N39-'Table 5D4 - Avoyelles'!Q39</f>
        <v>0</v>
      </c>
      <c r="X38" s="368">
        <f>-'Table 5D5 - Delhi'!N39-'Table 5D5 - Delhi'!Q39</f>
        <v>-391040</v>
      </c>
      <c r="Y38" s="368">
        <f>-'Table 5D6 - Milestone'!N39-'Table 5D6 - Milestone'!Q39</f>
        <v>0</v>
      </c>
      <c r="Z38" s="368">
        <f>-'Table 5D7 - Max'!N39-'Table 5D7 - Max'!Q39</f>
        <v>0</v>
      </c>
      <c r="AA38" s="368">
        <f>-'Table 5D8 - Belle Chasse'!P39-'Table 5D8 - Belle Chasse'!U39</f>
        <v>0</v>
      </c>
      <c r="AB38" s="368">
        <f>-'Table 5E_OJJ'!P39-'Table 5E_OJJ'!Q39</f>
        <v>-14198.496508962669</v>
      </c>
      <c r="AC38" s="368">
        <f>-'Table 5F Scholarships'!G43</f>
        <v>0</v>
      </c>
      <c r="AD38" s="368">
        <f t="shared" si="21"/>
        <v>-430086.29650896264</v>
      </c>
      <c r="AE38" s="764">
        <f t="shared" ref="AE38:AE74" si="22">SUM(C38:AC38)</f>
        <v>10851066.703491036</v>
      </c>
      <c r="AK38"/>
      <c r="AT38"/>
    </row>
    <row r="39" spans="1:46">
      <c r="A39" s="101">
        <v>34</v>
      </c>
      <c r="B39" s="311" t="s">
        <v>135</v>
      </c>
      <c r="C39" s="320">
        <f>'Table 2_State Distrib and Adjs'!AF40</f>
        <v>27979021</v>
      </c>
      <c r="D39" s="368">
        <f>-'Table 5A2 LSMSA'!K40</f>
        <v>0</v>
      </c>
      <c r="E39" s="368">
        <f>-'Table 5A3 NOCCA'!K40</f>
        <v>0</v>
      </c>
      <c r="F39" s="368">
        <f>-'Table 5A4_LSDVI'!K40</f>
        <v>0</v>
      </c>
      <c r="G39" s="368">
        <f>-'Table 5A5_SSD'!K40</f>
        <v>0</v>
      </c>
      <c r="H39" s="368"/>
      <c r="I39" s="368"/>
      <c r="J39" s="368">
        <f>-'Table 5C1A-Madison Prep'!O40-'Table 5C1A-Madison Prep'!R40</f>
        <v>0</v>
      </c>
      <c r="K39" s="368">
        <f>-'Table 5C1B-DArbonne'!O40-'Table 5C1B-DArbonne'!R40</f>
        <v>0</v>
      </c>
      <c r="L39" s="368">
        <f>-'Table 5C1C-Intl_VIBE'!O40-'Table 5C1C-Intl_VIBE'!R40</f>
        <v>0</v>
      </c>
      <c r="M39" s="368">
        <f>-'Table 5C1D-NOMMA'!O40-'Table 5C1D-NOMMA'!R40</f>
        <v>0</v>
      </c>
      <c r="N39" s="368">
        <f>-'Table 5C1E-LFNO'!O40-'Table 5C1E-LFNO'!R40</f>
        <v>0</v>
      </c>
      <c r="O39" s="368">
        <f>-'Table 5C1F-Lake Charles Charter'!O40-'Table 5C1F-Lake Charles Charter'!R40</f>
        <v>0</v>
      </c>
      <c r="P39" s="368">
        <f>-'Table 5C1G-JS Clark Academy'!O40-'Table 5C1G-JS Clark Academy'!R40</f>
        <v>0</v>
      </c>
      <c r="Q39" s="368">
        <f>-'Table 5C1H-Southwest LA Charter'!O40-'Table 5C1H-Southwest LA Charter'!R40</f>
        <v>0</v>
      </c>
      <c r="R39" s="368">
        <f>-'Table 5C2 - LA Virtual Admy'!P37-'Table 5C2 - LA Virtual Admy'!S37</f>
        <v>-30045.600000000002</v>
      </c>
      <c r="S39" s="368">
        <f>-'Table 5C3 - LA Connections EBR'!P37-'Table 5C3 - LA Connections EBR'!S37</f>
        <v>-5007.6000000000004</v>
      </c>
      <c r="T39" s="368">
        <f>-'Table 5D1 - New Vision'!N40-'Table 5D1 - New Vision'!Q40</f>
        <v>-22256</v>
      </c>
      <c r="U39" s="368">
        <f>-'Table 5D2 - Glencoe'!N40-'Table 5D2 - Glencoe'!Q40</f>
        <v>0</v>
      </c>
      <c r="V39" s="368">
        <f>-'Table 5D3 - International'!N40-'Table 5D3 - International'!Q40</f>
        <v>0</v>
      </c>
      <c r="W39" s="368">
        <f>-'Table 5D4 - Avoyelles'!N40-'Table 5D4 - Avoyelles'!Q40</f>
        <v>0</v>
      </c>
      <c r="X39" s="368">
        <f>-'Table 5D5 - Delhi'!N40-'Table 5D5 - Delhi'!Q40</f>
        <v>0</v>
      </c>
      <c r="Y39" s="368">
        <f>-'Table 5D6 - Milestone'!N40-'Table 5D6 - Milestone'!Q40</f>
        <v>0</v>
      </c>
      <c r="Z39" s="368">
        <f>-'Table 5D7 - Max'!N40-'Table 5D7 - Max'!Q40</f>
        <v>0</v>
      </c>
      <c r="AA39" s="368">
        <f>-'Table 5D8 - Belle Chasse'!P40-'Table 5D8 - Belle Chasse'!U40</f>
        <v>0</v>
      </c>
      <c r="AB39" s="368">
        <f>-'Table 5E_OJJ'!P40-'Table 5E_OJJ'!Q40</f>
        <v>-5798.8978462903151</v>
      </c>
      <c r="AC39" s="368">
        <f>-'Table 5F Scholarships'!G44</f>
        <v>0</v>
      </c>
      <c r="AD39" s="368">
        <f t="shared" si="21"/>
        <v>-63108.097846290322</v>
      </c>
      <c r="AE39" s="764">
        <f t="shared" si="22"/>
        <v>27915912.902153708</v>
      </c>
      <c r="AK39"/>
      <c r="AT39"/>
    </row>
    <row r="40" spans="1:46">
      <c r="A40" s="102">
        <v>35</v>
      </c>
      <c r="B40" s="312" t="s">
        <v>136</v>
      </c>
      <c r="C40" s="329">
        <f>'Table 2_State Distrib and Adjs'!AF41</f>
        <v>34518310</v>
      </c>
      <c r="D40" s="369">
        <f>-'Table 5A2 LSMSA'!K41</f>
        <v>-26305.505496877289</v>
      </c>
      <c r="E40" s="369">
        <f>-'Table 5A3 NOCCA'!K41</f>
        <v>0</v>
      </c>
      <c r="F40" s="369">
        <f>-'Table 5A4_LSDVI'!K41</f>
        <v>-9755.0999999999985</v>
      </c>
      <c r="G40" s="369">
        <f>-'Table 5A5_SSD'!K41</f>
        <v>-3251.7</v>
      </c>
      <c r="H40" s="369"/>
      <c r="I40" s="369"/>
      <c r="J40" s="369">
        <f>-'Table 5C1A-Madison Prep'!O41-'Table 5C1A-Madison Prep'!R41</f>
        <v>0</v>
      </c>
      <c r="K40" s="369">
        <f>-'Table 5C1B-DArbonne'!O41-'Table 5C1B-DArbonne'!R41</f>
        <v>0</v>
      </c>
      <c r="L40" s="369">
        <f>-'Table 5C1C-Intl_VIBE'!O41-'Table 5C1C-Intl_VIBE'!R41</f>
        <v>0</v>
      </c>
      <c r="M40" s="369">
        <f>-'Table 5C1D-NOMMA'!O41-'Table 5C1D-NOMMA'!R41</f>
        <v>0</v>
      </c>
      <c r="N40" s="369">
        <f>-'Table 5C1E-LFNO'!O41-'Table 5C1E-LFNO'!R41</f>
        <v>0</v>
      </c>
      <c r="O40" s="369">
        <f>-'Table 5C1F-Lake Charles Charter'!O41-'Table 5C1F-Lake Charles Charter'!R41</f>
        <v>0</v>
      </c>
      <c r="P40" s="369">
        <f>-'Table 5C1G-JS Clark Academy'!O41-'Table 5C1G-JS Clark Academy'!R41</f>
        <v>0</v>
      </c>
      <c r="Q40" s="369">
        <f>-'Table 5C1H-Southwest LA Charter'!O41-'Table 5C1H-Southwest LA Charter'!R41</f>
        <v>0</v>
      </c>
      <c r="R40" s="369">
        <f>-'Table 5C2 - LA Virtual Admy'!P38-'Table 5C2 - LA Virtual Admy'!S38</f>
        <v>-31432.5</v>
      </c>
      <c r="S40" s="369">
        <f>-'Table 5C3 - LA Connections EBR'!P38-'Table 5C3 - LA Connections EBR'!S38</f>
        <v>-28575</v>
      </c>
      <c r="T40" s="369">
        <f>-'Table 5D1 - New Vision'!N41-'Table 5D1 - New Vision'!Q41</f>
        <v>0</v>
      </c>
      <c r="U40" s="369">
        <f>-'Table 5D2 - Glencoe'!N41-'Table 5D2 - Glencoe'!Q41</f>
        <v>0</v>
      </c>
      <c r="V40" s="369">
        <f>-'Table 5D3 - International'!N41-'Table 5D3 - International'!Q41</f>
        <v>0</v>
      </c>
      <c r="W40" s="369">
        <f>-'Table 5D4 - Avoyelles'!N41-'Table 5D4 - Avoyelles'!Q41</f>
        <v>0</v>
      </c>
      <c r="X40" s="369">
        <f>-'Table 5D5 - Delhi'!N41-'Table 5D5 - Delhi'!Q41</f>
        <v>0</v>
      </c>
      <c r="Y40" s="369">
        <f>-'Table 5D6 - Milestone'!N41-'Table 5D6 - Milestone'!Q41</f>
        <v>0</v>
      </c>
      <c r="Z40" s="369">
        <f>-'Table 5D7 - Max'!N41-'Table 5D7 - Max'!Q41</f>
        <v>0</v>
      </c>
      <c r="AA40" s="369">
        <f>-'Table 5D8 - Belle Chasse'!P41-'Table 5D8 - Belle Chasse'!U41</f>
        <v>0</v>
      </c>
      <c r="AB40" s="369">
        <f>-'Table 5E_OJJ'!P41-'Table 5E_OJJ'!Q41</f>
        <v>-4213.3587024329381</v>
      </c>
      <c r="AC40" s="369">
        <f>-'Table 5F Scholarships'!G45</f>
        <v>0</v>
      </c>
      <c r="AD40" s="369">
        <f t="shared" si="21"/>
        <v>-103533.16419931022</v>
      </c>
      <c r="AE40" s="765">
        <f t="shared" si="22"/>
        <v>34414776.835800685</v>
      </c>
      <c r="AK40"/>
      <c r="AT40"/>
    </row>
    <row r="41" spans="1:46">
      <c r="A41" s="101">
        <v>36</v>
      </c>
      <c r="B41" s="311" t="s">
        <v>137</v>
      </c>
      <c r="C41" s="320">
        <f>'Table 2_State Distrib and Adjs'!AF42</f>
        <v>45035052</v>
      </c>
      <c r="D41" s="368">
        <f>-'Table 5A2 LSMSA'!K42</f>
        <v>-11432.254970673865</v>
      </c>
      <c r="E41" s="368">
        <f>-'Table 5A3 NOCCA'!K42</f>
        <v>-109749.64771846909</v>
      </c>
      <c r="F41" s="368">
        <f>-'Table 5A4_LSDVI'!K42</f>
        <v>-38600.909999999996</v>
      </c>
      <c r="G41" s="368">
        <f>-'Table 5A5_SSD'!K42</f>
        <v>-167270.60999999999</v>
      </c>
      <c r="H41" s="368"/>
      <c r="I41" s="1106">
        <f>-'Table 5B1_RSD_Orleans'!L70-'Table 5B1_RSD_Orleans'!Q70</f>
        <v>-117073392</v>
      </c>
      <c r="J41" s="368">
        <f>-'Table 5C1A-Madison Prep'!O42-'Table 5C1A-Madison Prep'!R42</f>
        <v>0</v>
      </c>
      <c r="K41" s="368">
        <f>-'Table 5C1B-DArbonne'!O42-'Table 5C1B-DArbonne'!R42</f>
        <v>0</v>
      </c>
      <c r="L41" s="368">
        <f>-'Table 5C1C-Intl_VIBE'!O42-'Table 5C1C-Intl_VIBE'!R42</f>
        <v>-1130250</v>
      </c>
      <c r="M41" s="368">
        <f>-'Table 5C1D-NOMMA'!O42-'Table 5C1D-NOMMA'!R42</f>
        <v>-248820</v>
      </c>
      <c r="N41" s="368">
        <f>-'Table 5C1E-LFNO'!O42-'Table 5C1E-LFNO'!R42</f>
        <v>-205755</v>
      </c>
      <c r="O41" s="368">
        <f>-'Table 5C1F-Lake Charles Charter'!O42-'Table 5C1F-Lake Charles Charter'!R42</f>
        <v>0</v>
      </c>
      <c r="P41" s="368">
        <f>-'Table 5C1G-JS Clark Academy'!O42-'Table 5C1G-JS Clark Academy'!R42</f>
        <v>0</v>
      </c>
      <c r="Q41" s="368">
        <f>-'Table 5C1H-Southwest LA Charter'!O42-'Table 5C1H-Southwest LA Charter'!R42</f>
        <v>0</v>
      </c>
      <c r="R41" s="368">
        <f>-'Table 5C2 - LA Virtual Admy'!P39-'Table 5C2 - LA Virtual Admy'!S39</f>
        <v>-322928.09999999998</v>
      </c>
      <c r="S41" s="368">
        <f>-'Table 5C3 - LA Connections EBR'!P39-'Table 5C3 - LA Connections EBR'!S39</f>
        <v>-60291</v>
      </c>
      <c r="T41" s="368">
        <f>-'Table 5D1 - New Vision'!N42-'Table 5D1 - New Vision'!Q42</f>
        <v>0</v>
      </c>
      <c r="U41" s="368">
        <f>-'Table 5D2 - Glencoe'!N42-'Table 5D2 - Glencoe'!Q42</f>
        <v>0</v>
      </c>
      <c r="V41" s="368">
        <f>-'Table 5D3 - International'!N42-'Table 5D3 - International'!Q42</f>
        <v>-1627560</v>
      </c>
      <c r="W41" s="368">
        <f>-'Table 5D4 - Avoyelles'!N42-'Table 5D4 - Avoyelles'!Q42</f>
        <v>0</v>
      </c>
      <c r="X41" s="368">
        <f>-'Table 5D5 - Delhi'!N42-'Table 5D5 - Delhi'!Q42</f>
        <v>0</v>
      </c>
      <c r="Y41" s="368">
        <f>-'Table 5D6 - Milestone'!N42-'Table 5D6 - Milestone'!Q42</f>
        <v>-1574265</v>
      </c>
      <c r="Z41" s="368">
        <f>-'Table 5D7 - Max'!N42-'Table 5D7 - Max'!Q42</f>
        <v>0</v>
      </c>
      <c r="AA41" s="368">
        <f>-'Table 5D8 - Belle Chasse'!P42-'Table 5D8 - Belle Chasse'!U42</f>
        <v>-641190</v>
      </c>
      <c r="AB41" s="368">
        <f>-'Table 5E_OJJ'!P42-'Table 5E_OJJ'!Q42</f>
        <v>-142064.4140684052</v>
      </c>
      <c r="AC41" s="1191">
        <f>-'Table 5F Scholarships'!P46</f>
        <v>-4975070.625</v>
      </c>
      <c r="AD41" s="1191">
        <f t="shared" si="21"/>
        <v>-128328639.56175753</v>
      </c>
      <c r="AE41" s="764">
        <f t="shared" si="22"/>
        <v>-83293587.561757535</v>
      </c>
      <c r="AG41" s="1173"/>
      <c r="AH41" s="1173"/>
      <c r="AI41" s="1173"/>
      <c r="AK41"/>
      <c r="AT41"/>
    </row>
    <row r="42" spans="1:46">
      <c r="A42" s="101">
        <v>37</v>
      </c>
      <c r="B42" s="311" t="s">
        <v>138</v>
      </c>
      <c r="C42" s="320">
        <f>'Table 2_State Distrib and Adjs'!AF43</f>
        <v>117844576</v>
      </c>
      <c r="D42" s="368">
        <f>-'Table 5A2 LSMSA'!K43</f>
        <v>-8210.0946588073693</v>
      </c>
      <c r="E42" s="368">
        <f>-'Table 5A3 NOCCA'!K43</f>
        <v>0</v>
      </c>
      <c r="F42" s="368">
        <f>-'Table 5A4_LSDVI'!K43</f>
        <v>-8584.41</v>
      </c>
      <c r="G42" s="368">
        <f>-'Table 5A5_SSD'!K43</f>
        <v>-20030.289999999997</v>
      </c>
      <c r="H42" s="368"/>
      <c r="I42" s="368"/>
      <c r="J42" s="368">
        <f>-'Table 5C1A-Madison Prep'!O43-'Table 5C1A-Madison Prep'!R43</f>
        <v>0</v>
      </c>
      <c r="K42" s="368">
        <f>-'Table 5C1B-DArbonne'!O43-'Table 5C1B-DArbonne'!R43</f>
        <v>-18672</v>
      </c>
      <c r="L42" s="368">
        <f>-'Table 5C1C-Intl_VIBE'!O43-'Table 5C1C-Intl_VIBE'!R43</f>
        <v>0</v>
      </c>
      <c r="M42" s="49">
        <f>-'Table 5C1D-NOMMA'!O43-'Table 5C1D-NOMMA'!R43</f>
        <v>0</v>
      </c>
      <c r="N42" s="368">
        <f>-'Table 5C1E-LFNO'!O43-'Table 5C1E-LFNO'!R43</f>
        <v>0</v>
      </c>
      <c r="O42" s="368">
        <f>-'Table 5C1F-Lake Charles Charter'!O43-'Table 5C1F-Lake Charles Charter'!R43</f>
        <v>0</v>
      </c>
      <c r="P42" s="368">
        <f>-'Table 5C1G-JS Clark Academy'!O43-'Table 5C1G-JS Clark Academy'!R43</f>
        <v>0</v>
      </c>
      <c r="Q42" s="368">
        <f>-'Table 5C1H-Southwest LA Charter'!O43-'Table 5C1H-Southwest LA Charter'!R43</f>
        <v>0</v>
      </c>
      <c r="R42" s="368">
        <f>-'Table 5C2 - LA Virtual Admy'!P40-'Table 5C2 - LA Virtual Admy'!S40</f>
        <v>-64418.400000000001</v>
      </c>
      <c r="S42" s="368">
        <f>-'Table 5C3 - LA Connections EBR'!P40-'Table 5C3 - LA Connections EBR'!S40</f>
        <v>-28008</v>
      </c>
      <c r="T42" s="368">
        <f>-'Table 5D1 - New Vision'!N43-'Table 5D1 - New Vision'!Q43</f>
        <v>-438792</v>
      </c>
      <c r="U42" s="368">
        <f>-'Table 5D2 - Glencoe'!N43-'Table 5D2 - Glencoe'!Q43</f>
        <v>0</v>
      </c>
      <c r="V42" s="368">
        <f>-'Table 5D3 - International'!N43-'Table 5D3 - International'!Q43</f>
        <v>0</v>
      </c>
      <c r="W42" s="368">
        <f>-'Table 5D4 - Avoyelles'!N43-'Table 5D4 - Avoyelles'!Q43</f>
        <v>0</v>
      </c>
      <c r="X42" s="368">
        <f>-'Table 5D5 - Delhi'!N43-'Table 5D5 - Delhi'!Q43</f>
        <v>0</v>
      </c>
      <c r="Y42" s="368">
        <f>-'Table 5D6 - Milestone'!N43-'Table 5D6 - Milestone'!Q43</f>
        <v>0</v>
      </c>
      <c r="Z42" s="368">
        <f>-'Table 5D7 - Max'!N43-'Table 5D7 - Max'!Q43</f>
        <v>0</v>
      </c>
      <c r="AA42" s="368">
        <f>-'Table 5D8 - Belle Chasse'!P43-'Table 5D8 - Belle Chasse'!U43</f>
        <v>0</v>
      </c>
      <c r="AB42" s="368">
        <f>-'Table 5E_OJJ'!P43-'Table 5E_OJJ'!Q43</f>
        <v>-7460.7787479534609</v>
      </c>
      <c r="AC42" s="368">
        <f>-'Table 5F Scholarships'!G47</f>
        <v>0</v>
      </c>
      <c r="AD42" s="368">
        <f t="shared" si="21"/>
        <v>-594175.97340676084</v>
      </c>
      <c r="AE42" s="764">
        <f t="shared" si="22"/>
        <v>117250400.02659324</v>
      </c>
      <c r="AG42" s="1173"/>
      <c r="AH42" s="1173"/>
      <c r="AI42" s="1173"/>
      <c r="AK42"/>
      <c r="AT42"/>
    </row>
    <row r="43" spans="1:46">
      <c r="A43" s="101">
        <v>38</v>
      </c>
      <c r="B43" s="311" t="s">
        <v>139</v>
      </c>
      <c r="C43" s="320">
        <f>'Table 2_State Distrib and Adjs'!AF44</f>
        <v>11317998</v>
      </c>
      <c r="D43" s="368">
        <f>-'Table 5A2 LSMSA'!K44</f>
        <v>-7546.0428849332438</v>
      </c>
      <c r="E43" s="368">
        <f>-'Table 5A3 NOCCA'!K44</f>
        <v>0</v>
      </c>
      <c r="F43" s="368">
        <f>-'Table 5A4_LSDVI'!K44</f>
        <v>0</v>
      </c>
      <c r="G43" s="368">
        <f>-'Table 5A5_SSD'!K44</f>
        <v>0</v>
      </c>
      <c r="H43" s="368"/>
      <c r="I43" s="368"/>
      <c r="J43" s="368">
        <f>-'Table 5C1A-Madison Prep'!O44-'Table 5C1A-Madison Prep'!R44</f>
        <v>0</v>
      </c>
      <c r="K43" s="368">
        <f>-'Table 5C1B-DArbonne'!O44-'Table 5C1B-DArbonne'!R44</f>
        <v>0</v>
      </c>
      <c r="L43" s="368">
        <f>-'Table 5C1C-Intl_VIBE'!O44-'Table 5C1C-Intl_VIBE'!R44</f>
        <v>0</v>
      </c>
      <c r="M43" s="368">
        <f>-'Table 5C1D-NOMMA'!O44-'Table 5C1D-NOMMA'!R44</f>
        <v>-48855</v>
      </c>
      <c r="N43" s="368">
        <f>-'Table 5C1E-LFNO'!O44-'Table 5C1E-LFNO'!R44</f>
        <v>0</v>
      </c>
      <c r="O43" s="368">
        <f>-'Table 5C1F-Lake Charles Charter'!O44-'Table 5C1F-Lake Charles Charter'!R44</f>
        <v>0</v>
      </c>
      <c r="P43" s="368">
        <f>-'Table 5C1G-JS Clark Academy'!O44-'Table 5C1G-JS Clark Academy'!R44</f>
        <v>0</v>
      </c>
      <c r="Q43" s="368">
        <f>-'Table 5C1H-Southwest LA Charter'!O44-'Table 5C1H-Southwest LA Charter'!R44</f>
        <v>0</v>
      </c>
      <c r="R43" s="368">
        <f>-'Table 5C2 - LA Virtual Admy'!P41-'Table 5C2 - LA Virtual Admy'!S41</f>
        <v>-35175.599999999999</v>
      </c>
      <c r="S43" s="368">
        <f>-'Table 5C3 - LA Connections EBR'!P41-'Table 5C3 - LA Connections EBR'!S41</f>
        <v>0</v>
      </c>
      <c r="T43" s="368">
        <f>-'Table 5D1 - New Vision'!N44-'Table 5D1 - New Vision'!Q44</f>
        <v>0</v>
      </c>
      <c r="U43" s="368">
        <f>-'Table 5D2 - Glencoe'!N44-'Table 5D2 - Glencoe'!Q44</f>
        <v>0</v>
      </c>
      <c r="V43" s="368">
        <f>-'Table 5D3 - International'!N44-'Table 5D3 - International'!Q44</f>
        <v>-9771</v>
      </c>
      <c r="W43" s="368">
        <f>-'Table 5D4 - Avoyelles'!N44-'Table 5D4 - Avoyelles'!Q44</f>
        <v>0</v>
      </c>
      <c r="X43" s="368">
        <f>-'Table 5D5 - Delhi'!N44-'Table 5D5 - Delhi'!Q44</f>
        <v>0</v>
      </c>
      <c r="Y43" s="368">
        <f>-'Table 5D6 - Milestone'!N44-'Table 5D6 - Milestone'!Q44</f>
        <v>0</v>
      </c>
      <c r="Z43" s="368">
        <f>-'Table 5D7 - Max'!N44-'Table 5D7 - Max'!Q44</f>
        <v>0</v>
      </c>
      <c r="AA43" s="368">
        <f>-'Table 5D8 - Belle Chasse'!P44-'Table 5D8 - Belle Chasse'!U44</f>
        <v>-762138</v>
      </c>
      <c r="AB43" s="368">
        <f>-'Table 5E_OJJ'!P44-'Table 5E_OJJ'!Q44</f>
        <v>-2996.0514278955316</v>
      </c>
      <c r="AC43" s="368">
        <f>-'Table 5F Scholarships'!G48</f>
        <v>0</v>
      </c>
      <c r="AD43" s="368">
        <f t="shared" si="21"/>
        <v>-866481.69431282883</v>
      </c>
      <c r="AE43" s="764">
        <f t="shared" si="22"/>
        <v>10451516.305687172</v>
      </c>
      <c r="AG43" s="1173"/>
      <c r="AH43" s="1173"/>
      <c r="AI43" s="1173"/>
      <c r="AK43"/>
      <c r="AT43"/>
    </row>
    <row r="44" spans="1:46">
      <c r="A44" s="101">
        <v>39</v>
      </c>
      <c r="B44" s="311" t="s">
        <v>140</v>
      </c>
      <c r="C44" s="320">
        <f>'Table 2_State Distrib and Adjs'!AF45</f>
        <v>11533169</v>
      </c>
      <c r="D44" s="368">
        <f>-'Table 5A2 LSMSA'!K45</f>
        <v>-12033.423053840213</v>
      </c>
      <c r="E44" s="368">
        <f>-'Table 5A3 NOCCA'!K45</f>
        <v>0</v>
      </c>
      <c r="F44" s="368">
        <f>-'Table 5A4_LSDVI'!K45</f>
        <v>-28970.690000000002</v>
      </c>
      <c r="G44" s="368">
        <f>-'Table 5A5_SSD'!K45</f>
        <v>-4138.67</v>
      </c>
      <c r="H44" s="368">
        <f>-'Table 5B2_RSD_LA'!Q23-'Table 5B2_RSD_LA'!V23</f>
        <v>-1124620</v>
      </c>
      <c r="I44" s="368"/>
      <c r="J44" s="368">
        <f>-'Table 5C1A-Madison Prep'!O45-'Table 5C1A-Madison Prep'!R45</f>
        <v>0</v>
      </c>
      <c r="K44" s="368">
        <f>-'Table 5C1B-DArbonne'!O45-'Table 5C1B-DArbonne'!R45</f>
        <v>0</v>
      </c>
      <c r="L44" s="368">
        <f>-'Table 5C1C-Intl_VIBE'!O45-'Table 5C1C-Intl_VIBE'!R45</f>
        <v>0</v>
      </c>
      <c r="M44" s="368">
        <f>-'Table 5C1D-NOMMA'!O45-'Table 5C1D-NOMMA'!R45</f>
        <v>0</v>
      </c>
      <c r="N44" s="368">
        <f>-'Table 5C1E-LFNO'!O45-'Table 5C1E-LFNO'!R45</f>
        <v>0</v>
      </c>
      <c r="O44" s="368">
        <f>-'Table 5C1F-Lake Charles Charter'!O45-'Table 5C1F-Lake Charles Charter'!R45</f>
        <v>0</v>
      </c>
      <c r="P44" s="368">
        <f>-'Table 5C1G-JS Clark Academy'!O45-'Table 5C1G-JS Clark Academy'!R45</f>
        <v>0</v>
      </c>
      <c r="Q44" s="368">
        <f>-'Table 5C1H-Southwest LA Charter'!O45-'Table 5C1H-Southwest LA Charter'!R45</f>
        <v>0</v>
      </c>
      <c r="R44" s="368">
        <f>-'Table 5C2 - LA Virtual Admy'!P42-'Table 5C2 - LA Virtual Admy'!S42</f>
        <v>-26397</v>
      </c>
      <c r="S44" s="368">
        <f>-'Table 5C3 - LA Connections EBR'!P42-'Table 5C3 - LA Connections EBR'!S42</f>
        <v>-22626</v>
      </c>
      <c r="T44" s="368">
        <f>-'Table 5D1 - New Vision'!N45-'Table 5D1 - New Vision'!Q45</f>
        <v>0</v>
      </c>
      <c r="U44" s="368">
        <f>-'Table 5D2 - Glencoe'!N45-'Table 5D2 - Glencoe'!Q45</f>
        <v>0</v>
      </c>
      <c r="V44" s="368">
        <f>-'Table 5D3 - International'!N45-'Table 5D3 - International'!Q45</f>
        <v>0</v>
      </c>
      <c r="W44" s="368">
        <f>-'Table 5D4 - Avoyelles'!N45-'Table 5D4 - Avoyelles'!Q45</f>
        <v>-8380</v>
      </c>
      <c r="X44" s="368">
        <f>-'Table 5D5 - Delhi'!N45-'Table 5D5 - Delhi'!Q45</f>
        <v>0</v>
      </c>
      <c r="Y44" s="368">
        <f>-'Table 5D6 - Milestone'!N45-'Table 5D6 - Milestone'!Q45</f>
        <v>0</v>
      </c>
      <c r="Z44" s="368">
        <f>-'Table 5D7 - Max'!N45-'Table 5D7 - Max'!Q45</f>
        <v>0</v>
      </c>
      <c r="AA44" s="368">
        <f>-'Table 5D8 - Belle Chasse'!P45-'Table 5D8 - Belle Chasse'!U45</f>
        <v>0</v>
      </c>
      <c r="AB44" s="368">
        <f>-'Table 5E_OJJ'!P45-'Table 5E_OJJ'!Q45</f>
        <v>-7804.444119122325</v>
      </c>
      <c r="AC44" s="368">
        <f>-'Table 5F Scholarships'!G49</f>
        <v>0</v>
      </c>
      <c r="AD44" s="368">
        <f t="shared" si="21"/>
        <v>-1234970.2271729626</v>
      </c>
      <c r="AE44" s="764">
        <f t="shared" si="22"/>
        <v>10298198.772827039</v>
      </c>
      <c r="AG44" s="585"/>
      <c r="AH44" s="585"/>
      <c r="AI44" s="585"/>
      <c r="AK44"/>
      <c r="AT44"/>
    </row>
    <row r="45" spans="1:46">
      <c r="A45" s="102">
        <v>40</v>
      </c>
      <c r="B45" s="312" t="s">
        <v>141</v>
      </c>
      <c r="C45" s="329">
        <f>'Table 2_State Distrib and Adjs'!AF46</f>
        <v>127817357</v>
      </c>
      <c r="D45" s="369">
        <f>-'Table 5A2 LSMSA'!K46</f>
        <v>-10492.018027211181</v>
      </c>
      <c r="E45" s="369">
        <f>-'Table 5A3 NOCCA'!K46</f>
        <v>0</v>
      </c>
      <c r="F45" s="369">
        <f>-'Table 5A4_LSDVI'!K46</f>
        <v>-11617.12</v>
      </c>
      <c r="G45" s="369">
        <f>-'Table 5A5_SSD'!K46</f>
        <v>-69702.720000000001</v>
      </c>
      <c r="H45" s="369"/>
      <c r="I45" s="369"/>
      <c r="J45" s="369">
        <f>-'Table 5C1A-Madison Prep'!O46-'Table 5C1A-Madison Prep'!R46</f>
        <v>0</v>
      </c>
      <c r="K45" s="369">
        <f>-'Table 5C1B-DArbonne'!O46-'Table 5C1B-DArbonne'!R46</f>
        <v>0</v>
      </c>
      <c r="L45" s="369">
        <f>-'Table 5C1C-Intl_VIBE'!O46-'Table 5C1C-Intl_VIBE'!R46</f>
        <v>0</v>
      </c>
      <c r="M45" s="369">
        <f>-'Table 5C1D-NOMMA'!O46-'Table 5C1D-NOMMA'!R46</f>
        <v>0</v>
      </c>
      <c r="N45" s="369">
        <f>-'Table 5C1E-LFNO'!O46-'Table 5C1E-LFNO'!R46</f>
        <v>0</v>
      </c>
      <c r="O45" s="369">
        <f>-'Table 5C1F-Lake Charles Charter'!O46-'Table 5C1F-Lake Charles Charter'!R46</f>
        <v>0</v>
      </c>
      <c r="P45" s="369">
        <f>-'Table 5C1G-JS Clark Academy'!O46-'Table 5C1G-JS Clark Academy'!R46</f>
        <v>0</v>
      </c>
      <c r="Q45" s="369">
        <f>-'Table 5C1H-Southwest LA Charter'!O46-'Table 5C1H-Southwest LA Charter'!R46</f>
        <v>0</v>
      </c>
      <c r="R45" s="369">
        <f>-'Table 5C2 - LA Virtual Admy'!P43-'Table 5C2 - LA Virtual Admy'!S43</f>
        <v>-80547.3</v>
      </c>
      <c r="S45" s="369">
        <f>-'Table 5C3 - LA Connections EBR'!P43-'Table 5C3 - LA Connections EBR'!S43</f>
        <v>-62359.200000000004</v>
      </c>
      <c r="T45" s="369">
        <f>-'Table 5D1 - New Vision'!N46-'Table 5D1 - New Vision'!Q46</f>
        <v>0</v>
      </c>
      <c r="U45" s="369">
        <f>-'Table 5D2 - Glencoe'!N46-'Table 5D2 - Glencoe'!Q46</f>
        <v>0</v>
      </c>
      <c r="V45" s="369">
        <f>-'Table 5D3 - International'!N46-'Table 5D3 - International'!Q46</f>
        <v>0</v>
      </c>
      <c r="W45" s="369">
        <f>-'Table 5D4 - Avoyelles'!N46-'Table 5D4 - Avoyelles'!Q46</f>
        <v>-11548</v>
      </c>
      <c r="X45" s="369">
        <f>-'Table 5D5 - Delhi'!N46-'Table 5D5 - Delhi'!Q46</f>
        <v>0</v>
      </c>
      <c r="Y45" s="369">
        <f>-'Table 5D6 - Milestone'!N46-'Table 5D6 - Milestone'!Q46</f>
        <v>0</v>
      </c>
      <c r="Z45" s="369">
        <f>-'Table 5D7 - Max'!N46-'Table 5D7 - Max'!Q46</f>
        <v>0</v>
      </c>
      <c r="AA45" s="369">
        <f>-'Table 5D8 - Belle Chasse'!P46-'Table 5D8 - Belle Chasse'!U46</f>
        <v>0</v>
      </c>
      <c r="AB45" s="369">
        <f>-'Table 5E_OJJ'!P46-'Table 5E_OJJ'!Q46</f>
        <v>-9116.0376889965555</v>
      </c>
      <c r="AC45" s="369">
        <f>-'Table 5F Scholarships'!G50</f>
        <v>0</v>
      </c>
      <c r="AD45" s="369">
        <f t="shared" si="21"/>
        <v>-255382.39571620777</v>
      </c>
      <c r="AE45" s="765">
        <f t="shared" si="22"/>
        <v>127561974.60428378</v>
      </c>
      <c r="AK45"/>
      <c r="AT45"/>
    </row>
    <row r="46" spans="1:46">
      <c r="A46" s="101">
        <v>41</v>
      </c>
      <c r="B46" s="311" t="s">
        <v>142</v>
      </c>
      <c r="C46" s="320">
        <f>'Table 2_State Distrib and Adjs'!AF47</f>
        <v>3489487</v>
      </c>
      <c r="D46" s="368">
        <f>-'Table 5A2 LSMSA'!K47</f>
        <v>0</v>
      </c>
      <c r="E46" s="368">
        <f>-'Table 5A3 NOCCA'!K47</f>
        <v>0</v>
      </c>
      <c r="F46" s="368">
        <f>-'Table 5A4_LSDVI'!K47</f>
        <v>-6420.89</v>
      </c>
      <c r="G46" s="368">
        <f>-'Table 5A5_SSD'!K47</f>
        <v>-12841.78</v>
      </c>
      <c r="H46" s="368"/>
      <c r="I46" s="368"/>
      <c r="J46" s="368">
        <f>-'Table 5C1A-Madison Prep'!O47-'Table 5C1A-Madison Prep'!R47</f>
        <v>0</v>
      </c>
      <c r="K46" s="368">
        <f>-'Table 5C1B-DArbonne'!O47-'Table 5C1B-DArbonne'!R47</f>
        <v>0</v>
      </c>
      <c r="L46" s="368">
        <f>-'Table 5C1C-Intl_VIBE'!O47-'Table 5C1C-Intl_VIBE'!R47</f>
        <v>0</v>
      </c>
      <c r="M46" s="368">
        <f>-'Table 5C1D-NOMMA'!O47-'Table 5C1D-NOMMA'!R47</f>
        <v>0</v>
      </c>
      <c r="N46" s="368">
        <f>-'Table 5C1E-LFNO'!O47-'Table 5C1E-LFNO'!R47</f>
        <v>0</v>
      </c>
      <c r="O46" s="368">
        <f>-'Table 5C1F-Lake Charles Charter'!O47-'Table 5C1F-Lake Charles Charter'!R47</f>
        <v>0</v>
      </c>
      <c r="P46" s="368">
        <f>-'Table 5C1G-JS Clark Academy'!O47-'Table 5C1G-JS Clark Academy'!R47</f>
        <v>0</v>
      </c>
      <c r="Q46" s="368">
        <f>-'Table 5C1H-Southwest LA Charter'!O47-'Table 5C1H-Southwest LA Charter'!R47</f>
        <v>0</v>
      </c>
      <c r="R46" s="368">
        <f>-'Table 5C2 - LA Virtual Admy'!P44-'Table 5C2 - LA Virtual Admy'!S44</f>
        <v>-22446</v>
      </c>
      <c r="S46" s="368">
        <f>-'Table 5C3 - LA Connections EBR'!P44-'Table 5C3 - LA Connections EBR'!S44</f>
        <v>-11223</v>
      </c>
      <c r="T46" s="368">
        <f>-'Table 5D1 - New Vision'!N47-'Table 5D1 - New Vision'!Q47</f>
        <v>0</v>
      </c>
      <c r="U46" s="368">
        <f>-'Table 5D2 - Glencoe'!N47-'Table 5D2 - Glencoe'!Q47</f>
        <v>0</v>
      </c>
      <c r="V46" s="368">
        <f>-'Table 5D3 - International'!N47-'Table 5D3 - International'!Q47</f>
        <v>0</v>
      </c>
      <c r="W46" s="368">
        <f>-'Table 5D4 - Avoyelles'!N47-'Table 5D4 - Avoyelles'!Q47</f>
        <v>0</v>
      </c>
      <c r="X46" s="368">
        <f>-'Table 5D5 - Delhi'!N47-'Table 5D5 - Delhi'!Q47</f>
        <v>0</v>
      </c>
      <c r="Y46" s="368">
        <f>-'Table 5D6 - Milestone'!N47-'Table 5D6 - Milestone'!Q47</f>
        <v>0</v>
      </c>
      <c r="Z46" s="368">
        <f>-'Table 5D7 - Max'!N47-'Table 5D7 - Max'!Q47</f>
        <v>0</v>
      </c>
      <c r="AA46" s="368">
        <f>-'Table 5D8 - Belle Chasse'!P47-'Table 5D8 - Belle Chasse'!U47</f>
        <v>0</v>
      </c>
      <c r="AB46" s="368">
        <f>-'Table 5E_OJJ'!P47-'Table 5E_OJJ'!Q47</f>
        <v>-4825.9301070074844</v>
      </c>
      <c r="AC46" s="368">
        <f>-'Table 5F Scholarships'!G51</f>
        <v>0</v>
      </c>
      <c r="AD46" s="368">
        <f t="shared" si="21"/>
        <v>-57757.600107007485</v>
      </c>
      <c r="AE46" s="764">
        <f t="shared" si="22"/>
        <v>3431729.3998929928</v>
      </c>
      <c r="AK46"/>
      <c r="AT46"/>
    </row>
    <row r="47" spans="1:46">
      <c r="A47" s="101">
        <v>42</v>
      </c>
      <c r="B47" s="311" t="s">
        <v>143</v>
      </c>
      <c r="C47" s="320">
        <f>'Table 2_State Distrib and Adjs'!AF48</f>
        <v>19815624</v>
      </c>
      <c r="D47" s="368">
        <f>-'Table 5A2 LSMSA'!K48</f>
        <v>0</v>
      </c>
      <c r="E47" s="368">
        <f>-'Table 5A3 NOCCA'!K48</f>
        <v>0</v>
      </c>
      <c r="F47" s="368">
        <f>-'Table 5A4_LSDVI'!K48</f>
        <v>0</v>
      </c>
      <c r="G47" s="368">
        <f>-'Table 5A5_SSD'!K48</f>
        <v>-2728.55</v>
      </c>
      <c r="H47" s="368"/>
      <c r="I47" s="368"/>
      <c r="J47" s="368">
        <f>-'Table 5C1A-Madison Prep'!O48-'Table 5C1A-Madison Prep'!R48</f>
        <v>0</v>
      </c>
      <c r="K47" s="368">
        <f>-'Table 5C1B-DArbonne'!O48-'Table 5C1B-DArbonne'!R48</f>
        <v>0</v>
      </c>
      <c r="L47" s="368">
        <f>-'Table 5C1C-Intl_VIBE'!O48-'Table 5C1C-Intl_VIBE'!R48</f>
        <v>0</v>
      </c>
      <c r="M47" s="368">
        <f>-'Table 5C1D-NOMMA'!O48-'Table 5C1D-NOMMA'!R48</f>
        <v>0</v>
      </c>
      <c r="N47" s="368">
        <f>-'Table 5C1E-LFNO'!O48-'Table 5C1E-LFNO'!R48</f>
        <v>0</v>
      </c>
      <c r="O47" s="368">
        <f>-'Table 5C1F-Lake Charles Charter'!O48-'Table 5C1F-Lake Charles Charter'!R48</f>
        <v>0</v>
      </c>
      <c r="P47" s="368">
        <f>-'Table 5C1G-JS Clark Academy'!O48-'Table 5C1G-JS Clark Academy'!R48</f>
        <v>0</v>
      </c>
      <c r="Q47" s="368">
        <f>-'Table 5C1H-Southwest LA Charter'!O48-'Table 5C1H-Southwest LA Charter'!R48</f>
        <v>0</v>
      </c>
      <c r="R47" s="368">
        <f>-'Table 5C2 - LA Virtual Admy'!P45-'Table 5C2 - LA Virtual Admy'!S45</f>
        <v>-23294.700000000004</v>
      </c>
      <c r="S47" s="368">
        <f>-'Table 5C3 - LA Connections EBR'!P45-'Table 5C3 - LA Connections EBR'!S45</f>
        <v>0</v>
      </c>
      <c r="T47" s="368">
        <f>-'Table 5D1 - New Vision'!N48-'Table 5D1 - New Vision'!Q48</f>
        <v>-4706</v>
      </c>
      <c r="U47" s="368">
        <f>-'Table 5D2 - Glencoe'!N48-'Table 5D2 - Glencoe'!Q48</f>
        <v>0</v>
      </c>
      <c r="V47" s="368">
        <f>-'Table 5D3 - International'!N48-'Table 5D3 - International'!Q48</f>
        <v>0</v>
      </c>
      <c r="W47" s="368">
        <f>-'Table 5D4 - Avoyelles'!N48-'Table 5D4 - Avoyelles'!Q48</f>
        <v>0</v>
      </c>
      <c r="X47" s="368">
        <f>-'Table 5D5 - Delhi'!N48-'Table 5D5 - Delhi'!Q48</f>
        <v>-927082</v>
      </c>
      <c r="Y47" s="368">
        <f>-'Table 5D6 - Milestone'!N48-'Table 5D6 - Milestone'!Q48</f>
        <v>0</v>
      </c>
      <c r="Z47" s="368">
        <f>-'Table 5D7 - Max'!N48-'Table 5D7 - Max'!Q48</f>
        <v>0</v>
      </c>
      <c r="AA47" s="368">
        <f>-'Table 5D8 - Belle Chasse'!P48-'Table 5D8 - Belle Chasse'!U48</f>
        <v>0</v>
      </c>
      <c r="AB47" s="368">
        <f>-'Table 5E_OJJ'!P48-'Table 5E_OJJ'!Q48</f>
        <v>-7152.932998055594</v>
      </c>
      <c r="AC47" s="368">
        <f>-'Table 5F Scholarships'!G52</f>
        <v>0</v>
      </c>
      <c r="AD47" s="368">
        <f t="shared" si="21"/>
        <v>-964964.18299805559</v>
      </c>
      <c r="AE47" s="764">
        <f t="shared" si="22"/>
        <v>18850659.817001943</v>
      </c>
      <c r="AK47"/>
      <c r="AT47"/>
    </row>
    <row r="48" spans="1:46">
      <c r="A48" s="101">
        <v>43</v>
      </c>
      <c r="B48" s="311" t="s">
        <v>144</v>
      </c>
      <c r="C48" s="320">
        <f>'Table 2_State Distrib and Adjs'!AF49</f>
        <v>24431186</v>
      </c>
      <c r="D48" s="368">
        <f>-'Table 5A2 LSMSA'!K49</f>
        <v>-4946.1795763109103</v>
      </c>
      <c r="E48" s="368">
        <f>-'Table 5A3 NOCCA'!K49</f>
        <v>0</v>
      </c>
      <c r="F48" s="368">
        <f>-'Table 5A4_LSDVI'!K49</f>
        <v>-3359.76</v>
      </c>
      <c r="G48" s="368">
        <f>-'Table 5A5_SSD'!K49</f>
        <v>0</v>
      </c>
      <c r="H48" s="368"/>
      <c r="I48" s="368"/>
      <c r="J48" s="368">
        <f>-'Table 5C1A-Madison Prep'!O49-'Table 5C1A-Madison Prep'!R49</f>
        <v>0</v>
      </c>
      <c r="K48" s="368">
        <f>-'Table 5C1B-DArbonne'!O49-'Table 5C1B-DArbonne'!R49</f>
        <v>0</v>
      </c>
      <c r="L48" s="368">
        <f>-'Table 5C1C-Intl_VIBE'!O49-'Table 5C1C-Intl_VIBE'!R49</f>
        <v>0</v>
      </c>
      <c r="M48" s="368">
        <f>-'Table 5C1D-NOMMA'!O49-'Table 5C1D-NOMMA'!R49</f>
        <v>0</v>
      </c>
      <c r="N48" s="368">
        <f>-'Table 5C1E-LFNO'!O49-'Table 5C1E-LFNO'!R49</f>
        <v>0</v>
      </c>
      <c r="O48" s="368">
        <f>-'Table 5C1F-Lake Charles Charter'!O49-'Table 5C1F-Lake Charles Charter'!R49</f>
        <v>0</v>
      </c>
      <c r="P48" s="368">
        <f>-'Table 5C1G-JS Clark Academy'!O49-'Table 5C1G-JS Clark Academy'!R49</f>
        <v>0</v>
      </c>
      <c r="Q48" s="368">
        <f>-'Table 5C1H-Southwest LA Charter'!O49-'Table 5C1H-Southwest LA Charter'!R49</f>
        <v>0</v>
      </c>
      <c r="R48" s="368">
        <f>-'Table 5C2 - LA Virtual Admy'!P46-'Table 5C2 - LA Virtual Admy'!S46</f>
        <v>-75586.5</v>
      </c>
      <c r="S48" s="368">
        <f>-'Table 5C3 - LA Connections EBR'!P46-'Table 5C3 - LA Connections EBR'!S46</f>
        <v>-30234.600000000002</v>
      </c>
      <c r="T48" s="368">
        <f>-'Table 5D1 - New Vision'!N49-'Table 5D1 - New Vision'!Q49</f>
        <v>0</v>
      </c>
      <c r="U48" s="368">
        <f>-'Table 5D2 - Glencoe'!N49-'Table 5D2 - Glencoe'!Q49</f>
        <v>0</v>
      </c>
      <c r="V48" s="368">
        <f>-'Table 5D3 - International'!N49-'Table 5D3 - International'!Q49</f>
        <v>0</v>
      </c>
      <c r="W48" s="368">
        <f>-'Table 5D4 - Avoyelles'!N49-'Table 5D4 - Avoyelles'!Q49</f>
        <v>0</v>
      </c>
      <c r="X48" s="368">
        <f>-'Table 5D5 - Delhi'!N49-'Table 5D5 - Delhi'!Q49</f>
        <v>0</v>
      </c>
      <c r="Y48" s="368">
        <f>-'Table 5D6 - Milestone'!N49-'Table 5D6 - Milestone'!Q49</f>
        <v>0</v>
      </c>
      <c r="Z48" s="368">
        <f>-'Table 5D7 - Max'!N49-'Table 5D7 - Max'!Q49</f>
        <v>0</v>
      </c>
      <c r="AA48" s="368">
        <f>-'Table 5D8 - Belle Chasse'!P49-'Table 5D8 - Belle Chasse'!U49</f>
        <v>0</v>
      </c>
      <c r="AB48" s="368">
        <f>-'Table 5E_OJJ'!P49-'Table 5E_OJJ'!Q49</f>
        <v>-739.97976273425149</v>
      </c>
      <c r="AC48" s="368">
        <f>-'Table 5F Scholarships'!G53</f>
        <v>0</v>
      </c>
      <c r="AD48" s="368">
        <f t="shared" si="21"/>
        <v>-114867.01933904516</v>
      </c>
      <c r="AE48" s="764">
        <f t="shared" si="22"/>
        <v>24316318.980660953</v>
      </c>
      <c r="AK48"/>
      <c r="AT48"/>
    </row>
    <row r="49" spans="1:46">
      <c r="A49" s="101">
        <v>44</v>
      </c>
      <c r="B49" s="311" t="s">
        <v>145</v>
      </c>
      <c r="C49" s="320">
        <f>'Table 2_State Distrib and Adjs'!AF50</f>
        <v>27915316</v>
      </c>
      <c r="D49" s="368">
        <f>-'Table 5A2 LSMSA'!K50</f>
        <v>-5790.833309897771</v>
      </c>
      <c r="E49" s="368">
        <f>-'Table 5A3 NOCCA'!K50</f>
        <v>-17372.499929693313</v>
      </c>
      <c r="F49" s="368">
        <f>-'Table 5A4_LSDVI'!K50</f>
        <v>-19662.8</v>
      </c>
      <c r="G49" s="368">
        <f>-'Table 5A5_SSD'!K50</f>
        <v>-7865.12</v>
      </c>
      <c r="H49" s="368"/>
      <c r="I49" s="368"/>
      <c r="J49" s="368">
        <f>-'Table 5C1A-Madison Prep'!O50-'Table 5C1A-Madison Prep'!R50</f>
        <v>0</v>
      </c>
      <c r="K49" s="368">
        <f>-'Table 5C1B-DArbonne'!O50-'Table 5C1B-DArbonne'!R50</f>
        <v>0</v>
      </c>
      <c r="L49" s="368">
        <f>-'Table 5C1C-Intl_VIBE'!O50-'Table 5C1C-Intl_VIBE'!R50</f>
        <v>-4166</v>
      </c>
      <c r="M49" s="368">
        <f>-'Table 5C1D-NOMMA'!O50-'Table 5C1D-NOMMA'!R50</f>
        <v>0</v>
      </c>
      <c r="N49" s="368">
        <f>-'Table 5C1E-LFNO'!O50-'Table 5C1E-LFNO'!R50</f>
        <v>0</v>
      </c>
      <c r="O49" s="368">
        <f>-'Table 5C1F-Lake Charles Charter'!O50-'Table 5C1F-Lake Charles Charter'!R50</f>
        <v>0</v>
      </c>
      <c r="P49" s="368">
        <f>-'Table 5C1G-JS Clark Academy'!O50-'Table 5C1G-JS Clark Academy'!R50</f>
        <v>0</v>
      </c>
      <c r="Q49" s="368">
        <f>-'Table 5C1H-Southwest LA Charter'!O50-'Table 5C1H-Southwest LA Charter'!R50</f>
        <v>0</v>
      </c>
      <c r="R49" s="368">
        <f>-'Table 5C2 - LA Virtual Admy'!P47-'Table 5C2 - LA Virtual Admy'!S47</f>
        <v>-20974.500000000004</v>
      </c>
      <c r="S49" s="368">
        <f>-'Table 5C3 - LA Connections EBR'!P47-'Table 5C3 - LA Connections EBR'!S47</f>
        <v>-16779.600000000002</v>
      </c>
      <c r="T49" s="368">
        <f>-'Table 5D1 - New Vision'!N50-'Table 5D1 - New Vision'!Q50</f>
        <v>0</v>
      </c>
      <c r="U49" s="368">
        <f>-'Table 5D2 - Glencoe'!N50-'Table 5D2 - Glencoe'!Q50</f>
        <v>0</v>
      </c>
      <c r="V49" s="368">
        <f>-'Table 5D3 - International'!N50-'Table 5D3 - International'!Q50</f>
        <v>-49992</v>
      </c>
      <c r="W49" s="368">
        <f>-'Table 5D4 - Avoyelles'!N50-'Table 5D4 - Avoyelles'!Q50</f>
        <v>0</v>
      </c>
      <c r="X49" s="368">
        <f>-'Table 5D5 - Delhi'!N50-'Table 5D5 - Delhi'!Q50</f>
        <v>0</v>
      </c>
      <c r="Y49" s="368">
        <f>-'Table 5D6 - Milestone'!N50-'Table 5D6 - Milestone'!Q50</f>
        <v>-4661</v>
      </c>
      <c r="Z49" s="368">
        <f>-'Table 5D7 - Max'!N50-'Table 5D7 - Max'!Q50</f>
        <v>0</v>
      </c>
      <c r="AA49" s="368">
        <f>-'Table 5D8 - Belle Chasse'!P50-'Table 5D8 - Belle Chasse'!U50</f>
        <v>0</v>
      </c>
      <c r="AB49" s="368">
        <f>-'Table 5E_OJJ'!P50-'Table 5E_OJJ'!Q50</f>
        <v>-3135.2215550097867</v>
      </c>
      <c r="AC49" s="368">
        <f>-'Table 5F Scholarships'!G54</f>
        <v>0</v>
      </c>
      <c r="AD49" s="368">
        <f t="shared" si="21"/>
        <v>-150399.57479460089</v>
      </c>
      <c r="AE49" s="764">
        <f t="shared" si="22"/>
        <v>27764916.425205398</v>
      </c>
      <c r="AK49"/>
      <c r="AT49"/>
    </row>
    <row r="50" spans="1:46">
      <c r="A50" s="102">
        <v>45</v>
      </c>
      <c r="B50" s="312" t="s">
        <v>146</v>
      </c>
      <c r="C50" s="329">
        <f>'Table 2_State Distrib and Adjs'!AF51</f>
        <v>29783752</v>
      </c>
      <c r="D50" s="369">
        <f>-'Table 5A2 LSMSA'!K51</f>
        <v>-19571.41682636286</v>
      </c>
      <c r="E50" s="369">
        <f>-'Table 5A3 NOCCA'!K51</f>
        <v>-22833.319630756672</v>
      </c>
      <c r="F50" s="369">
        <f>-'Table 5A4_LSDVI'!K51</f>
        <v>0</v>
      </c>
      <c r="G50" s="369">
        <f>-'Table 5A5_SSD'!K51</f>
        <v>-20025.400000000001</v>
      </c>
      <c r="H50" s="369"/>
      <c r="I50" s="369"/>
      <c r="J50" s="369">
        <f>-'Table 5C1A-Madison Prep'!O51-'Table 5C1A-Madison Prep'!R51</f>
        <v>0</v>
      </c>
      <c r="K50" s="369">
        <f>-'Table 5C1B-DArbonne'!O51-'Table 5C1B-DArbonne'!R51</f>
        <v>0</v>
      </c>
      <c r="L50" s="369">
        <f>-'Table 5C1C-Intl_VIBE'!O51-'Table 5C1C-Intl_VIBE'!R51</f>
        <v>-20648</v>
      </c>
      <c r="M50" s="369">
        <f>-'Table 5C1D-NOMMA'!O51-'Table 5C1D-NOMMA'!R51</f>
        <v>-11650</v>
      </c>
      <c r="N50" s="369">
        <f>-'Table 5C1E-LFNO'!O51-'Table 5C1E-LFNO'!R51</f>
        <v>0</v>
      </c>
      <c r="O50" s="369">
        <f>-'Table 5C1F-Lake Charles Charter'!O51-'Table 5C1F-Lake Charles Charter'!R51</f>
        <v>0</v>
      </c>
      <c r="P50" s="369">
        <f>-'Table 5C1G-JS Clark Academy'!O51-'Table 5C1G-JS Clark Academy'!R51</f>
        <v>0</v>
      </c>
      <c r="Q50" s="369">
        <f>-'Table 5C1H-Southwest LA Charter'!O51-'Table 5C1H-Southwest LA Charter'!R51</f>
        <v>0</v>
      </c>
      <c r="R50" s="369">
        <f>-'Table 5C2 - LA Virtual Admy'!P48-'Table 5C2 - LA Virtual Admy'!S48</f>
        <v>-20970</v>
      </c>
      <c r="S50" s="369">
        <f>-'Table 5C3 - LA Connections EBR'!P48-'Table 5C3 - LA Connections EBR'!S48</f>
        <v>-62910</v>
      </c>
      <c r="T50" s="369">
        <f>-'Table 5D1 - New Vision'!N51-'Table 5D1 - New Vision'!Q51</f>
        <v>0</v>
      </c>
      <c r="U50" s="369">
        <f>-'Table 5D2 - Glencoe'!N51-'Table 5D2 - Glencoe'!Q51</f>
        <v>0</v>
      </c>
      <c r="V50" s="369">
        <f>-'Table 5D3 - International'!N51-'Table 5D3 - International'!Q51</f>
        <v>-51620</v>
      </c>
      <c r="W50" s="369">
        <f>-'Table 5D4 - Avoyelles'!N51-'Table 5D4 - Avoyelles'!Q51</f>
        <v>0</v>
      </c>
      <c r="X50" s="369">
        <f>-'Table 5D5 - Delhi'!N51-'Table 5D5 - Delhi'!Q51</f>
        <v>0</v>
      </c>
      <c r="Y50" s="369">
        <f>-'Table 5D6 - Milestone'!N51-'Table 5D6 - Milestone'!Q51</f>
        <v>0</v>
      </c>
      <c r="Z50" s="369">
        <f>-'Table 5D7 - Max'!N51-'Table 5D7 - Max'!Q51</f>
        <v>-46600</v>
      </c>
      <c r="AA50" s="369">
        <f>-'Table 5D8 - Belle Chasse'!P51-'Table 5D8 - Belle Chasse'!U51</f>
        <v>-11650</v>
      </c>
      <c r="AB50" s="369">
        <f>-'Table 5E_OJJ'!P51-'Table 5E_OJJ'!Q51</f>
        <v>-12449.166086459014</v>
      </c>
      <c r="AC50" s="369">
        <f>-'Table 5F Scholarships'!G55</f>
        <v>0</v>
      </c>
      <c r="AD50" s="369">
        <f t="shared" si="21"/>
        <v>-300927.30254357855</v>
      </c>
      <c r="AE50" s="765">
        <f t="shared" si="22"/>
        <v>29482824.697456423</v>
      </c>
      <c r="AK50"/>
      <c r="AT50"/>
    </row>
    <row r="51" spans="1:46">
      <c r="A51" s="101">
        <v>46</v>
      </c>
      <c r="B51" s="311" t="s">
        <v>147</v>
      </c>
      <c r="C51" s="320">
        <f>'Table 2_State Distrib and Adjs'!AF52</f>
        <v>4865679</v>
      </c>
      <c r="D51" s="368">
        <f>-'Table 5A2 LSMSA'!K52</f>
        <v>0</v>
      </c>
      <c r="E51" s="368">
        <f>-'Table 5A3 NOCCA'!K52</f>
        <v>0</v>
      </c>
      <c r="F51" s="368">
        <f>-'Table 5A4_LSDVI'!K52</f>
        <v>0</v>
      </c>
      <c r="G51" s="368">
        <f>-'Table 5A5_SSD'!K52</f>
        <v>0</v>
      </c>
      <c r="H51" s="368">
        <f>-'Table 5B2_RSD_LA'!Q35-'Table 5B2_RSD_LA'!V35</f>
        <v>-324021</v>
      </c>
      <c r="I51" s="368"/>
      <c r="J51" s="368">
        <f>-'Table 5C1A-Madison Prep'!O52-'Table 5C1A-Madison Prep'!R52</f>
        <v>0</v>
      </c>
      <c r="K51" s="368">
        <f>-'Table 5C1B-DArbonne'!O52-'Table 5C1B-DArbonne'!R52</f>
        <v>0</v>
      </c>
      <c r="L51" s="368">
        <f>-'Table 5C1C-Intl_VIBE'!O52-'Table 5C1C-Intl_VIBE'!R52</f>
        <v>0</v>
      </c>
      <c r="M51" s="368">
        <f>-'Table 5C1D-NOMMA'!O52-'Table 5C1D-NOMMA'!R52</f>
        <v>0</v>
      </c>
      <c r="N51" s="368">
        <f>-'Table 5C1E-LFNO'!O52-'Table 5C1E-LFNO'!R52</f>
        <v>0</v>
      </c>
      <c r="O51" s="368">
        <f>-'Table 5C1F-Lake Charles Charter'!O52-'Table 5C1F-Lake Charles Charter'!R52</f>
        <v>0</v>
      </c>
      <c r="P51" s="368">
        <f>-'Table 5C1G-JS Clark Academy'!O52-'Table 5C1G-JS Clark Academy'!R52</f>
        <v>0</v>
      </c>
      <c r="Q51" s="368">
        <f>-'Table 5C1H-Southwest LA Charter'!O52-'Table 5C1H-Southwest LA Charter'!R52</f>
        <v>0</v>
      </c>
      <c r="R51" s="368">
        <f>-'Table 5C2 - LA Virtual Admy'!P49-'Table 5C2 - LA Virtual Admy'!S49</f>
        <v>-11270.7</v>
      </c>
      <c r="S51" s="368">
        <f>-'Table 5C3 - LA Connections EBR'!P49-'Table 5C3 - LA Connections EBR'!S49</f>
        <v>0</v>
      </c>
      <c r="T51" s="368">
        <f>-'Table 5D1 - New Vision'!N52-'Table 5D1 - New Vision'!Q52</f>
        <v>0</v>
      </c>
      <c r="U51" s="368">
        <f>-'Table 5D2 - Glencoe'!N52-'Table 5D2 - Glencoe'!Q52</f>
        <v>0</v>
      </c>
      <c r="V51" s="368">
        <f>-'Table 5D3 - International'!N52-'Table 5D3 - International'!Q52</f>
        <v>0</v>
      </c>
      <c r="W51" s="368">
        <f>-'Table 5D4 - Avoyelles'!N52-'Table 5D4 - Avoyelles'!Q52</f>
        <v>0</v>
      </c>
      <c r="X51" s="368">
        <f>-'Table 5D5 - Delhi'!N52-'Table 5D5 - Delhi'!Q52</f>
        <v>0</v>
      </c>
      <c r="Y51" s="368">
        <f>-'Table 5D6 - Milestone'!N52-'Table 5D6 - Milestone'!Q52</f>
        <v>0</v>
      </c>
      <c r="Z51" s="368">
        <f>-'Table 5D7 - Max'!N52-'Table 5D7 - Max'!Q52</f>
        <v>0</v>
      </c>
      <c r="AA51" s="368">
        <f>-'Table 5D8 - Belle Chasse'!P52-'Table 5D8 - Belle Chasse'!U52</f>
        <v>0</v>
      </c>
      <c r="AB51" s="368">
        <f>-'Table 5E_OJJ'!P52-'Table 5E_OJJ'!Q52</f>
        <v>0</v>
      </c>
      <c r="AC51" s="368">
        <f>-'Table 5F Scholarships'!G56</f>
        <v>0</v>
      </c>
      <c r="AD51" s="368">
        <f t="shared" si="21"/>
        <v>-335291.7</v>
      </c>
      <c r="AE51" s="764">
        <f t="shared" si="22"/>
        <v>4530387.3</v>
      </c>
      <c r="AK51"/>
      <c r="AT51"/>
    </row>
    <row r="52" spans="1:46">
      <c r="A52" s="101">
        <v>47</v>
      </c>
      <c r="B52" s="311" t="s">
        <v>148</v>
      </c>
      <c r="C52" s="320">
        <f>'Table 2_State Distrib and Adjs'!AF53</f>
        <v>14887375</v>
      </c>
      <c r="D52" s="368">
        <f>-'Table 5A2 LSMSA'!K53</f>
        <v>-8317.248467773421</v>
      </c>
      <c r="E52" s="368">
        <f>-'Table 5A3 NOCCA'!K53</f>
        <v>0</v>
      </c>
      <c r="F52" s="368">
        <f>-'Table 5A4_LSDVI'!K53</f>
        <v>-5172.8100000000004</v>
      </c>
      <c r="G52" s="368">
        <f>-'Table 5A5_SSD'!K53</f>
        <v>0</v>
      </c>
      <c r="H52" s="368"/>
      <c r="I52" s="368"/>
      <c r="J52" s="368">
        <f>-'Table 5C1A-Madison Prep'!O53-'Table 5C1A-Madison Prep'!R53</f>
        <v>0</v>
      </c>
      <c r="K52" s="368">
        <f>-'Table 5C1B-DArbonne'!O53-'Table 5C1B-DArbonne'!R53</f>
        <v>0</v>
      </c>
      <c r="L52" s="368">
        <f>-'Table 5C1C-Intl_VIBE'!O53-'Table 5C1C-Intl_VIBE'!R53</f>
        <v>0</v>
      </c>
      <c r="M52" s="368">
        <f>-'Table 5C1D-NOMMA'!O53-'Table 5C1D-NOMMA'!R53</f>
        <v>0</v>
      </c>
      <c r="N52" s="368">
        <f>-'Table 5C1E-LFNO'!O53-'Table 5C1E-LFNO'!R53</f>
        <v>0</v>
      </c>
      <c r="O52" s="368">
        <f>-'Table 5C1F-Lake Charles Charter'!O53-'Table 5C1F-Lake Charles Charter'!R53</f>
        <v>0</v>
      </c>
      <c r="P52" s="368">
        <f>-'Table 5C1G-JS Clark Academy'!O53-'Table 5C1G-JS Clark Academy'!R53</f>
        <v>0</v>
      </c>
      <c r="Q52" s="368">
        <f>-'Table 5C1H-Southwest LA Charter'!O53-'Table 5C1H-Southwest LA Charter'!R53</f>
        <v>0</v>
      </c>
      <c r="R52" s="368">
        <f>-'Table 5C2 - LA Virtual Admy'!P50-'Table 5C2 - LA Virtual Admy'!S50</f>
        <v>-26856.9</v>
      </c>
      <c r="S52" s="368">
        <f>-'Table 5C3 - LA Connections EBR'!P50-'Table 5C3 - LA Connections EBR'!S50</f>
        <v>0</v>
      </c>
      <c r="T52" s="368">
        <f>-'Table 5D1 - New Vision'!N53-'Table 5D1 - New Vision'!Q53</f>
        <v>0</v>
      </c>
      <c r="U52" s="368">
        <f>-'Table 5D2 - Glencoe'!N53-'Table 5D2 - Glencoe'!Q53</f>
        <v>0</v>
      </c>
      <c r="V52" s="368">
        <f>-'Table 5D3 - International'!N53-'Table 5D3 - International'!Q53</f>
        <v>0</v>
      </c>
      <c r="W52" s="368">
        <f>-'Table 5D4 - Avoyelles'!N53-'Table 5D4 - Avoyelles'!Q53</f>
        <v>0</v>
      </c>
      <c r="X52" s="368">
        <f>-'Table 5D5 - Delhi'!N53-'Table 5D5 - Delhi'!Q53</f>
        <v>0</v>
      </c>
      <c r="Y52" s="368">
        <f>-'Table 5D6 - Milestone'!N53-'Table 5D6 - Milestone'!Q53</f>
        <v>0</v>
      </c>
      <c r="Z52" s="368">
        <f>-'Table 5D7 - Max'!N53-'Table 5D7 - Max'!Q53</f>
        <v>-39788</v>
      </c>
      <c r="AA52" s="368">
        <f>-'Table 5D8 - Belle Chasse'!P53-'Table 5D8 - Belle Chasse'!U53</f>
        <v>0</v>
      </c>
      <c r="AB52" s="368">
        <f>-'Table 5E_OJJ'!P53-'Table 5E_OJJ'!Q53</f>
        <v>0</v>
      </c>
      <c r="AC52" s="368">
        <f>-'Table 5F Scholarships'!G57</f>
        <v>0</v>
      </c>
      <c r="AD52" s="368">
        <f t="shared" si="21"/>
        <v>-80134.958467773424</v>
      </c>
      <c r="AE52" s="764">
        <f t="shared" si="22"/>
        <v>14807240.041532226</v>
      </c>
      <c r="AK52"/>
      <c r="AT52"/>
    </row>
    <row r="53" spans="1:46">
      <c r="A53" s="101">
        <v>48</v>
      </c>
      <c r="B53" s="311" t="s">
        <v>222</v>
      </c>
      <c r="C53" s="320">
        <f>'Table 2_State Distrib and Adjs'!AF54</f>
        <v>31796601</v>
      </c>
      <c r="D53" s="368">
        <f>-'Table 5A2 LSMSA'!K54</f>
        <v>-5745.5570525881722</v>
      </c>
      <c r="E53" s="368">
        <f>-'Table 5A3 NOCCA'!K54</f>
        <v>0</v>
      </c>
      <c r="F53" s="368">
        <f>-'Table 5A4_LSDVI'!K54</f>
        <v>-12105.69</v>
      </c>
      <c r="G53" s="368">
        <f>-'Table 5A5_SSD'!K54</f>
        <v>0</v>
      </c>
      <c r="H53" s="368"/>
      <c r="I53" s="368"/>
      <c r="J53" s="368">
        <f>-'Table 5C1A-Madison Prep'!O54-'Table 5C1A-Madison Prep'!R54</f>
        <v>0</v>
      </c>
      <c r="K53" s="368">
        <f>-'Table 5C1B-DArbonne'!O54-'Table 5C1B-DArbonne'!R54</f>
        <v>0</v>
      </c>
      <c r="L53" s="368">
        <f>-'Table 5C1C-Intl_VIBE'!O54-'Table 5C1C-Intl_VIBE'!R54</f>
        <v>-8600</v>
      </c>
      <c r="M53" s="368">
        <f>-'Table 5C1D-NOMMA'!O54-'Table 5C1D-NOMMA'!R54</f>
        <v>0</v>
      </c>
      <c r="N53" s="368">
        <f>-'Table 5C1E-LFNO'!O54-'Table 5C1E-LFNO'!R54</f>
        <v>0</v>
      </c>
      <c r="O53" s="368">
        <f>-'Table 5C1F-Lake Charles Charter'!O54-'Table 5C1F-Lake Charles Charter'!R54</f>
        <v>0</v>
      </c>
      <c r="P53" s="368">
        <f>-'Table 5C1G-JS Clark Academy'!O54-'Table 5C1G-JS Clark Academy'!R54</f>
        <v>0</v>
      </c>
      <c r="Q53" s="368">
        <f>-'Table 5C1H-Southwest LA Charter'!O54-'Table 5C1H-Southwest LA Charter'!R54</f>
        <v>0</v>
      </c>
      <c r="R53" s="368">
        <f>-'Table 5C2 - LA Virtual Admy'!P51-'Table 5C2 - LA Virtual Admy'!S51</f>
        <v>-62302.5</v>
      </c>
      <c r="S53" s="368">
        <f>-'Table 5C3 - LA Connections EBR'!P51-'Table 5C3 - LA Connections EBR'!S51</f>
        <v>-14377.5</v>
      </c>
      <c r="T53" s="368">
        <f>-'Table 5D1 - New Vision'!N54-'Table 5D1 - New Vision'!Q54</f>
        <v>0</v>
      </c>
      <c r="U53" s="368">
        <f>-'Table 5D2 - Glencoe'!N54-'Table 5D2 - Glencoe'!Q54</f>
        <v>0</v>
      </c>
      <c r="V53" s="368">
        <f>-'Table 5D3 - International'!N54-'Table 5D3 - International'!Q54</f>
        <v>-30100</v>
      </c>
      <c r="W53" s="368">
        <f>-'Table 5D4 - Avoyelles'!N54-'Table 5D4 - Avoyelles'!Q54</f>
        <v>0</v>
      </c>
      <c r="X53" s="368">
        <f>-'Table 5D5 - Delhi'!N54-'Table 5D5 - Delhi'!Q54</f>
        <v>0</v>
      </c>
      <c r="Y53" s="368">
        <f>-'Table 5D6 - Milestone'!N54-'Table 5D6 - Milestone'!Q54</f>
        <v>-10650</v>
      </c>
      <c r="Z53" s="368">
        <f>-'Table 5D7 - Max'!N54-'Table 5D7 - Max'!Q54</f>
        <v>-5325</v>
      </c>
      <c r="AA53" s="368">
        <f>-'Table 5D8 - Belle Chasse'!P54-'Table 5D8 - Belle Chasse'!U54</f>
        <v>0</v>
      </c>
      <c r="AB53" s="368">
        <f>-'Table 5E_OJJ'!P54-'Table 5E_OJJ'!Q54</f>
        <v>0</v>
      </c>
      <c r="AC53" s="368">
        <f>-'Table 5F Scholarships'!G58</f>
        <v>0</v>
      </c>
      <c r="AD53" s="368">
        <f t="shared" si="21"/>
        <v>-149206.24705258818</v>
      </c>
      <c r="AE53" s="764">
        <f t="shared" si="22"/>
        <v>31647394.752947409</v>
      </c>
      <c r="AK53"/>
      <c r="AT53"/>
    </row>
    <row r="54" spans="1:46">
      <c r="A54" s="101">
        <v>49</v>
      </c>
      <c r="B54" s="311" t="s">
        <v>149</v>
      </c>
      <c r="C54" s="320">
        <f>'Table 2_State Distrib and Adjs'!AF55</f>
        <v>77443833</v>
      </c>
      <c r="D54" s="368">
        <f>-'Table 5A2 LSMSA'!K55</f>
        <v>-2407.6907498193673</v>
      </c>
      <c r="E54" s="368">
        <f>-'Table 5A3 NOCCA'!K55</f>
        <v>0</v>
      </c>
      <c r="F54" s="368">
        <f>-'Table 5A4_LSDVI'!K55</f>
        <v>-6741.5399999999991</v>
      </c>
      <c r="G54" s="368">
        <f>-'Table 5A5_SSD'!K55</f>
        <v>-4494.3599999999997</v>
      </c>
      <c r="H54" s="368"/>
      <c r="I54" s="368"/>
      <c r="J54" s="368">
        <f>-'Table 5C1A-Madison Prep'!O55-'Table 5C1A-Madison Prep'!R55</f>
        <v>0</v>
      </c>
      <c r="K54" s="368">
        <f>-'Table 5C1B-DArbonne'!O55-'Table 5C1B-DArbonne'!R55</f>
        <v>0</v>
      </c>
      <c r="L54" s="368">
        <f>-'Table 5C1C-Intl_VIBE'!O55-'Table 5C1C-Intl_VIBE'!R55</f>
        <v>0</v>
      </c>
      <c r="M54" s="368">
        <f>-'Table 5C1D-NOMMA'!O55-'Table 5C1D-NOMMA'!R55</f>
        <v>0</v>
      </c>
      <c r="N54" s="368">
        <f>-'Table 5C1E-LFNO'!O55-'Table 5C1E-LFNO'!R55</f>
        <v>0</v>
      </c>
      <c r="O54" s="368">
        <f>-'Table 5C1F-Lake Charles Charter'!O55-'Table 5C1F-Lake Charles Charter'!R55</f>
        <v>0</v>
      </c>
      <c r="P54" s="368">
        <f>-'Table 5C1G-JS Clark Academy'!O55-'Table 5C1G-JS Clark Academy'!R55</f>
        <v>-418680</v>
      </c>
      <c r="Q54" s="368">
        <f>-'Table 5C1H-Southwest LA Charter'!O55-'Table 5C1H-Southwest LA Charter'!R55</f>
        <v>0</v>
      </c>
      <c r="R54" s="368">
        <f>-'Table 5C2 - LA Virtual Admy'!P52-'Table 5C2 - LA Virtual Admy'!S52</f>
        <v>-104670</v>
      </c>
      <c r="S54" s="368">
        <f>-'Table 5C3 - LA Connections EBR'!P52-'Table 5C3 - LA Connections EBR'!S52</f>
        <v>-20934</v>
      </c>
      <c r="T54" s="368">
        <f>-'Table 5D1 - New Vision'!N55-'Table 5D1 - New Vision'!Q55</f>
        <v>0</v>
      </c>
      <c r="U54" s="368">
        <f>-'Table 5D2 - Glencoe'!N55-'Table 5D2 - Glencoe'!Q55</f>
        <v>0</v>
      </c>
      <c r="V54" s="368">
        <f>-'Table 5D3 - International'!N55-'Table 5D3 - International'!Q55</f>
        <v>0</v>
      </c>
      <c r="W54" s="368">
        <f>-'Table 5D4 - Avoyelles'!N55-'Table 5D4 - Avoyelles'!Q55</f>
        <v>-9304</v>
      </c>
      <c r="X54" s="368">
        <f>-'Table 5D5 - Delhi'!N55-'Table 5D5 - Delhi'!Q55</f>
        <v>0</v>
      </c>
      <c r="Y54" s="368">
        <f>-'Table 5D6 - Milestone'!N55-'Table 5D6 - Milestone'!Q55</f>
        <v>0</v>
      </c>
      <c r="Z54" s="368">
        <f>-'Table 5D7 - Max'!N55-'Table 5D7 - Max'!Q55</f>
        <v>0</v>
      </c>
      <c r="AA54" s="368">
        <f>-'Table 5D8 - Belle Chasse'!P55-'Table 5D8 - Belle Chasse'!U55</f>
        <v>0</v>
      </c>
      <c r="AB54" s="368">
        <f>-'Table 5E_OJJ'!P55-'Table 5E_OJJ'!Q55</f>
        <v>-11982.801113768313</v>
      </c>
      <c r="AC54" s="368">
        <f>-'Table 5F Scholarships'!G59</f>
        <v>0</v>
      </c>
      <c r="AD54" s="368">
        <f t="shared" si="21"/>
        <v>-579214.39186358766</v>
      </c>
      <c r="AE54" s="764">
        <f t="shared" si="22"/>
        <v>76864618.608136401</v>
      </c>
      <c r="AK54"/>
      <c r="AT54"/>
    </row>
    <row r="55" spans="1:46">
      <c r="A55" s="102">
        <v>50</v>
      </c>
      <c r="B55" s="312" t="s">
        <v>150</v>
      </c>
      <c r="C55" s="329">
        <f>'Table 2_State Distrib and Adjs'!AF56</f>
        <v>45396431</v>
      </c>
      <c r="D55" s="369">
        <f>-'Table 5A2 LSMSA'!K56</f>
        <v>-2344.3039895859279</v>
      </c>
      <c r="E55" s="369">
        <f>-'Table 5A3 NOCCA'!K56</f>
        <v>0</v>
      </c>
      <c r="F55" s="369">
        <f>-'Table 5A4_LSDVI'!K56</f>
        <v>-2629.6</v>
      </c>
      <c r="G55" s="369">
        <f>-'Table 5A5_SSD'!K56</f>
        <v>0</v>
      </c>
      <c r="H55" s="369"/>
      <c r="I55" s="369"/>
      <c r="J55" s="369">
        <f>-'Table 5C1A-Madison Prep'!O56-'Table 5C1A-Madison Prep'!R56</f>
        <v>0</v>
      </c>
      <c r="K55" s="369">
        <f>-'Table 5C1B-DArbonne'!O56-'Table 5C1B-DArbonne'!R56</f>
        <v>0</v>
      </c>
      <c r="L55" s="369">
        <f>-'Table 5C1C-Intl_VIBE'!O56-'Table 5C1C-Intl_VIBE'!R56</f>
        <v>0</v>
      </c>
      <c r="M55" s="369">
        <f>-'Table 5C1D-NOMMA'!O56-'Table 5C1D-NOMMA'!R56</f>
        <v>0</v>
      </c>
      <c r="N55" s="369">
        <f>-'Table 5C1E-LFNO'!O56-'Table 5C1E-LFNO'!R56</f>
        <v>0</v>
      </c>
      <c r="O55" s="369">
        <f>-'Table 5C1F-Lake Charles Charter'!O56-'Table 5C1F-Lake Charles Charter'!R56</f>
        <v>0</v>
      </c>
      <c r="P55" s="369">
        <f>-'Table 5C1G-JS Clark Academy'!O56-'Table 5C1G-JS Clark Academy'!R56</f>
        <v>0</v>
      </c>
      <c r="Q55" s="369">
        <f>-'Table 5C1H-Southwest LA Charter'!O56-'Table 5C1H-Southwest LA Charter'!R56</f>
        <v>0</v>
      </c>
      <c r="R55" s="369">
        <f>-'Table 5C2 - LA Virtual Admy'!P53-'Table 5C2 - LA Virtual Admy'!S53</f>
        <v>-16216.199999999999</v>
      </c>
      <c r="S55" s="369">
        <f>-'Table 5C3 - LA Connections EBR'!P53-'Table 5C3 - LA Connections EBR'!S53</f>
        <v>-34749</v>
      </c>
      <c r="T55" s="369">
        <f>-'Table 5D1 - New Vision'!N56-'Table 5D1 - New Vision'!Q56</f>
        <v>0</v>
      </c>
      <c r="U55" s="369">
        <f>-'Table 5D2 - Glencoe'!N56-'Table 5D2 - Glencoe'!Q56</f>
        <v>0</v>
      </c>
      <c r="V55" s="369">
        <f>-'Table 5D3 - International'!N56-'Table 5D3 - International'!Q56</f>
        <v>0</v>
      </c>
      <c r="W55" s="369">
        <f>-'Table 5D4 - Avoyelles'!N56-'Table 5D4 - Avoyelles'!Q56</f>
        <v>0</v>
      </c>
      <c r="X55" s="369">
        <f>-'Table 5D5 - Delhi'!N56-'Table 5D5 - Delhi'!Q56</f>
        <v>0</v>
      </c>
      <c r="Y55" s="369">
        <f>-'Table 5D6 - Milestone'!N56-'Table 5D6 - Milestone'!Q56</f>
        <v>0</v>
      </c>
      <c r="Z55" s="369">
        <f>-'Table 5D7 - Max'!N56-'Table 5D7 - Max'!Q56</f>
        <v>0</v>
      </c>
      <c r="AA55" s="369">
        <f>-'Table 5D8 - Belle Chasse'!P56-'Table 5D8 - Belle Chasse'!U56</f>
        <v>0</v>
      </c>
      <c r="AB55" s="369">
        <f>-'Table 5E_OJJ'!P56-'Table 5E_OJJ'!Q56</f>
        <v>-11362.171523938177</v>
      </c>
      <c r="AC55" s="369">
        <f>-'Table 5F Scholarships'!G60</f>
        <v>0</v>
      </c>
      <c r="AD55" s="369">
        <f t="shared" si="21"/>
        <v>-67301.275513524102</v>
      </c>
      <c r="AE55" s="765">
        <f t="shared" si="22"/>
        <v>45329129.72448647</v>
      </c>
      <c r="AK55"/>
      <c r="AT55"/>
    </row>
    <row r="56" spans="1:46">
      <c r="A56" s="101">
        <v>51</v>
      </c>
      <c r="B56" s="311" t="s">
        <v>151</v>
      </c>
      <c r="C56" s="320">
        <f>'Table 2_State Distrib and Adjs'!AF57</f>
        <v>46010969</v>
      </c>
      <c r="D56" s="368">
        <f>-'Table 5A2 LSMSA'!K57</f>
        <v>-7284.4467315888915</v>
      </c>
      <c r="E56" s="368">
        <f>-'Table 5A3 NOCCA'!K57</f>
        <v>0</v>
      </c>
      <c r="F56" s="368">
        <f>-'Table 5A4_LSDVI'!K57</f>
        <v>-7784.2</v>
      </c>
      <c r="G56" s="368">
        <f>-'Table 5A5_SSD'!K57</f>
        <v>-19460.5</v>
      </c>
      <c r="H56" s="368"/>
      <c r="I56" s="368"/>
      <c r="J56" s="368">
        <f>-'Table 5C1A-Madison Prep'!O57-'Table 5C1A-Madison Prep'!R57</f>
        <v>0</v>
      </c>
      <c r="K56" s="368">
        <f>-'Table 5C1B-DArbonne'!O57-'Table 5C1B-DArbonne'!R57</f>
        <v>0</v>
      </c>
      <c r="L56" s="368">
        <f>-'Table 5C1C-Intl_VIBE'!O57-'Table 5C1C-Intl_VIBE'!R57</f>
        <v>0</v>
      </c>
      <c r="M56" s="368">
        <f>-'Table 5C1D-NOMMA'!O57-'Table 5C1D-NOMMA'!R57</f>
        <v>0</v>
      </c>
      <c r="N56" s="368">
        <f>-'Table 5C1E-LFNO'!O57-'Table 5C1E-LFNO'!R57</f>
        <v>0</v>
      </c>
      <c r="O56" s="368">
        <f>-'Table 5C1F-Lake Charles Charter'!O57-'Table 5C1F-Lake Charles Charter'!R57</f>
        <v>0</v>
      </c>
      <c r="P56" s="368">
        <f>-'Table 5C1G-JS Clark Academy'!O57-'Table 5C1G-JS Clark Academy'!R57</f>
        <v>0</v>
      </c>
      <c r="Q56" s="368">
        <f>-'Table 5C1H-Southwest LA Charter'!O57-'Table 5C1H-Southwest LA Charter'!R57</f>
        <v>0</v>
      </c>
      <c r="R56" s="368">
        <f>-'Table 5C2 - LA Virtual Admy'!P54-'Table 5C2 - LA Virtual Admy'!S54</f>
        <v>-24840.9</v>
      </c>
      <c r="S56" s="368">
        <f>-'Table 5C3 - LA Connections EBR'!P54-'Table 5C3 - LA Connections EBR'!S54</f>
        <v>-17743.5</v>
      </c>
      <c r="T56" s="368">
        <f>-'Table 5D1 - New Vision'!N57-'Table 5D1 - New Vision'!Q57</f>
        <v>0</v>
      </c>
      <c r="U56" s="368">
        <f>-'Table 5D2 - Glencoe'!N57-'Table 5D2 - Glencoe'!Q57</f>
        <v>-1131641</v>
      </c>
      <c r="V56" s="368">
        <f>-'Table 5D3 - International'!N57-'Table 5D3 - International'!Q57</f>
        <v>0</v>
      </c>
      <c r="W56" s="368">
        <f>-'Table 5D4 - Avoyelles'!N57-'Table 5D4 - Avoyelles'!Q57</f>
        <v>0</v>
      </c>
      <c r="X56" s="368">
        <f>-'Table 5D5 - Delhi'!N57-'Table 5D5 - Delhi'!Q57</f>
        <v>0</v>
      </c>
      <c r="Y56" s="368">
        <f>-'Table 5D6 - Milestone'!N57-'Table 5D6 - Milestone'!Q57</f>
        <v>0</v>
      </c>
      <c r="Z56" s="368">
        <f>-'Table 5D7 - Max'!N57-'Table 5D7 - Max'!Q57</f>
        <v>-7886</v>
      </c>
      <c r="AA56" s="368">
        <f>-'Table 5D8 - Belle Chasse'!P57-'Table 5D8 - Belle Chasse'!U57</f>
        <v>0</v>
      </c>
      <c r="AB56" s="368">
        <f>-'Table 5E_OJJ'!P57-'Table 5E_OJJ'!Q57</f>
        <v>-7128.8488908573809</v>
      </c>
      <c r="AC56" s="368">
        <f>-'Table 5F Scholarships'!G61</f>
        <v>0</v>
      </c>
      <c r="AD56" s="368">
        <f t="shared" si="21"/>
        <v>-1223769.3956224462</v>
      </c>
      <c r="AE56" s="764">
        <f t="shared" si="22"/>
        <v>44787199.604377553</v>
      </c>
      <c r="AK56"/>
      <c r="AT56"/>
    </row>
    <row r="57" spans="1:46">
      <c r="A57" s="101">
        <v>52</v>
      </c>
      <c r="B57" s="311" t="s">
        <v>152</v>
      </c>
      <c r="C57" s="320">
        <f>'Table 2_State Distrib and Adjs'!AF58</f>
        <v>203050726</v>
      </c>
      <c r="D57" s="368">
        <f>-'Table 5A2 LSMSA'!K58</f>
        <v>-41006.706245304238</v>
      </c>
      <c r="E57" s="368">
        <f>-'Table 5A3 NOCCA'!K58</f>
        <v>-10631.368285819617</v>
      </c>
      <c r="F57" s="368">
        <f>-'Table 5A4_LSDVI'!K58</f>
        <v>-28515.759999999998</v>
      </c>
      <c r="G57" s="368">
        <f>-'Table 5A5_SSD'!K58</f>
        <v>-60595.99</v>
      </c>
      <c r="H57" s="368"/>
      <c r="I57" s="368"/>
      <c r="J57" s="368">
        <f>-'Table 5C1A-Madison Prep'!O58-'Table 5C1A-Madison Prep'!R58</f>
        <v>0</v>
      </c>
      <c r="K57" s="368">
        <f>-'Table 5C1B-DArbonne'!O58-'Table 5C1B-DArbonne'!R58</f>
        <v>0</v>
      </c>
      <c r="L57" s="368">
        <f>-'Table 5C1C-Intl_VIBE'!O58-'Table 5C1C-Intl_VIBE'!R58</f>
        <v>-3930</v>
      </c>
      <c r="M57" s="368">
        <f>-'Table 5C1D-NOMMA'!O58-'Table 5C1D-NOMMA'!R58</f>
        <v>-4750</v>
      </c>
      <c r="N57" s="368">
        <f>-'Table 5C1E-LFNO'!O58-'Table 5C1E-LFNO'!R58</f>
        <v>0</v>
      </c>
      <c r="O57" s="368">
        <f>-'Table 5C1F-Lake Charles Charter'!O58-'Table 5C1F-Lake Charles Charter'!R58</f>
        <v>0</v>
      </c>
      <c r="P57" s="368">
        <f>-'Table 5C1G-JS Clark Academy'!O58-'Table 5C1G-JS Clark Academy'!R58</f>
        <v>0</v>
      </c>
      <c r="Q57" s="368">
        <f>-'Table 5C1H-Southwest LA Charter'!O58-'Table 5C1H-Southwest LA Charter'!R58</f>
        <v>0</v>
      </c>
      <c r="R57" s="368">
        <f>-'Table 5C2 - LA Virtual Admy'!P55-'Table 5C2 - LA Virtual Admy'!S55</f>
        <v>-294910.2</v>
      </c>
      <c r="S57" s="368">
        <f>-'Table 5C3 - LA Connections EBR'!P55-'Table 5C3 - LA Connections EBR'!S55</f>
        <v>-218025</v>
      </c>
      <c r="T57" s="368">
        <f>-'Table 5D1 - New Vision'!N58-'Table 5D1 - New Vision'!Q58</f>
        <v>0</v>
      </c>
      <c r="U57" s="368">
        <f>-'Table 5D2 - Glencoe'!N58-'Table 5D2 - Glencoe'!Q58</f>
        <v>0</v>
      </c>
      <c r="V57" s="368">
        <f>-'Table 5D3 - International'!N58-'Table 5D3 - International'!Q58</f>
        <v>-39300</v>
      </c>
      <c r="W57" s="368">
        <f>-'Table 5D4 - Avoyelles'!N58-'Table 5D4 - Avoyelles'!Q58</f>
        <v>0</v>
      </c>
      <c r="X57" s="368">
        <f>-'Table 5D5 - Delhi'!N58-'Table 5D5 - Delhi'!Q58</f>
        <v>0</v>
      </c>
      <c r="Y57" s="368">
        <f>-'Table 5D6 - Milestone'!N58-'Table 5D6 - Milestone'!Q58</f>
        <v>0</v>
      </c>
      <c r="Z57" s="368">
        <f>-'Table 5D7 - Max'!N58-'Table 5D7 - Max'!Q58</f>
        <v>0</v>
      </c>
      <c r="AA57" s="368">
        <f>-'Table 5D8 - Belle Chasse'!P58-'Table 5D8 - Belle Chasse'!U58</f>
        <v>-33250</v>
      </c>
      <c r="AB57" s="368">
        <f>-'Table 5E_OJJ'!P58-'Table 5E_OJJ'!Q58</f>
        <v>-47088.40896013227</v>
      </c>
      <c r="AC57" s="368">
        <f>-'Table 5F Scholarships'!G62</f>
        <v>0</v>
      </c>
      <c r="AD57" s="368">
        <f t="shared" si="21"/>
        <v>-782003.4334912562</v>
      </c>
      <c r="AE57" s="764">
        <f t="shared" si="22"/>
        <v>202268722.56650877</v>
      </c>
      <c r="AK57"/>
      <c r="AT57"/>
    </row>
    <row r="58" spans="1:46">
      <c r="A58" s="101">
        <v>53</v>
      </c>
      <c r="B58" s="311" t="s">
        <v>153</v>
      </c>
      <c r="C58" s="320">
        <f>'Table 2_State Distrib and Adjs'!AF59</f>
        <v>103628612</v>
      </c>
      <c r="D58" s="368">
        <f>-'Table 5A2 LSMSA'!K59</f>
        <v>-10941.762183153203</v>
      </c>
      <c r="E58" s="368">
        <f>-'Table 5A3 NOCCA'!K59</f>
        <v>0</v>
      </c>
      <c r="F58" s="368">
        <f>-'Table 5A4_LSDVI'!K59</f>
        <v>-7715.28</v>
      </c>
      <c r="G58" s="368">
        <f>-'Table 5A5_SSD'!K59</f>
        <v>-13501.74</v>
      </c>
      <c r="H58" s="368"/>
      <c r="I58" s="368"/>
      <c r="J58" s="368">
        <f>-'Table 5C1A-Madison Prep'!O59-'Table 5C1A-Madison Prep'!R59</f>
        <v>0</v>
      </c>
      <c r="K58" s="368">
        <f>-'Table 5C1B-DArbonne'!O59-'Table 5C1B-DArbonne'!R59</f>
        <v>0</v>
      </c>
      <c r="L58" s="368">
        <f>-'Table 5C1C-Intl_VIBE'!O59-'Table 5C1C-Intl_VIBE'!R59</f>
        <v>0</v>
      </c>
      <c r="M58" s="368">
        <f>-'Table 5C1D-NOMMA'!O59-'Table 5C1D-NOMMA'!R59</f>
        <v>0</v>
      </c>
      <c r="N58" s="368">
        <f>-'Table 5C1E-LFNO'!O59-'Table 5C1E-LFNO'!R59</f>
        <v>0</v>
      </c>
      <c r="O58" s="368">
        <f>-'Table 5C1F-Lake Charles Charter'!O59-'Table 5C1F-Lake Charles Charter'!R59</f>
        <v>0</v>
      </c>
      <c r="P58" s="368">
        <f>-'Table 5C1G-JS Clark Academy'!O59-'Table 5C1G-JS Clark Academy'!R59</f>
        <v>0</v>
      </c>
      <c r="Q58" s="368">
        <f>-'Table 5C1H-Southwest LA Charter'!O59-'Table 5C1H-Southwest LA Charter'!R59</f>
        <v>0</v>
      </c>
      <c r="R58" s="368">
        <f>-'Table 5C2 - LA Virtual Admy'!P56-'Table 5C2 - LA Virtual Admy'!S56</f>
        <v>-91250.1</v>
      </c>
      <c r="S58" s="368">
        <f>-'Table 5C3 - LA Connections EBR'!P56-'Table 5C3 - LA Connections EBR'!S56</f>
        <v>-37877.4</v>
      </c>
      <c r="T58" s="368">
        <f>-'Table 5D1 - New Vision'!N59-'Table 5D1 - New Vision'!Q59</f>
        <v>0</v>
      </c>
      <c r="U58" s="368">
        <f>-'Table 5D2 - Glencoe'!N59-'Table 5D2 - Glencoe'!Q59</f>
        <v>0</v>
      </c>
      <c r="V58" s="368">
        <f>-'Table 5D3 - International'!N59-'Table 5D3 - International'!Q59</f>
        <v>0</v>
      </c>
      <c r="W58" s="368">
        <f>-'Table 5D4 - Avoyelles'!N59-'Table 5D4 - Avoyelles'!Q59</f>
        <v>0</v>
      </c>
      <c r="X58" s="368">
        <f>-'Table 5D5 - Delhi'!N59-'Table 5D5 - Delhi'!Q59</f>
        <v>0</v>
      </c>
      <c r="Y58" s="368">
        <f>-'Table 5D6 - Milestone'!N59-'Table 5D6 - Milestone'!Q59</f>
        <v>0</v>
      </c>
      <c r="Z58" s="368">
        <f>-'Table 5D7 - Max'!N59-'Table 5D7 - Max'!Q59</f>
        <v>0</v>
      </c>
      <c r="AA58" s="368">
        <f>-'Table 5D8 - Belle Chasse'!P59-'Table 5D8 - Belle Chasse'!U59</f>
        <v>-1913</v>
      </c>
      <c r="AB58" s="368">
        <f>-'Table 5E_OJJ'!P59-'Table 5E_OJJ'!Q59</f>
        <v>-16480.54833192267</v>
      </c>
      <c r="AC58" s="368">
        <f>-'Table 5F Scholarships'!G63</f>
        <v>0</v>
      </c>
      <c r="AD58" s="368">
        <f t="shared" si="21"/>
        <v>-179679.83051507588</v>
      </c>
      <c r="AE58" s="764">
        <f t="shared" si="22"/>
        <v>103448932.16948493</v>
      </c>
      <c r="AK58"/>
      <c r="AT58"/>
    </row>
    <row r="59" spans="1:46">
      <c r="A59" s="101">
        <v>54</v>
      </c>
      <c r="B59" s="311" t="s">
        <v>154</v>
      </c>
      <c r="C59" s="320">
        <f>'Table 2_State Distrib and Adjs'!AF60</f>
        <v>4827062</v>
      </c>
      <c r="D59" s="368">
        <f>-'Table 5A2 LSMSA'!K60</f>
        <v>0</v>
      </c>
      <c r="E59" s="368">
        <f>-'Table 5A3 NOCCA'!K60</f>
        <v>0</v>
      </c>
      <c r="F59" s="368">
        <f>-'Table 5A4_LSDVI'!K60</f>
        <v>0</v>
      </c>
      <c r="G59" s="368">
        <f>-'Table 5A5_SSD'!K60</f>
        <v>0</v>
      </c>
      <c r="H59" s="368"/>
      <c r="I59" s="368"/>
      <c r="J59" s="368">
        <f>-'Table 5C1A-Madison Prep'!O60-'Table 5C1A-Madison Prep'!R60</f>
        <v>0</v>
      </c>
      <c r="K59" s="368">
        <f>-'Table 5C1B-DArbonne'!O60-'Table 5C1B-DArbonne'!R60</f>
        <v>0</v>
      </c>
      <c r="L59" s="368">
        <f>-'Table 5C1C-Intl_VIBE'!O60-'Table 5C1C-Intl_VIBE'!R60</f>
        <v>0</v>
      </c>
      <c r="M59" s="368">
        <f>-'Table 5C1D-NOMMA'!O60-'Table 5C1D-NOMMA'!R60</f>
        <v>0</v>
      </c>
      <c r="N59" s="368">
        <f>-'Table 5C1E-LFNO'!O60-'Table 5C1E-LFNO'!R60</f>
        <v>0</v>
      </c>
      <c r="O59" s="368">
        <f>-'Table 5C1F-Lake Charles Charter'!O60-'Table 5C1F-Lake Charles Charter'!R60</f>
        <v>0</v>
      </c>
      <c r="P59" s="368">
        <f>-'Table 5C1G-JS Clark Academy'!O60-'Table 5C1G-JS Clark Academy'!R60</f>
        <v>0</v>
      </c>
      <c r="Q59" s="368">
        <f>-'Table 5C1H-Southwest LA Charter'!O60-'Table 5C1H-Southwest LA Charter'!R60</f>
        <v>0</v>
      </c>
      <c r="R59" s="368">
        <f>-'Table 5C2 - LA Virtual Admy'!P57-'Table 5C2 - LA Virtual Admy'!S57</f>
        <v>0</v>
      </c>
      <c r="S59" s="368">
        <f>-'Table 5C3 - LA Connections EBR'!P57-'Table 5C3 - LA Connections EBR'!S57</f>
        <v>-5875.2</v>
      </c>
      <c r="T59" s="368">
        <f>-'Table 5D1 - New Vision'!N60-'Table 5D1 - New Vision'!Q60</f>
        <v>0</v>
      </c>
      <c r="U59" s="368">
        <f>-'Table 5D2 - Glencoe'!N60-'Table 5D2 - Glencoe'!Q60</f>
        <v>0</v>
      </c>
      <c r="V59" s="368">
        <f>-'Table 5D3 - International'!N60-'Table 5D3 - International'!Q60</f>
        <v>0</v>
      </c>
      <c r="W59" s="368">
        <f>-'Table 5D4 - Avoyelles'!N60-'Table 5D4 - Avoyelles'!Q60</f>
        <v>0</v>
      </c>
      <c r="X59" s="368">
        <f>-'Table 5D5 - Delhi'!N60-'Table 5D5 - Delhi'!Q60</f>
        <v>-6528</v>
      </c>
      <c r="Y59" s="368">
        <f>-'Table 5D6 - Milestone'!N60-'Table 5D6 - Milestone'!Q60</f>
        <v>0</v>
      </c>
      <c r="Z59" s="368">
        <f>-'Table 5D7 - Max'!N60-'Table 5D7 - Max'!Q60</f>
        <v>0</v>
      </c>
      <c r="AA59" s="368">
        <f>-'Table 5D8 - Belle Chasse'!P60-'Table 5D8 - Belle Chasse'!U60</f>
        <v>0</v>
      </c>
      <c r="AB59" s="368">
        <f>-'Table 5E_OJJ'!P60-'Table 5E_OJJ'!Q60</f>
        <v>-6540.9568109550355</v>
      </c>
      <c r="AC59" s="368">
        <f>-'Table 5F Scholarships'!G64</f>
        <v>0</v>
      </c>
      <c r="AD59" s="368">
        <f t="shared" si="21"/>
        <v>-18944.156810955035</v>
      </c>
      <c r="AE59" s="764">
        <f t="shared" si="22"/>
        <v>4808117.8431890449</v>
      </c>
      <c r="AK59"/>
      <c r="AT59"/>
    </row>
    <row r="60" spans="1:46">
      <c r="A60" s="102">
        <v>55</v>
      </c>
      <c r="B60" s="312" t="s">
        <v>155</v>
      </c>
      <c r="C60" s="329">
        <f>'Table 2_State Distrib and Adjs'!AF61</f>
        <v>86182747</v>
      </c>
      <c r="D60" s="369">
        <f>-'Table 5A2 LSMSA'!K61</f>
        <v>-17396.144197399437</v>
      </c>
      <c r="E60" s="369">
        <f>-'Table 5A3 NOCCA'!K61</f>
        <v>0</v>
      </c>
      <c r="F60" s="369">
        <f>-'Table 5A4_LSDVI'!K61</f>
        <v>-12134.8</v>
      </c>
      <c r="G60" s="369">
        <f>-'Table 5A5_SSD'!K61</f>
        <v>-21235.899999999998</v>
      </c>
      <c r="H60" s="369"/>
      <c r="I60" s="369"/>
      <c r="J60" s="369">
        <f>-'Table 5C1A-Madison Prep'!O61-'Table 5C1A-Madison Prep'!R61</f>
        <v>0</v>
      </c>
      <c r="K60" s="369">
        <f>-'Table 5C1B-DArbonne'!O61-'Table 5C1B-DArbonne'!R61</f>
        <v>0</v>
      </c>
      <c r="L60" s="369">
        <f>-'Table 5C1C-Intl_VIBE'!O61-'Table 5C1C-Intl_VIBE'!R61</f>
        <v>0</v>
      </c>
      <c r="M60" s="369">
        <f>-'Table 5C1D-NOMMA'!O61-'Table 5C1D-NOMMA'!R61</f>
        <v>0</v>
      </c>
      <c r="N60" s="369">
        <f>-'Table 5C1E-LFNO'!O61-'Table 5C1E-LFNO'!R61</f>
        <v>0</v>
      </c>
      <c r="O60" s="369">
        <f>-'Table 5C1F-Lake Charles Charter'!O61-'Table 5C1F-Lake Charles Charter'!R61</f>
        <v>0</v>
      </c>
      <c r="P60" s="369">
        <f>-'Table 5C1G-JS Clark Academy'!O61-'Table 5C1G-JS Clark Academy'!R61</f>
        <v>0</v>
      </c>
      <c r="Q60" s="369">
        <f>-'Table 5C1H-Southwest LA Charter'!O61-'Table 5C1H-Southwest LA Charter'!R61</f>
        <v>0</v>
      </c>
      <c r="R60" s="369">
        <f>-'Table 5C2 - LA Virtual Admy'!P58-'Table 5C2 - LA Virtual Admy'!S58</f>
        <v>-69097.5</v>
      </c>
      <c r="S60" s="369">
        <f>-'Table 5C3 - LA Connections EBR'!P58-'Table 5C3 - LA Connections EBR'!S58</f>
        <v>-35930.700000000004</v>
      </c>
      <c r="T60" s="369">
        <f>-'Table 5D1 - New Vision'!N61-'Table 5D1 - New Vision'!Q61</f>
        <v>0</v>
      </c>
      <c r="U60" s="369">
        <f>-'Table 5D2 - Glencoe'!N61-'Table 5D2 - Glencoe'!Q61</f>
        <v>0</v>
      </c>
      <c r="V60" s="369">
        <f>-'Table 5D3 - International'!N61-'Table 5D3 - International'!Q61</f>
        <v>0</v>
      </c>
      <c r="W60" s="369">
        <f>-'Table 5D4 - Avoyelles'!N61-'Table 5D4 - Avoyelles'!Q61</f>
        <v>0</v>
      </c>
      <c r="X60" s="369">
        <f>-'Table 5D5 - Delhi'!N61-'Table 5D5 - Delhi'!Q61</f>
        <v>0</v>
      </c>
      <c r="Y60" s="369">
        <f>-'Table 5D6 - Milestone'!N61-'Table 5D6 - Milestone'!Q61</f>
        <v>0</v>
      </c>
      <c r="Z60" s="369">
        <f>-'Table 5D7 - Max'!N61-'Table 5D7 - Max'!Q61</f>
        <v>-113627</v>
      </c>
      <c r="AA60" s="369">
        <f>-'Table 5D8 - Belle Chasse'!P61-'Table 5D8 - Belle Chasse'!U61</f>
        <v>0</v>
      </c>
      <c r="AB60" s="369">
        <f>-'Table 5E_OJJ'!P61-'Table 5E_OJJ'!Q61</f>
        <v>-40661.322060850682</v>
      </c>
      <c r="AC60" s="369">
        <f>-'Table 5F Scholarships'!G65</f>
        <v>0</v>
      </c>
      <c r="AD60" s="369">
        <f t="shared" si="21"/>
        <v>-310083.36625825008</v>
      </c>
      <c r="AE60" s="765">
        <f t="shared" si="22"/>
        <v>85872663.633741736</v>
      </c>
      <c r="AK60"/>
      <c r="AT60"/>
    </row>
    <row r="61" spans="1:46">
      <c r="A61" s="101">
        <v>56</v>
      </c>
      <c r="B61" s="311" t="s">
        <v>156</v>
      </c>
      <c r="C61" s="320">
        <f>'Table 2_State Distrib and Adjs'!AF62</f>
        <v>14006346</v>
      </c>
      <c r="D61" s="368">
        <f>-'Table 5A2 LSMSA'!K62</f>
        <v>-4258.9866042563226</v>
      </c>
      <c r="E61" s="368">
        <f>-'Table 5A3 NOCCA'!K62</f>
        <v>0</v>
      </c>
      <c r="F61" s="368">
        <f>-'Table 5A4_LSDVI'!K62</f>
        <v>0</v>
      </c>
      <c r="G61" s="368">
        <f>-'Table 5A5_SSD'!K62</f>
        <v>0</v>
      </c>
      <c r="H61" s="368"/>
      <c r="I61" s="368"/>
      <c r="J61" s="368">
        <f>-'Table 5C1A-Madison Prep'!O62-'Table 5C1A-Madison Prep'!R62</f>
        <v>0</v>
      </c>
      <c r="K61" s="368">
        <f>-'Table 5C1B-DArbonne'!O62-'Table 5C1B-DArbonne'!R62</f>
        <v>-925760</v>
      </c>
      <c r="L61" s="368">
        <f>-'Table 5C1C-Intl_VIBE'!O62-'Table 5C1C-Intl_VIBE'!R62</f>
        <v>0</v>
      </c>
      <c r="M61" s="368">
        <f>-'Table 5C1D-NOMMA'!O62-'Table 5C1D-NOMMA'!R62</f>
        <v>0</v>
      </c>
      <c r="N61" s="368">
        <f>-'Table 5C1E-LFNO'!O62-'Table 5C1E-LFNO'!R62</f>
        <v>0</v>
      </c>
      <c r="O61" s="368">
        <f>-'Table 5C1F-Lake Charles Charter'!O62-'Table 5C1F-Lake Charles Charter'!R62</f>
        <v>0</v>
      </c>
      <c r="P61" s="368">
        <f>-'Table 5C1G-JS Clark Academy'!O62-'Table 5C1G-JS Clark Academy'!R62</f>
        <v>0</v>
      </c>
      <c r="Q61" s="368">
        <f>-'Table 5C1H-Southwest LA Charter'!O62-'Table 5C1H-Southwest LA Charter'!R62</f>
        <v>0</v>
      </c>
      <c r="R61" s="368">
        <f>-'Table 5C2 - LA Virtual Admy'!P59-'Table 5C2 - LA Virtual Admy'!S59</f>
        <v>-9468</v>
      </c>
      <c r="S61" s="368">
        <f>-'Table 5C3 - LA Connections EBR'!P59-'Table 5C3 - LA Connections EBR'!S59</f>
        <v>-7101</v>
      </c>
      <c r="T61" s="368">
        <f>-'Table 5D1 - New Vision'!N62-'Table 5D1 - New Vision'!Q62</f>
        <v>0</v>
      </c>
      <c r="U61" s="368">
        <f>-'Table 5D2 - Glencoe'!N62-'Table 5D2 - Glencoe'!Q62</f>
        <v>0</v>
      </c>
      <c r="V61" s="368">
        <f>-'Table 5D3 - International'!N62-'Table 5D3 - International'!Q62</f>
        <v>0</v>
      </c>
      <c r="W61" s="368">
        <f>-'Table 5D4 - Avoyelles'!N62-'Table 5D4 - Avoyelles'!Q62</f>
        <v>0</v>
      </c>
      <c r="X61" s="368">
        <f>-'Table 5D5 - Delhi'!N62-'Table 5D5 - Delhi'!Q62</f>
        <v>0</v>
      </c>
      <c r="Y61" s="368">
        <f>-'Table 5D6 - Milestone'!N62-'Table 5D6 - Milestone'!Q62</f>
        <v>0</v>
      </c>
      <c r="Z61" s="368">
        <f>-'Table 5D7 - Max'!N62-'Table 5D7 - Max'!Q62</f>
        <v>0</v>
      </c>
      <c r="AA61" s="368">
        <f>-'Table 5D8 - Belle Chasse'!P62-'Table 5D8 - Belle Chasse'!U62</f>
        <v>0</v>
      </c>
      <c r="AB61" s="368">
        <f>-'Table 5E_OJJ'!P62-'Table 5E_OJJ'!Q62</f>
        <v>0</v>
      </c>
      <c r="AC61" s="368">
        <f>-'Table 5F Scholarships'!G66</f>
        <v>0</v>
      </c>
      <c r="AD61" s="368">
        <f t="shared" si="21"/>
        <v>-946587.98660425632</v>
      </c>
      <c r="AE61" s="764">
        <f t="shared" si="22"/>
        <v>13059758.013395743</v>
      </c>
      <c r="AK61"/>
      <c r="AT61"/>
    </row>
    <row r="62" spans="1:46">
      <c r="A62" s="101">
        <v>57</v>
      </c>
      <c r="B62" s="311" t="s">
        <v>157</v>
      </c>
      <c r="C62" s="320">
        <f>'Table 2_State Distrib and Adjs'!AF63</f>
        <v>45623067</v>
      </c>
      <c r="D62" s="368">
        <f>-'Table 5A2 LSMSA'!K63</f>
        <v>-6060.9816451783818</v>
      </c>
      <c r="E62" s="368">
        <f>-'Table 5A3 NOCCA'!K63</f>
        <v>0</v>
      </c>
      <c r="F62" s="368">
        <f>-'Table 5A4_LSDVI'!K63</f>
        <v>0</v>
      </c>
      <c r="G62" s="368">
        <f>-'Table 5A5_SSD'!K63</f>
        <v>-5745.86</v>
      </c>
      <c r="H62" s="368"/>
      <c r="I62" s="368"/>
      <c r="J62" s="368">
        <f>-'Table 5C1A-Madison Prep'!O63-'Table 5C1A-Madison Prep'!R63</f>
        <v>0</v>
      </c>
      <c r="K62" s="368">
        <f>-'Table 5C1B-DArbonne'!O63-'Table 5C1B-DArbonne'!R63</f>
        <v>0</v>
      </c>
      <c r="L62" s="368">
        <f>-'Table 5C1C-Intl_VIBE'!O63-'Table 5C1C-Intl_VIBE'!R63</f>
        <v>0</v>
      </c>
      <c r="M62" s="368">
        <f>-'Table 5C1D-NOMMA'!O63-'Table 5C1D-NOMMA'!R63</f>
        <v>0</v>
      </c>
      <c r="N62" s="368">
        <f>-'Table 5C1E-LFNO'!O63-'Table 5C1E-LFNO'!R63</f>
        <v>0</v>
      </c>
      <c r="O62" s="368">
        <f>-'Table 5C1F-Lake Charles Charter'!O63-'Table 5C1F-Lake Charles Charter'!R63</f>
        <v>0</v>
      </c>
      <c r="P62" s="368">
        <f>-'Table 5C1G-JS Clark Academy'!O63-'Table 5C1G-JS Clark Academy'!R63</f>
        <v>0</v>
      </c>
      <c r="Q62" s="368">
        <f>-'Table 5C1H-Southwest LA Charter'!O63-'Table 5C1H-Southwest LA Charter'!R63</f>
        <v>0</v>
      </c>
      <c r="R62" s="368">
        <f>-'Table 5C2 - LA Virtual Admy'!P60-'Table 5C2 - LA Virtual Admy'!S60</f>
        <v>-24729.300000000003</v>
      </c>
      <c r="S62" s="368">
        <f>-'Table 5C3 - LA Connections EBR'!P60-'Table 5C3 - LA Connections EBR'!S60</f>
        <v>-19233.900000000001</v>
      </c>
      <c r="T62" s="368">
        <f>-'Table 5D1 - New Vision'!N63-'Table 5D1 - New Vision'!Q63</f>
        <v>0</v>
      </c>
      <c r="U62" s="368">
        <f>-'Table 5D2 - Glencoe'!N63-'Table 5D2 - Glencoe'!Q63</f>
        <v>-6106</v>
      </c>
      <c r="V62" s="368">
        <f>-'Table 5D3 - International'!N63-'Table 5D3 - International'!Q63</f>
        <v>0</v>
      </c>
      <c r="W62" s="368">
        <f>-'Table 5D4 - Avoyelles'!N63-'Table 5D4 - Avoyelles'!Q63</f>
        <v>0</v>
      </c>
      <c r="X62" s="368">
        <f>-'Table 5D5 - Delhi'!N63-'Table 5D5 - Delhi'!Q63</f>
        <v>0</v>
      </c>
      <c r="Y62" s="368">
        <f>-'Table 5D6 - Milestone'!N63-'Table 5D6 - Milestone'!Q63</f>
        <v>0</v>
      </c>
      <c r="Z62" s="368">
        <f>-'Table 5D7 - Max'!N63-'Table 5D7 - Max'!Q63</f>
        <v>0</v>
      </c>
      <c r="AA62" s="368">
        <f>-'Table 5D8 - Belle Chasse'!P63-'Table 5D8 - Belle Chasse'!U63</f>
        <v>0</v>
      </c>
      <c r="AB62" s="368">
        <f>-'Table 5E_OJJ'!P63-'Table 5E_OJJ'!Q63</f>
        <v>-7893.8976189376344</v>
      </c>
      <c r="AC62" s="368">
        <f>-'Table 5F Scholarships'!G67</f>
        <v>0</v>
      </c>
      <c r="AD62" s="368">
        <f t="shared" si="21"/>
        <v>-69769.939264116023</v>
      </c>
      <c r="AE62" s="764">
        <f t="shared" si="22"/>
        <v>45553297.060735889</v>
      </c>
      <c r="AK62"/>
      <c r="AT62"/>
    </row>
    <row r="63" spans="1:46">
      <c r="A63" s="101">
        <v>58</v>
      </c>
      <c r="B63" s="311" t="s">
        <v>158</v>
      </c>
      <c r="C63" s="320">
        <f>'Table 2_State Distrib and Adjs'!AF64</f>
        <v>56711227</v>
      </c>
      <c r="D63" s="368">
        <f>-'Table 5A2 LSMSA'!K64</f>
        <v>-9515.56007790082</v>
      </c>
      <c r="E63" s="368">
        <f>-'Table 5A3 NOCCA'!K64</f>
        <v>0</v>
      </c>
      <c r="F63" s="368">
        <f>-'Table 5A4_LSDVI'!K64</f>
        <v>0</v>
      </c>
      <c r="G63" s="368">
        <f>-'Table 5A5_SSD'!K64</f>
        <v>-3660.2</v>
      </c>
      <c r="H63" s="368"/>
      <c r="I63" s="368"/>
      <c r="J63" s="368">
        <f>-'Table 5C1A-Madison Prep'!O64-'Table 5C1A-Madison Prep'!R64</f>
        <v>0</v>
      </c>
      <c r="K63" s="368">
        <f>-'Table 5C1B-DArbonne'!O64-'Table 5C1B-DArbonne'!R64</f>
        <v>0</v>
      </c>
      <c r="L63" s="368">
        <f>-'Table 5C1C-Intl_VIBE'!O64-'Table 5C1C-Intl_VIBE'!R64</f>
        <v>0</v>
      </c>
      <c r="M63" s="368">
        <f>-'Table 5C1D-NOMMA'!O64-'Table 5C1D-NOMMA'!R64</f>
        <v>0</v>
      </c>
      <c r="N63" s="368">
        <f>-'Table 5C1E-LFNO'!O64-'Table 5C1E-LFNO'!R64</f>
        <v>0</v>
      </c>
      <c r="O63" s="368">
        <f>-'Table 5C1F-Lake Charles Charter'!O64-'Table 5C1F-Lake Charles Charter'!R64</f>
        <v>0</v>
      </c>
      <c r="P63" s="368">
        <f>-'Table 5C1G-JS Clark Academy'!O64-'Table 5C1G-JS Clark Academy'!R64</f>
        <v>0</v>
      </c>
      <c r="Q63" s="368">
        <f>-'Table 5C1H-Southwest LA Charter'!O64-'Table 5C1H-Southwest LA Charter'!R64</f>
        <v>0</v>
      </c>
      <c r="R63" s="368">
        <f>-'Table 5C2 - LA Virtual Admy'!P61-'Table 5C2 - LA Virtual Admy'!S61</f>
        <v>-74187.899999999994</v>
      </c>
      <c r="S63" s="368">
        <f>-'Table 5C3 - LA Connections EBR'!P61-'Table 5C3 - LA Connections EBR'!S61</f>
        <v>-20703.599999999999</v>
      </c>
      <c r="T63" s="368">
        <f>-'Table 5D1 - New Vision'!N64-'Table 5D1 - New Vision'!Q64</f>
        <v>0</v>
      </c>
      <c r="U63" s="368">
        <f>-'Table 5D2 - Glencoe'!N64-'Table 5D2 - Glencoe'!Q64</f>
        <v>0</v>
      </c>
      <c r="V63" s="368">
        <f>-'Table 5D3 - International'!N64-'Table 5D3 - International'!Q64</f>
        <v>0</v>
      </c>
      <c r="W63" s="368">
        <f>-'Table 5D4 - Avoyelles'!N64-'Table 5D4 - Avoyelles'!Q64</f>
        <v>0</v>
      </c>
      <c r="X63" s="368">
        <f>-'Table 5D5 - Delhi'!N64-'Table 5D5 - Delhi'!Q64</f>
        <v>0</v>
      </c>
      <c r="Y63" s="368">
        <f>-'Table 5D6 - Milestone'!N64-'Table 5D6 - Milestone'!Q64</f>
        <v>0</v>
      </c>
      <c r="Z63" s="368">
        <f>-'Table 5D7 - Max'!N64-'Table 5D7 - Max'!Q64</f>
        <v>0</v>
      </c>
      <c r="AA63" s="368">
        <f>-'Table 5D8 - Belle Chasse'!P64-'Table 5D8 - Belle Chasse'!U64</f>
        <v>0</v>
      </c>
      <c r="AB63" s="368">
        <f>-'Table 5E_OJJ'!P64-'Table 5E_OJJ'!Q64</f>
        <v>-1002.838162473614</v>
      </c>
      <c r="AC63" s="368">
        <f>-'Table 5F Scholarships'!G68</f>
        <v>0</v>
      </c>
      <c r="AD63" s="368">
        <f t="shared" si="21"/>
        <v>-109070.09824037443</v>
      </c>
      <c r="AE63" s="764">
        <f t="shared" si="22"/>
        <v>56602156.901759624</v>
      </c>
      <c r="AK63"/>
      <c r="AT63"/>
    </row>
    <row r="64" spans="1:46">
      <c r="A64" s="101">
        <v>59</v>
      </c>
      <c r="B64" s="311" t="s">
        <v>159</v>
      </c>
      <c r="C64" s="320">
        <f>'Table 2_State Distrib and Adjs'!AF65</f>
        <v>36226640</v>
      </c>
      <c r="D64" s="368">
        <f>-'Table 5A2 LSMSA'!K65</f>
        <v>0</v>
      </c>
      <c r="E64" s="368">
        <f>-'Table 5A3 NOCCA'!K65</f>
        <v>0</v>
      </c>
      <c r="F64" s="368">
        <f>-'Table 5A4_LSDVI'!K65</f>
        <v>-1688.92</v>
      </c>
      <c r="G64" s="368">
        <f>-'Table 5A5_SSD'!K65</f>
        <v>-11822.44</v>
      </c>
      <c r="H64" s="368"/>
      <c r="I64" s="368"/>
      <c r="J64" s="368">
        <f>-'Table 5C1A-Madison Prep'!O65-'Table 5C1A-Madison Prep'!R65</f>
        <v>0</v>
      </c>
      <c r="K64" s="368">
        <f>-'Table 5C1B-DArbonne'!O65-'Table 5C1B-DArbonne'!R65</f>
        <v>0</v>
      </c>
      <c r="L64" s="368">
        <f>-'Table 5C1C-Intl_VIBE'!O65-'Table 5C1C-Intl_VIBE'!R65</f>
        <v>0</v>
      </c>
      <c r="M64" s="368">
        <f>-'Table 5C1D-NOMMA'!O65-'Table 5C1D-NOMMA'!R65</f>
        <v>0</v>
      </c>
      <c r="N64" s="368">
        <f>-'Table 5C1E-LFNO'!O65-'Table 5C1E-LFNO'!R65</f>
        <v>0</v>
      </c>
      <c r="O64" s="368">
        <f>-'Table 5C1F-Lake Charles Charter'!O65-'Table 5C1F-Lake Charles Charter'!R65</f>
        <v>0</v>
      </c>
      <c r="P64" s="368">
        <f>-'Table 5C1G-JS Clark Academy'!O65-'Table 5C1G-JS Clark Academy'!R65</f>
        <v>0</v>
      </c>
      <c r="Q64" s="368">
        <f>-'Table 5C1H-Southwest LA Charter'!O65-'Table 5C1H-Southwest LA Charter'!R65</f>
        <v>0</v>
      </c>
      <c r="R64" s="368">
        <f>-'Table 5C2 - LA Virtual Admy'!P62-'Table 5C2 - LA Virtual Admy'!S62</f>
        <v>-12579.300000000001</v>
      </c>
      <c r="S64" s="368">
        <f>-'Table 5C3 - LA Connections EBR'!P62-'Table 5C3 - LA Connections EBR'!S62</f>
        <v>-11181.6</v>
      </c>
      <c r="T64" s="368">
        <f>-'Table 5D1 - New Vision'!N65-'Table 5D1 - New Vision'!Q65</f>
        <v>0</v>
      </c>
      <c r="U64" s="368">
        <f>-'Table 5D2 - Glencoe'!N65-'Table 5D2 - Glencoe'!Q65</f>
        <v>0</v>
      </c>
      <c r="V64" s="368">
        <f>-'Table 5D3 - International'!N65-'Table 5D3 - International'!Q65</f>
        <v>0</v>
      </c>
      <c r="W64" s="368">
        <f>-'Table 5D4 - Avoyelles'!N65-'Table 5D4 - Avoyelles'!Q65</f>
        <v>0</v>
      </c>
      <c r="X64" s="368">
        <f>-'Table 5D5 - Delhi'!N65-'Table 5D5 - Delhi'!Q65</f>
        <v>0</v>
      </c>
      <c r="Y64" s="368">
        <f>-'Table 5D6 - Milestone'!N65-'Table 5D6 - Milestone'!Q65</f>
        <v>0</v>
      </c>
      <c r="Z64" s="368">
        <f>-'Table 5D7 - Max'!N65-'Table 5D7 - Max'!Q65</f>
        <v>0</v>
      </c>
      <c r="AA64" s="368">
        <f>-'Table 5D8 - Belle Chasse'!P65-'Table 5D8 - Belle Chasse'!U65</f>
        <v>0</v>
      </c>
      <c r="AB64" s="368">
        <f>-'Table 5E_OJJ'!P65-'Table 5E_OJJ'!Q65</f>
        <v>-6439.4663882428704</v>
      </c>
      <c r="AC64" s="368">
        <f>-'Table 5F Scholarships'!G69</f>
        <v>0</v>
      </c>
      <c r="AD64" s="368">
        <f t="shared" si="21"/>
        <v>-43711.726388242874</v>
      </c>
      <c r="AE64" s="764">
        <f t="shared" si="22"/>
        <v>36182928.273611762</v>
      </c>
      <c r="AK64"/>
      <c r="AT64"/>
    </row>
    <row r="65" spans="1:46">
      <c r="A65" s="102">
        <v>60</v>
      </c>
      <c r="B65" s="312" t="s">
        <v>160</v>
      </c>
      <c r="C65" s="329">
        <f>'Table 2_State Distrib and Adjs'!AF66</f>
        <v>34873830</v>
      </c>
      <c r="D65" s="369">
        <f>-'Table 5A2 LSMSA'!K66</f>
        <v>-5847.6801662976022</v>
      </c>
      <c r="E65" s="369">
        <f>-'Table 5A3 NOCCA'!K66</f>
        <v>0</v>
      </c>
      <c r="F65" s="369">
        <f>-'Table 5A4_LSDVI'!K66</f>
        <v>-10088.099999999999</v>
      </c>
      <c r="G65" s="369">
        <f>-'Table 5A5_SSD'!K66</f>
        <v>-10088.099999999999</v>
      </c>
      <c r="H65" s="369"/>
      <c r="I65" s="369"/>
      <c r="J65" s="369">
        <f>-'Table 5C1A-Madison Prep'!O66-'Table 5C1A-Madison Prep'!R66</f>
        <v>0</v>
      </c>
      <c r="K65" s="369">
        <f>-'Table 5C1B-DArbonne'!O66-'Table 5C1B-DArbonne'!R66</f>
        <v>0</v>
      </c>
      <c r="L65" s="369">
        <f>-'Table 5C1C-Intl_VIBE'!O66-'Table 5C1C-Intl_VIBE'!R66</f>
        <v>0</v>
      </c>
      <c r="M65" s="369">
        <f>-'Table 5C1D-NOMMA'!O66-'Table 5C1D-NOMMA'!R66</f>
        <v>0</v>
      </c>
      <c r="N65" s="369">
        <f>-'Table 5C1E-LFNO'!O66-'Table 5C1E-LFNO'!R66</f>
        <v>0</v>
      </c>
      <c r="O65" s="369">
        <f>-'Table 5C1F-Lake Charles Charter'!O66-'Table 5C1F-Lake Charles Charter'!R66</f>
        <v>0</v>
      </c>
      <c r="P65" s="369">
        <f>-'Table 5C1G-JS Clark Academy'!O66-'Table 5C1G-JS Clark Academy'!R66</f>
        <v>0</v>
      </c>
      <c r="Q65" s="369">
        <f>-'Table 5C1H-Southwest LA Charter'!O66-'Table 5C1H-Southwest LA Charter'!R66</f>
        <v>0</v>
      </c>
      <c r="R65" s="369">
        <f>-'Table 5C2 - LA Virtual Admy'!P63-'Table 5C2 - LA Virtual Admy'!S63</f>
        <v>-58109.4</v>
      </c>
      <c r="S65" s="369">
        <f>-'Table 5C3 - LA Connections EBR'!P63-'Table 5C3 - LA Connections EBR'!S63</f>
        <v>-54691.200000000004</v>
      </c>
      <c r="T65" s="369">
        <f>-'Table 5D1 - New Vision'!N66-'Table 5D1 - New Vision'!Q66</f>
        <v>0</v>
      </c>
      <c r="U65" s="369">
        <f>-'Table 5D2 - Glencoe'!N66-'Table 5D2 - Glencoe'!Q66</f>
        <v>0</v>
      </c>
      <c r="V65" s="369">
        <f>-'Table 5D3 - International'!N66-'Table 5D3 - International'!Q66</f>
        <v>0</v>
      </c>
      <c r="W65" s="369">
        <f>-'Table 5D4 - Avoyelles'!N66-'Table 5D4 - Avoyelles'!Q66</f>
        <v>0</v>
      </c>
      <c r="X65" s="369">
        <f>-'Table 5D5 - Delhi'!N66-'Table 5D5 - Delhi'!Q66</f>
        <v>0</v>
      </c>
      <c r="Y65" s="369">
        <f>-'Table 5D6 - Milestone'!N66-'Table 5D6 - Milestone'!Q66</f>
        <v>0</v>
      </c>
      <c r="Z65" s="369">
        <f>-'Table 5D7 - Max'!N66-'Table 5D7 - Max'!Q66</f>
        <v>0</v>
      </c>
      <c r="AA65" s="369">
        <f>-'Table 5D8 - Belle Chasse'!P66-'Table 5D8 - Belle Chasse'!U66</f>
        <v>0</v>
      </c>
      <c r="AB65" s="369">
        <f>-'Table 5E_OJJ'!P66-'Table 5E_OJJ'!Q66</f>
        <v>-11808.910571278959</v>
      </c>
      <c r="AC65" s="369">
        <f>-'Table 5F Scholarships'!G70</f>
        <v>0</v>
      </c>
      <c r="AD65" s="369">
        <f t="shared" si="21"/>
        <v>-150633.39073757656</v>
      </c>
      <c r="AE65" s="765">
        <f t="shared" si="22"/>
        <v>34723196.609262422</v>
      </c>
      <c r="AK65"/>
      <c r="AT65"/>
    </row>
    <row r="66" spans="1:46">
      <c r="A66" s="101">
        <v>61</v>
      </c>
      <c r="B66" s="311" t="s">
        <v>161</v>
      </c>
      <c r="C66" s="320">
        <f>'Table 2_State Distrib and Adjs'!AF67</f>
        <v>13691184</v>
      </c>
      <c r="D66" s="368">
        <f>-'Table 5A2 LSMSA'!K67</f>
        <v>-2595.3356828913738</v>
      </c>
      <c r="E66" s="368">
        <f>-'Table 5A3 NOCCA'!K67</f>
        <v>0</v>
      </c>
      <c r="F66" s="368">
        <f>-'Table 5A4_LSDVI'!K67</f>
        <v>-33572.35</v>
      </c>
      <c r="G66" s="368">
        <f>-'Table 5A5_SSD'!K67</f>
        <v>-14388.150000000001</v>
      </c>
      <c r="H66" s="368"/>
      <c r="I66" s="368"/>
      <c r="J66" s="368">
        <f>-'Table 5C1A-Madison Prep'!O67-'Table 5C1A-Madison Prep'!R67</f>
        <v>0</v>
      </c>
      <c r="K66" s="368">
        <f>-'Table 5C1B-DArbonne'!O67-'Table 5C1B-DArbonne'!R67</f>
        <v>0</v>
      </c>
      <c r="L66" s="368">
        <f>-'Table 5C1C-Intl_VIBE'!O67-'Table 5C1C-Intl_VIBE'!R67</f>
        <v>0</v>
      </c>
      <c r="M66" s="368">
        <f>-'Table 5C1D-NOMMA'!O67-'Table 5C1D-NOMMA'!R67</f>
        <v>0</v>
      </c>
      <c r="N66" s="368">
        <f>-'Table 5C1E-LFNO'!O67-'Table 5C1E-LFNO'!R67</f>
        <v>0</v>
      </c>
      <c r="O66" s="368">
        <f>-'Table 5C1F-Lake Charles Charter'!O67-'Table 5C1F-Lake Charles Charter'!R67</f>
        <v>0</v>
      </c>
      <c r="P66" s="368">
        <f>-'Table 5C1G-JS Clark Academy'!O67-'Table 5C1G-JS Clark Academy'!R67</f>
        <v>0</v>
      </c>
      <c r="Q66" s="368">
        <f>-'Table 5C1H-Southwest LA Charter'!O67-'Table 5C1H-Southwest LA Charter'!R67</f>
        <v>0</v>
      </c>
      <c r="R66" s="368">
        <f>-'Table 5C2 - LA Virtual Admy'!P64-'Table 5C2 - LA Virtual Admy'!S64</f>
        <v>-91428.3</v>
      </c>
      <c r="S66" s="368">
        <f>-'Table 5C3 - LA Connections EBR'!P64-'Table 5C3 - LA Connections EBR'!S64</f>
        <v>0</v>
      </c>
      <c r="T66" s="368">
        <f>-'Table 5D1 - New Vision'!N67-'Table 5D1 - New Vision'!Q67</f>
        <v>0</v>
      </c>
      <c r="U66" s="368">
        <f>-'Table 5D2 - Glencoe'!N67-'Table 5D2 - Glencoe'!Q67</f>
        <v>0</v>
      </c>
      <c r="V66" s="368">
        <f>-'Table 5D3 - International'!N67-'Table 5D3 - International'!Q67</f>
        <v>0</v>
      </c>
      <c r="W66" s="368">
        <f>-'Table 5D4 - Avoyelles'!N67-'Table 5D4 - Avoyelles'!Q67</f>
        <v>0</v>
      </c>
      <c r="X66" s="368">
        <f>-'Table 5D5 - Delhi'!N67-'Table 5D5 - Delhi'!Q67</f>
        <v>0</v>
      </c>
      <c r="Y66" s="368">
        <f>-'Table 5D6 - Milestone'!N67-'Table 5D6 - Milestone'!Q67</f>
        <v>0</v>
      </c>
      <c r="Z66" s="368">
        <f>-'Table 5D7 - Max'!N67-'Table 5D7 - Max'!Q67</f>
        <v>0</v>
      </c>
      <c r="AA66" s="368">
        <f>-'Table 5D8 - Belle Chasse'!P67-'Table 5D8 - Belle Chasse'!U67</f>
        <v>0</v>
      </c>
      <c r="AB66" s="368">
        <f>-'Table 5E_OJJ'!P67-'Table 5E_OJJ'!Q67</f>
        <v>-13295.993199532802</v>
      </c>
      <c r="AC66" s="368">
        <f>-'Table 5F Scholarships'!G71</f>
        <v>0</v>
      </c>
      <c r="AD66" s="368">
        <f t="shared" si="21"/>
        <v>-155280.12888242418</v>
      </c>
      <c r="AE66" s="764">
        <f t="shared" si="22"/>
        <v>13535903.871117575</v>
      </c>
      <c r="AK66"/>
      <c r="AT66"/>
    </row>
    <row r="67" spans="1:46">
      <c r="A67" s="101">
        <v>62</v>
      </c>
      <c r="B67" s="311" t="s">
        <v>162</v>
      </c>
      <c r="C67" s="320">
        <f>'Table 2_State Distrib and Adjs'!AF68</f>
        <v>12751944</v>
      </c>
      <c r="D67" s="368">
        <f>-'Table 5A2 LSMSA'!K68</f>
        <v>0</v>
      </c>
      <c r="E67" s="368">
        <f>-'Table 5A3 NOCCA'!K68</f>
        <v>0</v>
      </c>
      <c r="F67" s="368">
        <f>-'Table 5A4_LSDVI'!K68</f>
        <v>0</v>
      </c>
      <c r="G67" s="368">
        <f>-'Table 5A5_SSD'!K68</f>
        <v>-3388.56</v>
      </c>
      <c r="H67" s="368"/>
      <c r="I67" s="368"/>
      <c r="J67" s="368">
        <f>-'Table 5C1A-Madison Prep'!O68-'Table 5C1A-Madison Prep'!R68</f>
        <v>0</v>
      </c>
      <c r="K67" s="368">
        <f>-'Table 5C1B-DArbonne'!O68-'Table 5C1B-DArbonne'!R68</f>
        <v>0</v>
      </c>
      <c r="L67" s="368">
        <f>-'Table 5C1C-Intl_VIBE'!O68-'Table 5C1C-Intl_VIBE'!R68</f>
        <v>0</v>
      </c>
      <c r="M67" s="368">
        <f>-'Table 5C1D-NOMMA'!O68-'Table 5C1D-NOMMA'!R68</f>
        <v>0</v>
      </c>
      <c r="N67" s="368">
        <f>-'Table 5C1E-LFNO'!O68-'Table 5C1E-LFNO'!R68</f>
        <v>0</v>
      </c>
      <c r="O67" s="368">
        <f>-'Table 5C1F-Lake Charles Charter'!O68-'Table 5C1F-Lake Charles Charter'!R68</f>
        <v>0</v>
      </c>
      <c r="P67" s="368">
        <f>-'Table 5C1G-JS Clark Academy'!O68-'Table 5C1G-JS Clark Academy'!R68</f>
        <v>0</v>
      </c>
      <c r="Q67" s="368">
        <f>-'Table 5C1H-Southwest LA Charter'!O68-'Table 5C1H-Southwest LA Charter'!R68</f>
        <v>0</v>
      </c>
      <c r="R67" s="368">
        <f>-'Table 5C2 - LA Virtual Admy'!P65-'Table 5C2 - LA Virtual Admy'!S65</f>
        <v>-1510.2</v>
      </c>
      <c r="S67" s="368">
        <f>-'Table 5C3 - LA Connections EBR'!P65-'Table 5C3 - LA Connections EBR'!S65</f>
        <v>-3020.4</v>
      </c>
      <c r="T67" s="368">
        <f>-'Table 5D1 - New Vision'!N68-'Table 5D1 - New Vision'!Q68</f>
        <v>0</v>
      </c>
      <c r="U67" s="368">
        <f>-'Table 5D2 - Glencoe'!N68-'Table 5D2 - Glencoe'!Q68</f>
        <v>0</v>
      </c>
      <c r="V67" s="368">
        <f>-'Table 5D3 - International'!N68-'Table 5D3 - International'!Q68</f>
        <v>0</v>
      </c>
      <c r="W67" s="368">
        <f>-'Table 5D4 - Avoyelles'!N68-'Table 5D4 - Avoyelles'!Q68</f>
        <v>0</v>
      </c>
      <c r="X67" s="368">
        <f>-'Table 5D5 - Delhi'!N68-'Table 5D5 - Delhi'!Q68</f>
        <v>-52018</v>
      </c>
      <c r="Y67" s="368">
        <f>-'Table 5D6 - Milestone'!N68-'Table 5D6 - Milestone'!Q68</f>
        <v>0</v>
      </c>
      <c r="Z67" s="368">
        <f>-'Table 5D7 - Max'!N68-'Table 5D7 - Max'!Q68</f>
        <v>0</v>
      </c>
      <c r="AA67" s="368">
        <f>-'Table 5D8 - Belle Chasse'!P68-'Table 5D8 - Belle Chasse'!U68</f>
        <v>0</v>
      </c>
      <c r="AB67" s="368">
        <f>-'Table 5E_OJJ'!P68-'Table 5E_OJJ'!Q68</f>
        <v>-587.62010772089707</v>
      </c>
      <c r="AC67" s="368">
        <f>-'Table 5F Scholarships'!G72</f>
        <v>0</v>
      </c>
      <c r="AD67" s="368">
        <f t="shared" si="21"/>
        <v>-60524.780107720901</v>
      </c>
      <c r="AE67" s="764">
        <f t="shared" si="22"/>
        <v>12691419.219892278</v>
      </c>
      <c r="AK67"/>
      <c r="AT67"/>
    </row>
    <row r="68" spans="1:46">
      <c r="A68" s="101">
        <v>63</v>
      </c>
      <c r="B68" s="311" t="s">
        <v>163</v>
      </c>
      <c r="C68" s="320">
        <f>'Table 2_State Distrib and Adjs'!AF69</f>
        <v>10481805</v>
      </c>
      <c r="D68" s="368">
        <f>-'Table 5A2 LSMSA'!K69</f>
        <v>-5253.4696574201253</v>
      </c>
      <c r="E68" s="368">
        <f>-'Table 5A3 NOCCA'!K69</f>
        <v>0</v>
      </c>
      <c r="F68" s="368">
        <f>-'Table 5A4_LSDVI'!K69</f>
        <v>-4998.83</v>
      </c>
      <c r="G68" s="368">
        <f>-'Table 5A5_SSD'!K69</f>
        <v>-4998.83</v>
      </c>
      <c r="H68" s="368"/>
      <c r="I68" s="368"/>
      <c r="J68" s="368">
        <f>-'Table 5C1A-Madison Prep'!O69-'Table 5C1A-Madison Prep'!R69</f>
        <v>0</v>
      </c>
      <c r="K68" s="368">
        <f>-'Table 5C1B-DArbonne'!O69-'Table 5C1B-DArbonne'!R69</f>
        <v>0</v>
      </c>
      <c r="L68" s="368">
        <f>-'Table 5C1C-Intl_VIBE'!O69-'Table 5C1C-Intl_VIBE'!R69</f>
        <v>0</v>
      </c>
      <c r="M68" s="368">
        <f>-'Table 5C1D-NOMMA'!O69-'Table 5C1D-NOMMA'!R69</f>
        <v>0</v>
      </c>
      <c r="N68" s="368">
        <f>-'Table 5C1E-LFNO'!O69-'Table 5C1E-LFNO'!R69</f>
        <v>0</v>
      </c>
      <c r="O68" s="368">
        <f>-'Table 5C1F-Lake Charles Charter'!O69-'Table 5C1F-Lake Charles Charter'!R69</f>
        <v>0</v>
      </c>
      <c r="P68" s="368">
        <f>-'Table 5C1G-JS Clark Academy'!O69-'Table 5C1G-JS Clark Academy'!R69</f>
        <v>0</v>
      </c>
      <c r="Q68" s="368">
        <f>-'Table 5C1H-Southwest LA Charter'!O69-'Table 5C1H-Southwest LA Charter'!R69</f>
        <v>0</v>
      </c>
      <c r="R68" s="368">
        <f>-'Table 5C2 - LA Virtual Admy'!P66-'Table 5C2 - LA Virtual Admy'!S66</f>
        <v>0</v>
      </c>
      <c r="S68" s="368">
        <f>-'Table 5C3 - LA Connections EBR'!P66-'Table 5C3 - LA Connections EBR'!S66</f>
        <v>-35229.600000000006</v>
      </c>
      <c r="T68" s="368">
        <f>-'Table 5D1 - New Vision'!N69-'Table 5D1 - New Vision'!Q69</f>
        <v>0</v>
      </c>
      <c r="U68" s="368">
        <f>-'Table 5D2 - Glencoe'!N69-'Table 5D2 - Glencoe'!Q69</f>
        <v>0</v>
      </c>
      <c r="V68" s="368">
        <f>-'Table 5D3 - International'!N69-'Table 5D3 - International'!Q69</f>
        <v>0</v>
      </c>
      <c r="W68" s="368">
        <f>-'Table 5D4 - Avoyelles'!N69-'Table 5D4 - Avoyelles'!Q69</f>
        <v>0</v>
      </c>
      <c r="X68" s="368">
        <f>-'Table 5D5 - Delhi'!N69-'Table 5D5 - Delhi'!Q69</f>
        <v>0</v>
      </c>
      <c r="Y68" s="368">
        <f>-'Table 5D6 - Milestone'!N69-'Table 5D6 - Milestone'!Q69</f>
        <v>0</v>
      </c>
      <c r="Z68" s="368">
        <f>-'Table 5D7 - Max'!N69-'Table 5D7 - Max'!Q69</f>
        <v>0</v>
      </c>
      <c r="AA68" s="368">
        <f>-'Table 5D8 - Belle Chasse'!P69-'Table 5D8 - Belle Chasse'!U69</f>
        <v>0</v>
      </c>
      <c r="AB68" s="368">
        <f>-'Table 5E_OJJ'!P69-'Table 5E_OJJ'!Q69</f>
        <v>-7431.858939762833</v>
      </c>
      <c r="AC68" s="368">
        <f>-'Table 5F Scholarships'!G73</f>
        <v>0</v>
      </c>
      <c r="AD68" s="368">
        <f t="shared" si="21"/>
        <v>-57912.588597182963</v>
      </c>
      <c r="AE68" s="764">
        <f t="shared" si="22"/>
        <v>10423892.411402818</v>
      </c>
      <c r="AK68"/>
      <c r="AT68"/>
    </row>
    <row r="69" spans="1:46">
      <c r="A69" s="101">
        <v>64</v>
      </c>
      <c r="B69" s="311" t="s">
        <v>164</v>
      </c>
      <c r="C69" s="320">
        <f>'Table 2_State Distrib and Adjs'!AF70</f>
        <v>15621319</v>
      </c>
      <c r="D69" s="368">
        <f>-'Table 5A2 LSMSA'!K70</f>
        <v>-2048.4991084965445</v>
      </c>
      <c r="E69" s="368">
        <f>-'Table 5A3 NOCCA'!K70</f>
        <v>0</v>
      </c>
      <c r="F69" s="368">
        <f>-'Table 5A4_LSDVI'!K70</f>
        <v>-2752.56</v>
      </c>
      <c r="G69" s="368">
        <f>-'Table 5A5_SSD'!K70</f>
        <v>-2752.56</v>
      </c>
      <c r="H69" s="368"/>
      <c r="I69" s="368"/>
      <c r="J69" s="368">
        <f>-'Table 5C1A-Madison Prep'!O70-'Table 5C1A-Madison Prep'!R70</f>
        <v>0</v>
      </c>
      <c r="K69" s="368">
        <f>-'Table 5C1B-DArbonne'!O70-'Table 5C1B-DArbonne'!R70</f>
        <v>0</v>
      </c>
      <c r="L69" s="368">
        <f>-'Table 5C1C-Intl_VIBE'!O70-'Table 5C1C-Intl_VIBE'!R70</f>
        <v>0</v>
      </c>
      <c r="M69" s="368">
        <f>-'Table 5C1D-NOMMA'!O70-'Table 5C1D-NOMMA'!R70</f>
        <v>0</v>
      </c>
      <c r="N69" s="368">
        <f>-'Table 5C1E-LFNO'!O70-'Table 5C1E-LFNO'!R70</f>
        <v>0</v>
      </c>
      <c r="O69" s="368">
        <f>-'Table 5C1F-Lake Charles Charter'!O70-'Table 5C1F-Lake Charles Charter'!R70</f>
        <v>0</v>
      </c>
      <c r="P69" s="368">
        <f>-'Table 5C1G-JS Clark Academy'!O70-'Table 5C1G-JS Clark Academy'!R70</f>
        <v>0</v>
      </c>
      <c r="Q69" s="368">
        <f>-'Table 5C1H-Southwest LA Charter'!O70-'Table 5C1H-Southwest LA Charter'!R70</f>
        <v>0</v>
      </c>
      <c r="R69" s="368">
        <f>-'Table 5C2 - LA Virtual Admy'!P67-'Table 5C2 - LA Virtual Admy'!S67</f>
        <v>-4784.4000000000005</v>
      </c>
      <c r="S69" s="368">
        <f>-'Table 5C3 - LA Connections EBR'!P67-'Table 5C3 - LA Connections EBR'!S67</f>
        <v>-2392.2000000000003</v>
      </c>
      <c r="T69" s="368">
        <f>-'Table 5D1 - New Vision'!N70-'Table 5D1 - New Vision'!Q70</f>
        <v>0</v>
      </c>
      <c r="U69" s="368">
        <f>-'Table 5D2 - Glencoe'!N70-'Table 5D2 - Glencoe'!Q70</f>
        <v>0</v>
      </c>
      <c r="V69" s="368">
        <f>-'Table 5D3 - International'!N70-'Table 5D3 - International'!Q70</f>
        <v>0</v>
      </c>
      <c r="W69" s="368">
        <f>-'Table 5D4 - Avoyelles'!N70-'Table 5D4 - Avoyelles'!Q70</f>
        <v>0</v>
      </c>
      <c r="X69" s="368">
        <f>-'Table 5D5 - Delhi'!N70-'Table 5D5 - Delhi'!Q70</f>
        <v>0</v>
      </c>
      <c r="Y69" s="368">
        <f>-'Table 5D6 - Milestone'!N70-'Table 5D6 - Milestone'!Q70</f>
        <v>0</v>
      </c>
      <c r="Z69" s="368">
        <f>-'Table 5D7 - Max'!N70-'Table 5D7 - Max'!Q70</f>
        <v>0</v>
      </c>
      <c r="AA69" s="368">
        <f>-'Table 5D8 - Belle Chasse'!P70-'Table 5D8 - Belle Chasse'!U70</f>
        <v>0</v>
      </c>
      <c r="AB69" s="368">
        <f>-'Table 5E_OJJ'!P70-'Table 5E_OJJ'!Q70</f>
        <v>0</v>
      </c>
      <c r="AC69" s="368">
        <f>-'Table 5F Scholarships'!G74</f>
        <v>0</v>
      </c>
      <c r="AD69" s="368">
        <f t="shared" si="21"/>
        <v>-14730.219108496545</v>
      </c>
      <c r="AE69" s="764">
        <f t="shared" si="22"/>
        <v>15606588.780891502</v>
      </c>
      <c r="AK69"/>
      <c r="AT69"/>
    </row>
    <row r="70" spans="1:46">
      <c r="A70" s="102">
        <v>65</v>
      </c>
      <c r="B70" s="312" t="s">
        <v>165</v>
      </c>
      <c r="C70" s="329">
        <f>'Table 2_State Distrib and Adjs'!AF71</f>
        <v>44907424</v>
      </c>
      <c r="D70" s="369">
        <f>-'Table 5A2 LSMSA'!K71</f>
        <v>-3479.2288394798875</v>
      </c>
      <c r="E70" s="369">
        <f>-'Table 5A3 NOCCA'!K71</f>
        <v>0</v>
      </c>
      <c r="F70" s="369">
        <f>-'Table 5A4_LSDVI'!K71</f>
        <v>-11604.45</v>
      </c>
      <c r="G70" s="369">
        <f>-'Table 5A5_SSD'!K71</f>
        <v>0</v>
      </c>
      <c r="H70" s="369"/>
      <c r="I70" s="369"/>
      <c r="J70" s="369">
        <f>-'Table 5C1A-Madison Prep'!O71-'Table 5C1A-Madison Prep'!R71</f>
        <v>0</v>
      </c>
      <c r="K70" s="369">
        <f>-'Table 5C1B-DArbonne'!O71-'Table 5C1B-DArbonne'!R71</f>
        <v>0</v>
      </c>
      <c r="L70" s="369">
        <f>-'Table 5C1C-Intl_VIBE'!O71-'Table 5C1C-Intl_VIBE'!R71</f>
        <v>0</v>
      </c>
      <c r="M70" s="369">
        <f>-'Table 5C1D-NOMMA'!O71-'Table 5C1D-NOMMA'!R71</f>
        <v>0</v>
      </c>
      <c r="N70" s="369">
        <f>-'Table 5C1E-LFNO'!O71-'Table 5C1E-LFNO'!R71</f>
        <v>0</v>
      </c>
      <c r="O70" s="369">
        <f>-'Table 5C1F-Lake Charles Charter'!O71-'Table 5C1F-Lake Charles Charter'!R71</f>
        <v>0</v>
      </c>
      <c r="P70" s="369">
        <f>-'Table 5C1G-JS Clark Academy'!O71-'Table 5C1G-JS Clark Academy'!R71</f>
        <v>0</v>
      </c>
      <c r="Q70" s="369">
        <f>-'Table 5C1H-Southwest LA Charter'!O71-'Table 5C1H-Southwest LA Charter'!R71</f>
        <v>0</v>
      </c>
      <c r="R70" s="369">
        <f>-'Table 5C2 - LA Virtual Admy'!P68-'Table 5C2 - LA Virtual Admy'!S68</f>
        <v>-20839.500000000004</v>
      </c>
      <c r="S70" s="369">
        <f>-'Table 5C3 - LA Connections EBR'!P68-'Table 5C3 - LA Connections EBR'!S68</f>
        <v>-8335.8000000000011</v>
      </c>
      <c r="T70" s="369">
        <f>-'Table 5D1 - New Vision'!N71-'Table 5D1 - New Vision'!Q71</f>
        <v>-828949</v>
      </c>
      <c r="U70" s="369">
        <f>-'Table 5D2 - Glencoe'!N71-'Table 5D2 - Glencoe'!Q71</f>
        <v>0</v>
      </c>
      <c r="V70" s="369">
        <f>-'Table 5D3 - International'!N71-'Table 5D3 - International'!Q71</f>
        <v>0</v>
      </c>
      <c r="W70" s="369">
        <f>-'Table 5D4 - Avoyelles'!N71-'Table 5D4 - Avoyelles'!Q71</f>
        <v>0</v>
      </c>
      <c r="X70" s="369">
        <f>-'Table 5D5 - Delhi'!N71-'Table 5D5 - Delhi'!Q71</f>
        <v>0</v>
      </c>
      <c r="Y70" s="369">
        <f>-'Table 5D6 - Milestone'!N71-'Table 5D6 - Milestone'!Q71</f>
        <v>0</v>
      </c>
      <c r="Z70" s="369">
        <f>-'Table 5D7 - Max'!N71-'Table 5D7 - Max'!Q71</f>
        <v>0</v>
      </c>
      <c r="AA70" s="369">
        <f>-'Table 5D8 - Belle Chasse'!P71-'Table 5D8 - Belle Chasse'!U71</f>
        <v>0</v>
      </c>
      <c r="AB70" s="369">
        <f>-'Table 5E_OJJ'!P71-'Table 5E_OJJ'!Q71</f>
        <v>-4764.8744518312969</v>
      </c>
      <c r="AC70" s="369">
        <f>-'Table 5F Scholarships'!G75</f>
        <v>0</v>
      </c>
      <c r="AD70" s="369">
        <f t="shared" si="21"/>
        <v>-877972.85329131118</v>
      </c>
      <c r="AE70" s="765">
        <f t="shared" si="22"/>
        <v>44029451.14670869</v>
      </c>
      <c r="AK70"/>
      <c r="AT70"/>
    </row>
    <row r="71" spans="1:46">
      <c r="A71" s="136">
        <v>66</v>
      </c>
      <c r="B71" s="313" t="s">
        <v>166</v>
      </c>
      <c r="C71" s="322">
        <f>'Table 2_State Distrib and Adjs'!AF72</f>
        <v>14285552</v>
      </c>
      <c r="D71" s="370">
        <f>-'Table 5A2 LSMSA'!K72</f>
        <v>0</v>
      </c>
      <c r="E71" s="370">
        <f>-'Table 5A3 NOCCA'!K72</f>
        <v>0</v>
      </c>
      <c r="F71" s="370">
        <f>-'Table 5A4_LSDVI'!K72</f>
        <v>-7037.36</v>
      </c>
      <c r="G71" s="370">
        <f>-'Table 5A5_SSD'!K72</f>
        <v>0</v>
      </c>
      <c r="H71" s="370"/>
      <c r="I71" s="370"/>
      <c r="J71" s="370">
        <f>-'Table 5C1A-Madison Prep'!O72-'Table 5C1A-Madison Prep'!R72</f>
        <v>0</v>
      </c>
      <c r="K71" s="370">
        <f>-'Table 5C1B-DArbonne'!O72-'Table 5C1B-DArbonne'!R72</f>
        <v>0</v>
      </c>
      <c r="L71" s="370">
        <f>-'Table 5C1C-Intl_VIBE'!O72-'Table 5C1C-Intl_VIBE'!R72</f>
        <v>0</v>
      </c>
      <c r="M71" s="370">
        <f>-'Table 5C1D-NOMMA'!O72-'Table 5C1D-NOMMA'!R72</f>
        <v>0</v>
      </c>
      <c r="N71" s="370">
        <f>-'Table 5C1E-LFNO'!O72-'Table 5C1E-LFNO'!R72</f>
        <v>0</v>
      </c>
      <c r="O71" s="370">
        <f>-'Table 5C1F-Lake Charles Charter'!O72-'Table 5C1F-Lake Charles Charter'!R72</f>
        <v>0</v>
      </c>
      <c r="P71" s="370">
        <f>-'Table 5C1G-JS Clark Academy'!O72-'Table 5C1G-JS Clark Academy'!R72</f>
        <v>0</v>
      </c>
      <c r="Q71" s="370">
        <f>-'Table 5C1H-Southwest LA Charter'!O72-'Table 5C1H-Southwest LA Charter'!R72</f>
        <v>0</v>
      </c>
      <c r="R71" s="370">
        <f>-'Table 5C2 - LA Virtual Admy'!P69-'Table 5C2 - LA Virtual Admy'!S69</f>
        <v>-12394.800000000001</v>
      </c>
      <c r="S71" s="370">
        <f>-'Table 5C3 - LA Connections EBR'!P69-'Table 5C3 - LA Connections EBR'!S69</f>
        <v>-3098.7000000000003</v>
      </c>
      <c r="T71" s="370">
        <f>-'Table 5D1 - New Vision'!N72-'Table 5D1 - New Vision'!Q72</f>
        <v>0</v>
      </c>
      <c r="U71" s="370">
        <f>-'Table 5D2 - Glencoe'!N72-'Table 5D2 - Glencoe'!Q72</f>
        <v>0</v>
      </c>
      <c r="V71" s="370">
        <f>-'Table 5D3 - International'!N72-'Table 5D3 - International'!Q72</f>
        <v>0</v>
      </c>
      <c r="W71" s="370">
        <f>-'Table 5D4 - Avoyelles'!N72-'Table 5D4 - Avoyelles'!Q72</f>
        <v>0</v>
      </c>
      <c r="X71" s="370">
        <f>-'Table 5D5 - Delhi'!N72-'Table 5D5 - Delhi'!Q72</f>
        <v>0</v>
      </c>
      <c r="Y71" s="370">
        <f>-'Table 5D6 - Milestone'!N72-'Table 5D6 - Milestone'!Q72</f>
        <v>0</v>
      </c>
      <c r="Z71" s="370">
        <f>-'Table 5D7 - Max'!N72-'Table 5D7 - Max'!Q72</f>
        <v>0</v>
      </c>
      <c r="AA71" s="370">
        <f>-'Table 5D8 - Belle Chasse'!P72-'Table 5D8 - Belle Chasse'!U72</f>
        <v>0</v>
      </c>
      <c r="AB71" s="370">
        <f>-'Table 5E_OJJ'!P72-'Table 5E_OJJ'!Q72</f>
        <v>-24.927967259920109</v>
      </c>
      <c r="AC71" s="370">
        <f>-'Table 5F Scholarships'!G76</f>
        <v>0</v>
      </c>
      <c r="AD71" s="370">
        <f t="shared" ref="AD71:AD74" si="23">SUM(D71:AC71)</f>
        <v>-22555.787967259919</v>
      </c>
      <c r="AE71" s="767">
        <f t="shared" si="22"/>
        <v>14262996.212032741</v>
      </c>
      <c r="AK71"/>
      <c r="AT71"/>
    </row>
    <row r="72" spans="1:46">
      <c r="A72" s="360">
        <v>67</v>
      </c>
      <c r="B72" s="314" t="s">
        <v>33</v>
      </c>
      <c r="C72" s="320">
        <f>'Table 2_State Distrib and Adjs'!AF73</f>
        <v>29135898</v>
      </c>
      <c r="D72" s="368">
        <f>-'Table 5A2 LSMSA'!K73</f>
        <v>-7564.1533878570826</v>
      </c>
      <c r="E72" s="368">
        <f>-'Table 5A3 NOCCA'!K73</f>
        <v>0</v>
      </c>
      <c r="F72" s="368">
        <f>-'Table 5A4_LSDVI'!K73</f>
        <v>-12313.52</v>
      </c>
      <c r="G72" s="368">
        <f>-'Table 5A5_SSD'!K73</f>
        <v>-6156.76</v>
      </c>
      <c r="H72" s="368"/>
      <c r="I72" s="368"/>
      <c r="J72" s="368">
        <f>-'Table 5C1A-Madison Prep'!O73-'Table 5C1A-Madison Prep'!R73</f>
        <v>-9004</v>
      </c>
      <c r="K72" s="368">
        <f>-'Table 5C1B-DArbonne'!O73-'Table 5C1B-DArbonne'!R73</f>
        <v>0</v>
      </c>
      <c r="L72" s="368">
        <f>-'Table 5C1C-Intl_VIBE'!O73-'Table 5C1C-Intl_VIBE'!R73</f>
        <v>0</v>
      </c>
      <c r="M72" s="368">
        <f>-'Table 5C1D-NOMMA'!O73-'Table 5C1D-NOMMA'!R73</f>
        <v>0</v>
      </c>
      <c r="N72" s="368">
        <f>-'Table 5C1E-LFNO'!O73-'Table 5C1E-LFNO'!R73</f>
        <v>0</v>
      </c>
      <c r="O72" s="368">
        <f>-'Table 5C1F-Lake Charles Charter'!O73-'Table 5C1F-Lake Charles Charter'!R73</f>
        <v>0</v>
      </c>
      <c r="P72" s="368">
        <f>-'Table 5C1G-JS Clark Academy'!O73-'Table 5C1G-JS Clark Academy'!R73</f>
        <v>0</v>
      </c>
      <c r="Q72" s="368">
        <f>-'Table 5C1H-Southwest LA Charter'!O73-'Table 5C1H-Southwest LA Charter'!R73</f>
        <v>0</v>
      </c>
      <c r="R72" s="368">
        <f>-'Table 5C2 - LA Virtual Admy'!P70-'Table 5C2 - LA Virtual Admy'!S70</f>
        <v>-8103.6</v>
      </c>
      <c r="S72" s="368">
        <f>-'Table 5C3 - LA Connections EBR'!P70-'Table 5C3 - LA Connections EBR'!S70</f>
        <v>-16207.2</v>
      </c>
      <c r="T72" s="368">
        <f>-'Table 5D1 - New Vision'!N73-'Table 5D1 - New Vision'!Q73</f>
        <v>0</v>
      </c>
      <c r="U72" s="368">
        <f>-'Table 5D2 - Glencoe'!N73-'Table 5D2 - Glencoe'!Q73</f>
        <v>0</v>
      </c>
      <c r="V72" s="368">
        <f>-'Table 5D3 - International'!N73-'Table 5D3 - International'!Q73</f>
        <v>0</v>
      </c>
      <c r="W72" s="368">
        <f>-'Table 5D4 - Avoyelles'!N73-'Table 5D4 - Avoyelles'!Q73</f>
        <v>0</v>
      </c>
      <c r="X72" s="368">
        <f>-'Table 5D5 - Delhi'!N73-'Table 5D5 - Delhi'!Q73</f>
        <v>0</v>
      </c>
      <c r="Y72" s="368">
        <f>-'Table 5D6 - Milestone'!N73-'Table 5D6 - Milestone'!Q73</f>
        <v>0</v>
      </c>
      <c r="Z72" s="368">
        <f>-'Table 5D7 - Max'!N73-'Table 5D7 - Max'!Q73</f>
        <v>0</v>
      </c>
      <c r="AA72" s="368">
        <f>-'Table 5D8 - Belle Chasse'!P73-'Table 5D8 - Belle Chasse'!U73</f>
        <v>0</v>
      </c>
      <c r="AB72" s="368">
        <f>-'Table 5E_OJJ'!P73-'Table 5E_OJJ'!Q73</f>
        <v>-221.64057114550923</v>
      </c>
      <c r="AC72" s="368">
        <f>-'Table 5F Scholarships'!G77</f>
        <v>0</v>
      </c>
      <c r="AD72" s="368">
        <f t="shared" si="23"/>
        <v>-59570.873959002587</v>
      </c>
      <c r="AE72" s="764">
        <f t="shared" si="22"/>
        <v>29076327.126040995</v>
      </c>
      <c r="AK72"/>
      <c r="AT72"/>
    </row>
    <row r="73" spans="1:46">
      <c r="A73" s="101">
        <v>68</v>
      </c>
      <c r="B73" s="311" t="s">
        <v>31</v>
      </c>
      <c r="C73" s="320">
        <f>'Table 2_State Distrib and Adjs'!AF74</f>
        <v>11742502</v>
      </c>
      <c r="D73" s="368">
        <f>-'Table 5A2 LSMSA'!K74</f>
        <v>0</v>
      </c>
      <c r="E73" s="368">
        <f>-'Table 5A3 NOCCA'!K74</f>
        <v>0</v>
      </c>
      <c r="F73" s="368">
        <f>-'Table 5A4_LSDVI'!K74</f>
        <v>-14355.2</v>
      </c>
      <c r="G73" s="368">
        <f>-'Table 5A5_SSD'!K74</f>
        <v>0</v>
      </c>
      <c r="H73" s="368"/>
      <c r="I73" s="368"/>
      <c r="J73" s="368">
        <f>-'Table 5C1A-Madison Prep'!O74-'Table 5C1A-Madison Prep'!R74</f>
        <v>-10348</v>
      </c>
      <c r="K73" s="368">
        <f>-'Table 5C1B-DArbonne'!O74-'Table 5C1B-DArbonne'!R74</f>
        <v>0</v>
      </c>
      <c r="L73" s="368">
        <f>-'Table 5C1C-Intl_VIBE'!O74-'Table 5C1C-Intl_VIBE'!R74</f>
        <v>0</v>
      </c>
      <c r="M73" s="368">
        <f>-'Table 5C1D-NOMMA'!O74-'Table 5C1D-NOMMA'!R74</f>
        <v>0</v>
      </c>
      <c r="N73" s="368">
        <f>-'Table 5C1E-LFNO'!O74-'Table 5C1E-LFNO'!R74</f>
        <v>0</v>
      </c>
      <c r="O73" s="368">
        <f>-'Table 5C1F-Lake Charles Charter'!O74-'Table 5C1F-Lake Charles Charter'!R74</f>
        <v>0</v>
      </c>
      <c r="P73" s="368">
        <f>-'Table 5C1G-JS Clark Academy'!O74-'Table 5C1G-JS Clark Academy'!R74</f>
        <v>0</v>
      </c>
      <c r="Q73" s="368">
        <f>-'Table 5C1H-Southwest LA Charter'!O74-'Table 5C1H-Southwest LA Charter'!R74</f>
        <v>0</v>
      </c>
      <c r="R73" s="368">
        <f>-'Table 5C2 - LA Virtual Admy'!P71-'Table 5C2 - LA Virtual Admy'!S71</f>
        <v>-9313.2000000000007</v>
      </c>
      <c r="S73" s="368">
        <f>-'Table 5C3 - LA Connections EBR'!P71-'Table 5C3 - LA Connections EBR'!S71</f>
        <v>-2328.3000000000002</v>
      </c>
      <c r="T73" s="368">
        <f>-'Table 5D1 - New Vision'!N74-'Table 5D1 - New Vision'!Q74</f>
        <v>0</v>
      </c>
      <c r="U73" s="368">
        <f>-'Table 5D2 - Glencoe'!N74-'Table 5D2 - Glencoe'!Q74</f>
        <v>0</v>
      </c>
      <c r="V73" s="368">
        <f>-'Table 5D3 - International'!N74-'Table 5D3 - International'!Q74</f>
        <v>0</v>
      </c>
      <c r="W73" s="368">
        <f>-'Table 5D4 - Avoyelles'!N74-'Table 5D4 - Avoyelles'!Q74</f>
        <v>0</v>
      </c>
      <c r="X73" s="368">
        <f>-'Table 5D5 - Delhi'!N74-'Table 5D5 - Delhi'!Q74</f>
        <v>0</v>
      </c>
      <c r="Y73" s="368">
        <f>-'Table 5D6 - Milestone'!N74-'Table 5D6 - Milestone'!Q74</f>
        <v>0</v>
      </c>
      <c r="Z73" s="368">
        <f>-'Table 5D7 - Max'!N74-'Table 5D7 - Max'!Q74</f>
        <v>0</v>
      </c>
      <c r="AA73" s="368">
        <f>-'Table 5D8 - Belle Chasse'!P74-'Table 5D8 - Belle Chasse'!U74</f>
        <v>0</v>
      </c>
      <c r="AB73" s="368">
        <f>-'Table 5E_OJJ'!P74-'Table 5E_OJJ'!Q74</f>
        <v>0</v>
      </c>
      <c r="AC73" s="368">
        <f>-'Table 5F Scholarships'!G78</f>
        <v>0</v>
      </c>
      <c r="AD73" s="368">
        <f t="shared" si="23"/>
        <v>-36344.700000000004</v>
      </c>
      <c r="AE73" s="764">
        <f t="shared" si="22"/>
        <v>11706157.300000001</v>
      </c>
      <c r="AK73"/>
      <c r="AT73"/>
    </row>
    <row r="74" spans="1:46">
      <c r="A74" s="102">
        <v>69</v>
      </c>
      <c r="B74" s="312" t="s">
        <v>235</v>
      </c>
      <c r="C74" s="329">
        <f>'Table 2_State Distrib and Adjs'!AF75</f>
        <v>24400463</v>
      </c>
      <c r="D74" s="369">
        <f>-'Table 5A2 LSMSA'!K75</f>
        <v>0</v>
      </c>
      <c r="E74" s="369">
        <f>-'Table 5A3 NOCCA'!K75</f>
        <v>0</v>
      </c>
      <c r="F74" s="369">
        <f>-'Table 5A4_LSDVI'!K75</f>
        <v>-5654.4</v>
      </c>
      <c r="G74" s="369">
        <f>-'Table 5A5_SSD'!K75</f>
        <v>-2827.2</v>
      </c>
      <c r="H74" s="369"/>
      <c r="I74" s="369"/>
      <c r="J74" s="369">
        <f>-'Table 5C1A-Madison Prep'!O75-'Table 5C1A-Madison Prep'!R75</f>
        <v>-6466</v>
      </c>
      <c r="K74" s="369">
        <f>-'Table 5C1B-DArbonne'!O75-'Table 5C1B-DArbonne'!R75</f>
        <v>0</v>
      </c>
      <c r="L74" s="369">
        <f>-'Table 5C1C-Intl_VIBE'!O75-'Table 5C1C-Intl_VIBE'!R75</f>
        <v>0</v>
      </c>
      <c r="M74" s="369">
        <f>-'Table 5C1D-NOMMA'!O75-'Table 5C1D-NOMMA'!R75</f>
        <v>0</v>
      </c>
      <c r="N74" s="369">
        <f>-'Table 5C1E-LFNO'!O75-'Table 5C1E-LFNO'!R75</f>
        <v>0</v>
      </c>
      <c r="O74" s="369">
        <f>-'Table 5C1F-Lake Charles Charter'!O75-'Table 5C1F-Lake Charles Charter'!R75</f>
        <v>0</v>
      </c>
      <c r="P74" s="369">
        <f>-'Table 5C1G-JS Clark Academy'!O75-'Table 5C1G-JS Clark Academy'!R75</f>
        <v>0</v>
      </c>
      <c r="Q74" s="369">
        <f>-'Table 5C1H-Southwest LA Charter'!O75-'Table 5C1H-Southwest LA Charter'!R75</f>
        <v>0</v>
      </c>
      <c r="R74" s="369">
        <f>-'Table 5C2 - LA Virtual Admy'!P72-'Table 5C2 - LA Virtual Admy'!S72</f>
        <v>-29097.000000000004</v>
      </c>
      <c r="S74" s="369">
        <f>-'Table 5C3 - LA Connections EBR'!P72-'Table 5C3 - LA Connections EBR'!S72</f>
        <v>-2909.7000000000003</v>
      </c>
      <c r="T74" s="369">
        <f>-'Table 5D1 - New Vision'!N75-'Table 5D1 - New Vision'!Q75</f>
        <v>0</v>
      </c>
      <c r="U74" s="369">
        <f>-'Table 5D2 - Glencoe'!N75-'Table 5D2 - Glencoe'!Q75</f>
        <v>0</v>
      </c>
      <c r="V74" s="369">
        <f>-'Table 5D3 - International'!N75-'Table 5D3 - International'!Q75</f>
        <v>0</v>
      </c>
      <c r="W74" s="369">
        <f>-'Table 5D4 - Avoyelles'!N75-'Table 5D4 - Avoyelles'!Q75</f>
        <v>0</v>
      </c>
      <c r="X74" s="369">
        <f>-'Table 5D5 - Delhi'!N75-'Table 5D5 - Delhi'!Q75</f>
        <v>0</v>
      </c>
      <c r="Y74" s="369">
        <f>-'Table 5D6 - Milestone'!N75-'Table 5D6 - Milestone'!Q75</f>
        <v>0</v>
      </c>
      <c r="Z74" s="369">
        <f>-'Table 5D7 - Max'!N75-'Table 5D7 - Max'!Q75</f>
        <v>0</v>
      </c>
      <c r="AA74" s="369">
        <f>-'Table 5D8 - Belle Chasse'!P75-'Table 5D8 - Belle Chasse'!U75</f>
        <v>0</v>
      </c>
      <c r="AB74" s="369">
        <f>-'Table 5E_OJJ'!P75-'Table 5E_OJJ'!Q75</f>
        <v>0</v>
      </c>
      <c r="AC74" s="369">
        <f>-'Table 5F Scholarships'!G79</f>
        <v>0</v>
      </c>
      <c r="AD74" s="369">
        <f t="shared" si="23"/>
        <v>-46954.3</v>
      </c>
      <c r="AE74" s="765">
        <f t="shared" si="22"/>
        <v>24353508.700000003</v>
      </c>
      <c r="AK74"/>
      <c r="AT74"/>
    </row>
    <row r="75" spans="1:46" ht="13.5" thickBot="1">
      <c r="A75" s="428"/>
      <c r="B75" s="429" t="s">
        <v>167</v>
      </c>
      <c r="C75" s="768">
        <f t="shared" ref="C75:AE75" si="24">SUM(C6:C74)</f>
        <v>3214489997</v>
      </c>
      <c r="D75" s="768">
        <f>SUM(D6:D74)</f>
        <v>-470767.84908990067</v>
      </c>
      <c r="E75" s="768">
        <f>SUM(E6:E74)</f>
        <v>-272356.8104982673</v>
      </c>
      <c r="F75" s="768">
        <f>SUM(F6:F74)</f>
        <v>-800642.63000000024</v>
      </c>
      <c r="G75" s="768">
        <f>SUM(G6:G74)</f>
        <v>-983412.4800000001</v>
      </c>
      <c r="H75" s="768">
        <f t="shared" si="24"/>
        <v>-20935695</v>
      </c>
      <c r="I75" s="768">
        <f t="shared" si="24"/>
        <v>-117073392</v>
      </c>
      <c r="J75" s="768">
        <f t="shared" si="24"/>
        <v>-1261246</v>
      </c>
      <c r="K75" s="768">
        <f t="shared" si="24"/>
        <v>-964685</v>
      </c>
      <c r="L75" s="768">
        <f t="shared" si="24"/>
        <v>-1296226</v>
      </c>
      <c r="M75" s="768">
        <f t="shared" si="24"/>
        <v>-533447</v>
      </c>
      <c r="N75" s="768">
        <f t="shared" si="24"/>
        <v>-268119</v>
      </c>
      <c r="O75" s="768">
        <f t="shared" si="24"/>
        <v>-2754951</v>
      </c>
      <c r="P75" s="768">
        <f t="shared" si="24"/>
        <v>-418680</v>
      </c>
      <c r="Q75" s="768">
        <f t="shared" si="24"/>
        <v>-1940400</v>
      </c>
      <c r="R75" s="768">
        <f t="shared" si="24"/>
        <v>-4660423.2000000011</v>
      </c>
      <c r="S75" s="768">
        <f t="shared" si="24"/>
        <v>-2187933.3000000007</v>
      </c>
      <c r="T75" s="768">
        <f t="shared" si="24"/>
        <v>-1300711</v>
      </c>
      <c r="U75" s="768">
        <f t="shared" si="24"/>
        <v>-1399839</v>
      </c>
      <c r="V75" s="768">
        <f t="shared" si="24"/>
        <v>-2694985</v>
      </c>
      <c r="W75" s="768">
        <f t="shared" si="24"/>
        <v>-798198</v>
      </c>
      <c r="X75" s="768">
        <f t="shared" si="24"/>
        <v>-1592863</v>
      </c>
      <c r="Y75" s="768">
        <f t="shared" si="24"/>
        <v>-1937775</v>
      </c>
      <c r="Z75" s="768">
        <f t="shared" si="24"/>
        <v>-443288</v>
      </c>
      <c r="AA75" s="768">
        <f t="shared" si="24"/>
        <v>-2738997</v>
      </c>
      <c r="AB75" s="768">
        <f t="shared" si="24"/>
        <v>-1142106.0031667359</v>
      </c>
      <c r="AC75" s="768">
        <f t="shared" si="24"/>
        <v>-4975070.625</v>
      </c>
      <c r="AD75" s="768">
        <f>SUM(AD6:AD74)</f>
        <v>-175846209.89775491</v>
      </c>
      <c r="AE75" s="769">
        <f t="shared" si="24"/>
        <v>3038643787.1022449</v>
      </c>
      <c r="AK75"/>
      <c r="AT75"/>
    </row>
    <row r="76" spans="1:46" ht="13.5" thickTop="1">
      <c r="AG76" s="99"/>
      <c r="AH76" s="99"/>
      <c r="AI76" s="99"/>
      <c r="AJ76" s="99"/>
      <c r="AK76" s="99"/>
      <c r="AL76" s="99"/>
      <c r="AM76" s="99"/>
      <c r="AN76" s="99"/>
      <c r="AO76" s="99"/>
      <c r="AR76" s="99"/>
    </row>
    <row r="77" spans="1:46">
      <c r="AE77" s="49">
        <f>SUM(C75:AC75)</f>
        <v>3038643787.1022449</v>
      </c>
    </row>
    <row r="78" spans="1:46" ht="9.75" customHeight="1">
      <c r="AG78" s="49"/>
      <c r="AH78" s="49"/>
      <c r="AI78" s="49"/>
      <c r="AJ78" s="49"/>
      <c r="AL78" s="49"/>
      <c r="AM78" s="49"/>
      <c r="AN78" s="49"/>
      <c r="AO78" s="49"/>
      <c r="AR78" s="49"/>
    </row>
    <row r="79" spans="1:46" ht="9.75" customHeight="1">
      <c r="H79" s="1693"/>
      <c r="I79" s="1693"/>
      <c r="J79" s="1693"/>
      <c r="K79" s="1693"/>
      <c r="L79" s="1693"/>
      <c r="M79" s="1693"/>
    </row>
    <row r="80" spans="1:46" ht="57.75" customHeight="1">
      <c r="H80" s="1693"/>
      <c r="I80" s="1693"/>
      <c r="J80" s="1693"/>
      <c r="K80" s="1693"/>
      <c r="L80" s="1693"/>
      <c r="M80" s="1693"/>
    </row>
    <row r="81" spans="8:13">
      <c r="H81" s="1693"/>
      <c r="I81" s="1693"/>
      <c r="J81" s="1693"/>
      <c r="K81" s="1693"/>
      <c r="L81" s="1693"/>
      <c r="M81" s="1693"/>
    </row>
  </sheetData>
  <mergeCells count="32">
    <mergeCell ref="H79:M81"/>
    <mergeCell ref="T1:T4"/>
    <mergeCell ref="U1:U4"/>
    <mergeCell ref="V1:V4"/>
    <mergeCell ref="O1:O4"/>
    <mergeCell ref="J1:J4"/>
    <mergeCell ref="K1:K4"/>
    <mergeCell ref="L1:L4"/>
    <mergeCell ref="M1:M4"/>
    <mergeCell ref="N1:N4"/>
    <mergeCell ref="A1:A4"/>
    <mergeCell ref="B1:B4"/>
    <mergeCell ref="C1:C4"/>
    <mergeCell ref="H1:H4"/>
    <mergeCell ref="I1:I4"/>
    <mergeCell ref="D1:D4"/>
    <mergeCell ref="E1:E4"/>
    <mergeCell ref="F1:F4"/>
    <mergeCell ref="G1:G4"/>
    <mergeCell ref="AE1:AE4"/>
    <mergeCell ref="AC1:AC4"/>
    <mergeCell ref="P1:P4"/>
    <mergeCell ref="Q1:Q4"/>
    <mergeCell ref="R1:R4"/>
    <mergeCell ref="S1:S4"/>
    <mergeCell ref="AB1:AB4"/>
    <mergeCell ref="AD1:AD4"/>
    <mergeCell ref="W1:W4"/>
    <mergeCell ref="X1:X4"/>
    <mergeCell ref="AA1:AA4"/>
    <mergeCell ref="Y1:Y4"/>
    <mergeCell ref="Z1:Z4"/>
  </mergeCells>
  <printOptions horizontalCentered="1"/>
  <pageMargins left="0.25" right="0.25" top="1.01" bottom="0.75" header="0.3" footer="0.3"/>
  <pageSetup paperSize="5" scale="70" firstPageNumber="7" orientation="portrait" useFirstPageNumber="1" r:id="rId1"/>
  <headerFooter>
    <oddHeader xml:space="preserve">&amp;L&amp;"Arial,Bold"&amp;14Table 2A-1:  FY2012-13 Budget Letter 
MFP Transfer Amount (Annual)
</oddHeader>
    <oddFooter>&amp;R&amp;P</oddFooter>
  </headerFooter>
  <colBreaks count="3" manualBreakCount="3">
    <brk id="9" max="76" man="1"/>
    <brk id="19" max="76" man="1"/>
    <brk id="27" max="76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106"/>
  <sheetViews>
    <sheetView view="pageBreakPreview" zoomScaleNormal="85" zoomScaleSheetLayoutView="10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85546875" style="1005" customWidth="1"/>
    <col min="2" max="2" width="23.7109375" style="1005" customWidth="1"/>
    <col min="3" max="3" width="11.85546875" style="1008" customWidth="1"/>
    <col min="4" max="4" width="15.28515625" style="1008" customWidth="1"/>
    <col min="5" max="5" width="11" style="1008" customWidth="1"/>
    <col min="6" max="6" width="12.5703125" style="1008" bestFit="1" customWidth="1"/>
    <col min="7" max="7" width="11.85546875" style="1008" customWidth="1"/>
    <col min="8" max="8" width="11" style="1008" customWidth="1"/>
    <col min="9" max="11" width="11.7109375" style="1008" customWidth="1"/>
    <col min="12" max="12" width="9.42578125" style="1008" bestFit="1" customWidth="1"/>
    <col min="13" max="13" width="17.7109375" style="1084" customWidth="1"/>
    <col min="14" max="14" width="13.7109375" style="1008" bestFit="1" customWidth="1"/>
    <col min="15" max="18" width="13.7109375" style="1008" customWidth="1"/>
    <col min="19" max="19" width="10.85546875" style="1008" bestFit="1" customWidth="1"/>
    <col min="20" max="21" width="12.5703125" style="1005" customWidth="1"/>
    <col min="22" max="16384" width="12.5703125" style="1005"/>
  </cols>
  <sheetData>
    <row r="1" spans="1:21" ht="9" customHeight="1">
      <c r="B1" s="1006"/>
      <c r="C1" s="1007"/>
      <c r="D1" s="1007"/>
    </row>
    <row r="2" spans="1:21" s="1010" customFormat="1" ht="37.5" customHeight="1">
      <c r="A2" s="1773" t="s">
        <v>774</v>
      </c>
      <c r="B2" s="1774"/>
      <c r="C2" s="1843" t="s">
        <v>759</v>
      </c>
      <c r="D2" s="1791"/>
      <c r="E2" s="1791"/>
      <c r="F2" s="1791"/>
      <c r="G2" s="1791"/>
      <c r="H2" s="1791"/>
      <c r="I2" s="1791"/>
      <c r="J2" s="1791"/>
      <c r="K2" s="1791"/>
      <c r="L2" s="1792"/>
      <c r="M2" s="1770" t="s">
        <v>772</v>
      </c>
      <c r="N2" s="1771"/>
      <c r="O2" s="1771"/>
      <c r="P2" s="1771"/>
      <c r="Q2" s="1771"/>
      <c r="R2" s="1771"/>
      <c r="S2" s="1772"/>
      <c r="T2" s="1764" t="s">
        <v>1425</v>
      </c>
      <c r="U2" s="1764" t="s">
        <v>1389</v>
      </c>
    </row>
    <row r="3" spans="1:21" ht="90" customHeight="1">
      <c r="A3" s="1775"/>
      <c r="B3" s="1776"/>
      <c r="C3" s="1779" t="s">
        <v>1192</v>
      </c>
      <c r="D3" s="1781" t="s">
        <v>819</v>
      </c>
      <c r="E3" s="1781" t="s">
        <v>1406</v>
      </c>
      <c r="F3" s="1011" t="s">
        <v>779</v>
      </c>
      <c r="G3" s="1779" t="s">
        <v>1407</v>
      </c>
      <c r="H3" s="1133" t="s">
        <v>813</v>
      </c>
      <c r="I3" s="1779" t="s">
        <v>1408</v>
      </c>
      <c r="J3" s="1779" t="s">
        <v>1197</v>
      </c>
      <c r="K3" s="1779" t="s">
        <v>1409</v>
      </c>
      <c r="L3" s="1781" t="s">
        <v>1410</v>
      </c>
      <c r="M3" s="1795" t="s">
        <v>1305</v>
      </c>
      <c r="N3" s="1795" t="s">
        <v>1411</v>
      </c>
      <c r="O3" s="1135" t="s">
        <v>815</v>
      </c>
      <c r="P3" s="1135" t="s">
        <v>818</v>
      </c>
      <c r="Q3" s="1795" t="s">
        <v>1197</v>
      </c>
      <c r="R3" s="1795" t="s">
        <v>1412</v>
      </c>
      <c r="S3" s="1795" t="s">
        <v>1413</v>
      </c>
      <c r="T3" s="1765"/>
      <c r="U3" s="1765"/>
    </row>
    <row r="4" spans="1:21" ht="30.75" customHeight="1">
      <c r="A4" s="1777"/>
      <c r="B4" s="1778"/>
      <c r="C4" s="1780"/>
      <c r="D4" s="1781"/>
      <c r="E4" s="1781"/>
      <c r="F4" s="1102">
        <v>536.12413544332276</v>
      </c>
      <c r="G4" s="1780"/>
      <c r="H4" s="1144">
        <v>2.5000000000000001E-3</v>
      </c>
      <c r="I4" s="1780"/>
      <c r="J4" s="1780"/>
      <c r="K4" s="1780"/>
      <c r="L4" s="1781"/>
      <c r="M4" s="1787"/>
      <c r="N4" s="1787"/>
      <c r="O4" s="1145">
        <v>2.5000000000000001E-3</v>
      </c>
      <c r="P4" s="1134"/>
      <c r="Q4" s="1787"/>
      <c r="R4" s="1787"/>
      <c r="S4" s="1787"/>
      <c r="T4" s="1766"/>
      <c r="U4" s="1766"/>
    </row>
    <row r="5" spans="1:21" s="1015" customFormat="1" ht="14.25" customHeight="1">
      <c r="A5" s="1012"/>
      <c r="B5" s="1013"/>
      <c r="C5" s="1014">
        <v>1</v>
      </c>
      <c r="D5" s="1014">
        <f t="shared" ref="D5:N5" si="0">C5+1</f>
        <v>2</v>
      </c>
      <c r="E5" s="1014">
        <f>D5+1</f>
        <v>3</v>
      </c>
      <c r="F5" s="1014">
        <f t="shared" ref="F5:G5" si="1">E5+1</f>
        <v>4</v>
      </c>
      <c r="G5" s="1014">
        <f t="shared" si="1"/>
        <v>5</v>
      </c>
      <c r="H5" s="1014">
        <f t="shared" ref="H5" si="2">G5+1</f>
        <v>6</v>
      </c>
      <c r="I5" s="1014">
        <f t="shared" ref="I5" si="3">H5+1</f>
        <v>7</v>
      </c>
      <c r="J5" s="1014">
        <f t="shared" ref="J5" si="4">I5+1</f>
        <v>8</v>
      </c>
      <c r="K5" s="1014">
        <f t="shared" ref="K5" si="5">J5+1</f>
        <v>9</v>
      </c>
      <c r="L5" s="1014">
        <f t="shared" ref="L5" si="6">K5+1</f>
        <v>10</v>
      </c>
      <c r="M5" s="1014">
        <f t="shared" si="0"/>
        <v>11</v>
      </c>
      <c r="N5" s="1014">
        <f t="shared" si="0"/>
        <v>12</v>
      </c>
      <c r="O5" s="1014">
        <f t="shared" ref="O5" si="7">N5+1</f>
        <v>13</v>
      </c>
      <c r="P5" s="1014">
        <f t="shared" ref="P5" si="8">O5+1</f>
        <v>14</v>
      </c>
      <c r="Q5" s="1014">
        <f t="shared" ref="Q5" si="9">P5+1</f>
        <v>15</v>
      </c>
      <c r="R5" s="1014">
        <f t="shared" ref="R5" si="10">Q5+1</f>
        <v>16</v>
      </c>
      <c r="S5" s="1014">
        <f t="shared" ref="S5" si="11">R5+1</f>
        <v>17</v>
      </c>
      <c r="T5" s="1014">
        <f t="shared" ref="T5" si="12">S5+1</f>
        <v>18</v>
      </c>
      <c r="U5" s="1014">
        <f t="shared" ref="U5" si="13">T5+1</f>
        <v>19</v>
      </c>
    </row>
    <row r="6" spans="1:21" s="1020" customFormat="1" ht="27" customHeight="1">
      <c r="A6" s="1016"/>
      <c r="B6" s="1017"/>
      <c r="C6" s="1018" t="s">
        <v>660</v>
      </c>
      <c r="D6" s="1019" t="s">
        <v>571</v>
      </c>
      <c r="E6" s="1018" t="s">
        <v>864</v>
      </c>
      <c r="F6" s="1019" t="s">
        <v>781</v>
      </c>
      <c r="G6" s="1018" t="s">
        <v>780</v>
      </c>
      <c r="H6" s="1018" t="s">
        <v>814</v>
      </c>
      <c r="I6" s="1018" t="s">
        <v>816</v>
      </c>
      <c r="J6" s="1018"/>
      <c r="K6" s="1018" t="s">
        <v>1217</v>
      </c>
      <c r="L6" s="1018" t="s">
        <v>869</v>
      </c>
      <c r="M6" s="1085" t="s">
        <v>571</v>
      </c>
      <c r="N6" s="1079" t="s">
        <v>870</v>
      </c>
      <c r="O6" s="1079" t="s">
        <v>1218</v>
      </c>
      <c r="P6" s="1079" t="s">
        <v>1215</v>
      </c>
      <c r="Q6" s="1019"/>
      <c r="R6" s="1079" t="s">
        <v>1216</v>
      </c>
      <c r="S6" s="1079" t="s">
        <v>872</v>
      </c>
      <c r="T6" s="1079" t="s">
        <v>873</v>
      </c>
      <c r="U6" s="1079" t="s">
        <v>874</v>
      </c>
    </row>
    <row r="7" spans="1:21">
      <c r="A7" s="1021">
        <v>1</v>
      </c>
      <c r="B7" s="1022" t="s">
        <v>102</v>
      </c>
      <c r="C7" s="1023">
        <f>'Table 8 2.1.12 MFP Funded'!N4</f>
        <v>0</v>
      </c>
      <c r="D7" s="1024">
        <f>'Table 3 Levels 1&amp;2'!AL8</f>
        <v>4621.8175818834352</v>
      </c>
      <c r="E7" s="1136">
        <f t="shared" ref="E7:E38" si="14">D7*C7</f>
        <v>0</v>
      </c>
      <c r="F7" s="1136">
        <f>C7*$F$4</f>
        <v>0</v>
      </c>
      <c r="G7" s="1025">
        <f t="shared" ref="G7:G38" si="15">E7+F7</f>
        <v>0</v>
      </c>
      <c r="H7" s="1146">
        <f>-G7*$H$4</f>
        <v>0</v>
      </c>
      <c r="I7" s="1025">
        <f>SUM(G7:H7)</f>
        <v>0</v>
      </c>
      <c r="J7" s="1025"/>
      <c r="K7" s="1025">
        <f>SUM(I7:J7)</f>
        <v>0</v>
      </c>
      <c r="L7" s="1025">
        <f>ROUND(K7/12,0)</f>
        <v>0</v>
      </c>
      <c r="M7" s="1086">
        <f>'[8]FY2012-13 Initial'!$K8</f>
        <v>2094</v>
      </c>
      <c r="N7" s="1026">
        <f t="shared" ref="N7:N38" si="16">M7*C7</f>
        <v>0</v>
      </c>
      <c r="O7" s="1154">
        <f>-N7*$O$4</f>
        <v>0</v>
      </c>
      <c r="P7" s="1026">
        <f>SUM(N7:O7)</f>
        <v>0</v>
      </c>
      <c r="Q7" s="1026"/>
      <c r="R7" s="1026">
        <f>SUM(P7:Q7)</f>
        <v>0</v>
      </c>
      <c r="S7" s="1026">
        <f>ROUND(R7/12,0)</f>
        <v>0</v>
      </c>
      <c r="T7" s="1027">
        <f>K7+R7</f>
        <v>0</v>
      </c>
      <c r="U7" s="1027">
        <f>L7+S7</f>
        <v>0</v>
      </c>
    </row>
    <row r="8" spans="1:21">
      <c r="A8" s="1028">
        <v>2</v>
      </c>
      <c r="B8" s="1029" t="s">
        <v>103</v>
      </c>
      <c r="C8" s="1030">
        <f>'Table 8 2.1.12 MFP Funded'!N5</f>
        <v>0</v>
      </c>
      <c r="D8" s="1031">
        <f>'Table 3 Levels 1&amp;2'!AL9</f>
        <v>6131.8351665660375</v>
      </c>
      <c r="E8" s="1137">
        <f t="shared" si="14"/>
        <v>0</v>
      </c>
      <c r="F8" s="1137">
        <f t="shared" ref="F8:F71" si="17">C8*$F$4</f>
        <v>0</v>
      </c>
      <c r="G8" s="1087">
        <f t="shared" si="15"/>
        <v>0</v>
      </c>
      <c r="H8" s="1147">
        <f t="shared" ref="H8:H71" si="18">-G8*$H$4</f>
        <v>0</v>
      </c>
      <c r="I8" s="1087">
        <f t="shared" ref="I8:I71" si="19">SUM(G8:H8)</f>
        <v>0</v>
      </c>
      <c r="J8" s="1087"/>
      <c r="K8" s="1087">
        <f t="shared" ref="K8:K71" si="20">SUM(I8:J8)</f>
        <v>0</v>
      </c>
      <c r="L8" s="1087">
        <f t="shared" ref="L8:L71" si="21">ROUND(K8/12,0)</f>
        <v>0</v>
      </c>
      <c r="M8" s="1086">
        <f>'[8]FY2012-13 Initial'!$K9</f>
        <v>2554</v>
      </c>
      <c r="N8" s="1088">
        <f t="shared" si="16"/>
        <v>0</v>
      </c>
      <c r="O8" s="1155">
        <f t="shared" ref="O8:O71" si="22">-N8*$O$4</f>
        <v>0</v>
      </c>
      <c r="P8" s="1088">
        <f t="shared" ref="P8:P71" si="23">SUM(N8:O8)</f>
        <v>0</v>
      </c>
      <c r="Q8" s="1088"/>
      <c r="R8" s="1088">
        <f t="shared" ref="R8:R71" si="24">SUM(P8:Q8)</f>
        <v>0</v>
      </c>
      <c r="S8" s="1088">
        <f t="shared" ref="S8:S71" si="25">ROUND(R8/12,0)</f>
        <v>0</v>
      </c>
      <c r="T8" s="1089">
        <f t="shared" ref="T8:T71" si="26">K8+R8</f>
        <v>0</v>
      </c>
      <c r="U8" s="1089">
        <f t="shared" ref="U8:U70" si="27">L8+S8</f>
        <v>0</v>
      </c>
    </row>
    <row r="9" spans="1:21" ht="12.75" customHeight="1">
      <c r="A9" s="1028">
        <v>3</v>
      </c>
      <c r="B9" s="1029" t="s">
        <v>104</v>
      </c>
      <c r="C9" s="1030">
        <f>'Table 8 2.1.12 MFP Funded'!N6</f>
        <v>0</v>
      </c>
      <c r="D9" s="1031">
        <f>'Table 3 Levels 1&amp;2'!AL10</f>
        <v>4326.5384352059973</v>
      </c>
      <c r="E9" s="1137">
        <f t="shared" si="14"/>
        <v>0</v>
      </c>
      <c r="F9" s="1137">
        <f t="shared" si="17"/>
        <v>0</v>
      </c>
      <c r="G9" s="1087">
        <f t="shared" si="15"/>
        <v>0</v>
      </c>
      <c r="H9" s="1147">
        <f t="shared" si="18"/>
        <v>0</v>
      </c>
      <c r="I9" s="1087">
        <f t="shared" si="19"/>
        <v>0</v>
      </c>
      <c r="J9" s="1087"/>
      <c r="K9" s="1087">
        <f t="shared" si="20"/>
        <v>0</v>
      </c>
      <c r="L9" s="1087">
        <f t="shared" si="21"/>
        <v>0</v>
      </c>
      <c r="M9" s="1086">
        <f>'[8]FY2012-13 Initial'!$K10</f>
        <v>4995</v>
      </c>
      <c r="N9" s="1088">
        <f t="shared" si="16"/>
        <v>0</v>
      </c>
      <c r="O9" s="1155">
        <f t="shared" si="22"/>
        <v>0</v>
      </c>
      <c r="P9" s="1088">
        <f t="shared" si="23"/>
        <v>0</v>
      </c>
      <c r="Q9" s="1088"/>
      <c r="R9" s="1088">
        <f t="shared" si="24"/>
        <v>0</v>
      </c>
      <c r="S9" s="1088">
        <f t="shared" si="25"/>
        <v>0</v>
      </c>
      <c r="T9" s="1089">
        <f t="shared" si="26"/>
        <v>0</v>
      </c>
      <c r="U9" s="1089">
        <f t="shared" si="27"/>
        <v>0</v>
      </c>
    </row>
    <row r="10" spans="1:21" ht="12.75" customHeight="1">
      <c r="A10" s="1028">
        <v>4</v>
      </c>
      <c r="B10" s="1029" t="s">
        <v>105</v>
      </c>
      <c r="C10" s="1030">
        <f>'Table 8 2.1.12 MFP Funded'!N7</f>
        <v>0</v>
      </c>
      <c r="D10" s="1031">
        <f>'Table 3 Levels 1&amp;2'!AL11</f>
        <v>6066.2659652331004</v>
      </c>
      <c r="E10" s="1137">
        <f t="shared" si="14"/>
        <v>0</v>
      </c>
      <c r="F10" s="1137">
        <f t="shared" si="17"/>
        <v>0</v>
      </c>
      <c r="G10" s="1087">
        <f t="shared" si="15"/>
        <v>0</v>
      </c>
      <c r="H10" s="1147">
        <f t="shared" si="18"/>
        <v>0</v>
      </c>
      <c r="I10" s="1087">
        <f t="shared" si="19"/>
        <v>0</v>
      </c>
      <c r="J10" s="1087"/>
      <c r="K10" s="1087">
        <f t="shared" si="20"/>
        <v>0</v>
      </c>
      <c r="L10" s="1087">
        <f t="shared" si="21"/>
        <v>0</v>
      </c>
      <c r="M10" s="1086">
        <f>'[8]FY2012-13 Initial'!$K11</f>
        <v>3361</v>
      </c>
      <c r="N10" s="1088">
        <f t="shared" si="16"/>
        <v>0</v>
      </c>
      <c r="O10" s="1155">
        <f t="shared" si="22"/>
        <v>0</v>
      </c>
      <c r="P10" s="1088">
        <f t="shared" si="23"/>
        <v>0</v>
      </c>
      <c r="Q10" s="1088"/>
      <c r="R10" s="1088">
        <f t="shared" si="24"/>
        <v>0</v>
      </c>
      <c r="S10" s="1088">
        <f t="shared" si="25"/>
        <v>0</v>
      </c>
      <c r="T10" s="1089">
        <f t="shared" si="26"/>
        <v>0</v>
      </c>
      <c r="U10" s="1089">
        <f t="shared" si="27"/>
        <v>0</v>
      </c>
    </row>
    <row r="11" spans="1:21">
      <c r="A11" s="1032">
        <v>5</v>
      </c>
      <c r="B11" s="1033" t="s">
        <v>106</v>
      </c>
      <c r="C11" s="1034">
        <f>'Table 8 2.1.12 MFP Funded'!N8</f>
        <v>671</v>
      </c>
      <c r="D11" s="1035">
        <f>'Table 3 Levels 1&amp;2'!AL12</f>
        <v>4806.2126132223084</v>
      </c>
      <c r="E11" s="1138">
        <f t="shared" si="14"/>
        <v>3224968.6634721691</v>
      </c>
      <c r="F11" s="1138">
        <f t="shared" si="17"/>
        <v>359739.29488246958</v>
      </c>
      <c r="G11" s="1090">
        <f t="shared" si="15"/>
        <v>3584707.9583546389</v>
      </c>
      <c r="H11" s="1148">
        <f t="shared" si="18"/>
        <v>-8961.7698958865967</v>
      </c>
      <c r="I11" s="1090">
        <f t="shared" si="19"/>
        <v>3575746.1884587524</v>
      </c>
      <c r="J11" s="1090"/>
      <c r="K11" s="1090">
        <f t="shared" si="20"/>
        <v>3575746.1884587524</v>
      </c>
      <c r="L11" s="1090">
        <f t="shared" si="21"/>
        <v>297979</v>
      </c>
      <c r="M11" s="1091">
        <f>'[8]FY2012-13 Initial'!$K12</f>
        <v>1146</v>
      </c>
      <c r="N11" s="1092">
        <f t="shared" si="16"/>
        <v>768966</v>
      </c>
      <c r="O11" s="1156">
        <f t="shared" si="22"/>
        <v>-1922.415</v>
      </c>
      <c r="P11" s="1092">
        <f t="shared" si="23"/>
        <v>767043.58499999996</v>
      </c>
      <c r="Q11" s="1092"/>
      <c r="R11" s="1092">
        <f t="shared" si="24"/>
        <v>767043.58499999996</v>
      </c>
      <c r="S11" s="1092">
        <f t="shared" si="25"/>
        <v>63920</v>
      </c>
      <c r="T11" s="1093">
        <f t="shared" si="26"/>
        <v>4342789.7734587528</v>
      </c>
      <c r="U11" s="1093">
        <f t="shared" si="27"/>
        <v>361899</v>
      </c>
    </row>
    <row r="12" spans="1:21" ht="12.75" customHeight="1">
      <c r="A12" s="1021">
        <v>6</v>
      </c>
      <c r="B12" s="1022" t="s">
        <v>107</v>
      </c>
      <c r="C12" s="1023">
        <f>'Table 8 2.1.12 MFP Funded'!N9</f>
        <v>0</v>
      </c>
      <c r="D12" s="1024">
        <f>'Table 3 Levels 1&amp;2'!AL13</f>
        <v>5538.0879878550813</v>
      </c>
      <c r="E12" s="1136">
        <f t="shared" si="14"/>
        <v>0</v>
      </c>
      <c r="F12" s="1136">
        <f t="shared" si="17"/>
        <v>0</v>
      </c>
      <c r="G12" s="1025">
        <f t="shared" si="15"/>
        <v>0</v>
      </c>
      <c r="H12" s="1146">
        <f t="shared" si="18"/>
        <v>0</v>
      </c>
      <c r="I12" s="1025">
        <f t="shared" si="19"/>
        <v>0</v>
      </c>
      <c r="J12" s="1025"/>
      <c r="K12" s="1025">
        <f t="shared" si="20"/>
        <v>0</v>
      </c>
      <c r="L12" s="1025">
        <f t="shared" si="21"/>
        <v>0</v>
      </c>
      <c r="M12" s="1086">
        <f>'[8]FY2012-13 Initial'!$K13</f>
        <v>3431</v>
      </c>
      <c r="N12" s="1026">
        <f t="shared" si="16"/>
        <v>0</v>
      </c>
      <c r="O12" s="1154">
        <f t="shared" si="22"/>
        <v>0</v>
      </c>
      <c r="P12" s="1026">
        <f t="shared" si="23"/>
        <v>0</v>
      </c>
      <c r="Q12" s="1026"/>
      <c r="R12" s="1026">
        <f t="shared" si="24"/>
        <v>0</v>
      </c>
      <c r="S12" s="1026">
        <f t="shared" si="25"/>
        <v>0</v>
      </c>
      <c r="T12" s="1027">
        <f t="shared" si="26"/>
        <v>0</v>
      </c>
      <c r="U12" s="1027">
        <f t="shared" si="27"/>
        <v>0</v>
      </c>
    </row>
    <row r="13" spans="1:21">
      <c r="A13" s="1028">
        <v>7</v>
      </c>
      <c r="B13" s="1029" t="s">
        <v>108</v>
      </c>
      <c r="C13" s="1030">
        <f>'Table 8 2.1.12 MFP Funded'!N10</f>
        <v>0</v>
      </c>
      <c r="D13" s="1031">
        <f>'Table 3 Levels 1&amp;2'!AL14</f>
        <v>1543.5712353471597</v>
      </c>
      <c r="E13" s="1137">
        <f t="shared" si="14"/>
        <v>0</v>
      </c>
      <c r="F13" s="1137">
        <f t="shared" si="17"/>
        <v>0</v>
      </c>
      <c r="G13" s="1087">
        <f t="shared" si="15"/>
        <v>0</v>
      </c>
      <c r="H13" s="1147">
        <f t="shared" si="18"/>
        <v>0</v>
      </c>
      <c r="I13" s="1087">
        <f t="shared" si="19"/>
        <v>0</v>
      </c>
      <c r="J13" s="1087"/>
      <c r="K13" s="1087">
        <f t="shared" si="20"/>
        <v>0</v>
      </c>
      <c r="L13" s="1087">
        <f t="shared" si="21"/>
        <v>0</v>
      </c>
      <c r="M13" s="1086">
        <f>'[8]FY2012-13 Initial'!$K14</f>
        <v>12974</v>
      </c>
      <c r="N13" s="1088">
        <f t="shared" si="16"/>
        <v>0</v>
      </c>
      <c r="O13" s="1155">
        <f t="shared" si="22"/>
        <v>0</v>
      </c>
      <c r="P13" s="1088">
        <f t="shared" si="23"/>
        <v>0</v>
      </c>
      <c r="Q13" s="1088"/>
      <c r="R13" s="1088">
        <f t="shared" si="24"/>
        <v>0</v>
      </c>
      <c r="S13" s="1088">
        <f t="shared" si="25"/>
        <v>0</v>
      </c>
      <c r="T13" s="1089">
        <f t="shared" si="26"/>
        <v>0</v>
      </c>
      <c r="U13" s="1089">
        <f t="shared" si="27"/>
        <v>0</v>
      </c>
    </row>
    <row r="14" spans="1:21">
      <c r="A14" s="1028">
        <v>8</v>
      </c>
      <c r="B14" s="1029" t="s">
        <v>109</v>
      </c>
      <c r="C14" s="1030">
        <f>'Table 8 2.1.12 MFP Funded'!N11</f>
        <v>0</v>
      </c>
      <c r="D14" s="1031">
        <f>'Table 3 Levels 1&amp;2'!AL15</f>
        <v>4033.4866571910334</v>
      </c>
      <c r="E14" s="1137">
        <f t="shared" si="14"/>
        <v>0</v>
      </c>
      <c r="F14" s="1137">
        <f t="shared" si="17"/>
        <v>0</v>
      </c>
      <c r="G14" s="1087">
        <f t="shared" si="15"/>
        <v>0</v>
      </c>
      <c r="H14" s="1147">
        <f t="shared" si="18"/>
        <v>0</v>
      </c>
      <c r="I14" s="1087">
        <f t="shared" si="19"/>
        <v>0</v>
      </c>
      <c r="J14" s="1087"/>
      <c r="K14" s="1087">
        <f t="shared" si="20"/>
        <v>0</v>
      </c>
      <c r="L14" s="1087">
        <f t="shared" si="21"/>
        <v>0</v>
      </c>
      <c r="M14" s="1086">
        <f>'[8]FY2012-13 Initial'!$K15</f>
        <v>4234</v>
      </c>
      <c r="N14" s="1088">
        <f t="shared" si="16"/>
        <v>0</v>
      </c>
      <c r="O14" s="1155">
        <f t="shared" si="22"/>
        <v>0</v>
      </c>
      <c r="P14" s="1088">
        <f t="shared" si="23"/>
        <v>0</v>
      </c>
      <c r="Q14" s="1088"/>
      <c r="R14" s="1088">
        <f t="shared" si="24"/>
        <v>0</v>
      </c>
      <c r="S14" s="1088">
        <f t="shared" si="25"/>
        <v>0</v>
      </c>
      <c r="T14" s="1089">
        <f t="shared" si="26"/>
        <v>0</v>
      </c>
      <c r="U14" s="1089">
        <f t="shared" si="27"/>
        <v>0</v>
      </c>
    </row>
    <row r="15" spans="1:21">
      <c r="A15" s="1028">
        <v>9</v>
      </c>
      <c r="B15" s="1029" t="s">
        <v>110</v>
      </c>
      <c r="C15" s="1030">
        <f>'Table 8 2.1.12 MFP Funded'!N12</f>
        <v>0</v>
      </c>
      <c r="D15" s="1031">
        <f>'Table 3 Levels 1&amp;2'!AL16</f>
        <v>4268.3217271902904</v>
      </c>
      <c r="E15" s="1137">
        <f t="shared" si="14"/>
        <v>0</v>
      </c>
      <c r="F15" s="1137">
        <f t="shared" si="17"/>
        <v>0</v>
      </c>
      <c r="G15" s="1087">
        <f t="shared" si="15"/>
        <v>0</v>
      </c>
      <c r="H15" s="1147">
        <f t="shared" si="18"/>
        <v>0</v>
      </c>
      <c r="I15" s="1087">
        <f t="shared" si="19"/>
        <v>0</v>
      </c>
      <c r="J15" s="1087"/>
      <c r="K15" s="1087">
        <f t="shared" si="20"/>
        <v>0</v>
      </c>
      <c r="L15" s="1087">
        <f t="shared" si="21"/>
        <v>0</v>
      </c>
      <c r="M15" s="1086">
        <f>'[8]FY2012-13 Initial'!$K16</f>
        <v>4539</v>
      </c>
      <c r="N15" s="1088">
        <f t="shared" si="16"/>
        <v>0</v>
      </c>
      <c r="O15" s="1155">
        <f t="shared" si="22"/>
        <v>0</v>
      </c>
      <c r="P15" s="1088">
        <f t="shared" si="23"/>
        <v>0</v>
      </c>
      <c r="Q15" s="1088"/>
      <c r="R15" s="1088">
        <f t="shared" si="24"/>
        <v>0</v>
      </c>
      <c r="S15" s="1088">
        <f t="shared" si="25"/>
        <v>0</v>
      </c>
      <c r="T15" s="1089">
        <f t="shared" si="26"/>
        <v>0</v>
      </c>
      <c r="U15" s="1089">
        <f t="shared" si="27"/>
        <v>0</v>
      </c>
    </row>
    <row r="16" spans="1:21">
      <c r="A16" s="1032">
        <v>10</v>
      </c>
      <c r="B16" s="1033" t="s">
        <v>111</v>
      </c>
      <c r="C16" s="1034">
        <f>'Table 8 2.1.12 MFP Funded'!N13</f>
        <v>0</v>
      </c>
      <c r="D16" s="1035">
        <f>'Table 3 Levels 1&amp;2'!AL17</f>
        <v>4300.0681374076885</v>
      </c>
      <c r="E16" s="1138">
        <f t="shared" si="14"/>
        <v>0</v>
      </c>
      <c r="F16" s="1138">
        <f t="shared" si="17"/>
        <v>0</v>
      </c>
      <c r="G16" s="1090">
        <f t="shared" si="15"/>
        <v>0</v>
      </c>
      <c r="H16" s="1148">
        <f t="shared" si="18"/>
        <v>0</v>
      </c>
      <c r="I16" s="1090">
        <f t="shared" si="19"/>
        <v>0</v>
      </c>
      <c r="J16" s="1090"/>
      <c r="K16" s="1090">
        <f t="shared" si="20"/>
        <v>0</v>
      </c>
      <c r="L16" s="1090">
        <f t="shared" si="21"/>
        <v>0</v>
      </c>
      <c r="M16" s="1091">
        <f>'[8]FY2012-13 Initial'!$K17</f>
        <v>4312</v>
      </c>
      <c r="N16" s="1092">
        <f t="shared" si="16"/>
        <v>0</v>
      </c>
      <c r="O16" s="1156">
        <f t="shared" si="22"/>
        <v>0</v>
      </c>
      <c r="P16" s="1092">
        <f t="shared" si="23"/>
        <v>0</v>
      </c>
      <c r="Q16" s="1092"/>
      <c r="R16" s="1092">
        <f t="shared" si="24"/>
        <v>0</v>
      </c>
      <c r="S16" s="1092">
        <f t="shared" si="25"/>
        <v>0</v>
      </c>
      <c r="T16" s="1093">
        <f t="shared" si="26"/>
        <v>0</v>
      </c>
      <c r="U16" s="1093">
        <f t="shared" si="27"/>
        <v>0</v>
      </c>
    </row>
    <row r="17" spans="1:21">
      <c r="A17" s="1021">
        <v>11</v>
      </c>
      <c r="B17" s="1022" t="s">
        <v>112</v>
      </c>
      <c r="C17" s="1023">
        <f>'Table 8 2.1.12 MFP Funded'!N14</f>
        <v>0</v>
      </c>
      <c r="D17" s="1024">
        <f>'Table 3 Levels 1&amp;2'!AL18</f>
        <v>6740.2393955908683</v>
      </c>
      <c r="E17" s="1136">
        <f t="shared" si="14"/>
        <v>0</v>
      </c>
      <c r="F17" s="1136">
        <f t="shared" si="17"/>
        <v>0</v>
      </c>
      <c r="G17" s="1025">
        <f t="shared" si="15"/>
        <v>0</v>
      </c>
      <c r="H17" s="1146">
        <f t="shared" si="18"/>
        <v>0</v>
      </c>
      <c r="I17" s="1025">
        <f t="shared" si="19"/>
        <v>0</v>
      </c>
      <c r="J17" s="1025"/>
      <c r="K17" s="1025">
        <f t="shared" si="20"/>
        <v>0</v>
      </c>
      <c r="L17" s="1025">
        <f t="shared" si="21"/>
        <v>0</v>
      </c>
      <c r="M17" s="1086">
        <f>'[8]FY2012-13 Initial'!$K18</f>
        <v>3004</v>
      </c>
      <c r="N17" s="1026">
        <f t="shared" si="16"/>
        <v>0</v>
      </c>
      <c r="O17" s="1154">
        <f t="shared" si="22"/>
        <v>0</v>
      </c>
      <c r="P17" s="1026">
        <f t="shared" si="23"/>
        <v>0</v>
      </c>
      <c r="Q17" s="1026"/>
      <c r="R17" s="1026">
        <f t="shared" si="24"/>
        <v>0</v>
      </c>
      <c r="S17" s="1026">
        <f t="shared" si="25"/>
        <v>0</v>
      </c>
      <c r="T17" s="1027">
        <f t="shared" si="26"/>
        <v>0</v>
      </c>
      <c r="U17" s="1027">
        <f t="shared" si="27"/>
        <v>0</v>
      </c>
    </row>
    <row r="18" spans="1:21">
      <c r="A18" s="1028">
        <v>12</v>
      </c>
      <c r="B18" s="1029" t="s">
        <v>113</v>
      </c>
      <c r="C18" s="1030">
        <f>'Table 8 2.1.12 MFP Funded'!N15</f>
        <v>0</v>
      </c>
      <c r="D18" s="1031">
        <f>'Table 3 Levels 1&amp;2'!AL19</f>
        <v>1781.2877551020408</v>
      </c>
      <c r="E18" s="1137">
        <f t="shared" si="14"/>
        <v>0</v>
      </c>
      <c r="F18" s="1137">
        <f t="shared" si="17"/>
        <v>0</v>
      </c>
      <c r="G18" s="1087">
        <f t="shared" si="15"/>
        <v>0</v>
      </c>
      <c r="H18" s="1147">
        <f t="shared" si="18"/>
        <v>0</v>
      </c>
      <c r="I18" s="1087">
        <f t="shared" si="19"/>
        <v>0</v>
      </c>
      <c r="J18" s="1087"/>
      <c r="K18" s="1087">
        <f t="shared" si="20"/>
        <v>0</v>
      </c>
      <c r="L18" s="1087">
        <f t="shared" si="21"/>
        <v>0</v>
      </c>
      <c r="M18" s="1086">
        <f>'[8]FY2012-13 Initial'!$K19</f>
        <v>12439</v>
      </c>
      <c r="N18" s="1088">
        <f t="shared" si="16"/>
        <v>0</v>
      </c>
      <c r="O18" s="1155">
        <f t="shared" si="22"/>
        <v>0</v>
      </c>
      <c r="P18" s="1088">
        <f t="shared" si="23"/>
        <v>0</v>
      </c>
      <c r="Q18" s="1088"/>
      <c r="R18" s="1088">
        <f t="shared" si="24"/>
        <v>0</v>
      </c>
      <c r="S18" s="1088">
        <f t="shared" si="25"/>
        <v>0</v>
      </c>
      <c r="T18" s="1089">
        <f t="shared" si="26"/>
        <v>0</v>
      </c>
      <c r="U18" s="1089">
        <f t="shared" si="27"/>
        <v>0</v>
      </c>
    </row>
    <row r="19" spans="1:21">
      <c r="A19" s="1028">
        <v>13</v>
      </c>
      <c r="B19" s="1029" t="s">
        <v>114</v>
      </c>
      <c r="C19" s="1030">
        <f>'Table 8 2.1.12 MFP Funded'!N16</f>
        <v>0</v>
      </c>
      <c r="D19" s="1031">
        <f>'Table 3 Levels 1&amp;2'!AL20</f>
        <v>6125.5331903699798</v>
      </c>
      <c r="E19" s="1137">
        <f t="shared" si="14"/>
        <v>0</v>
      </c>
      <c r="F19" s="1137">
        <f t="shared" si="17"/>
        <v>0</v>
      </c>
      <c r="G19" s="1087">
        <f t="shared" si="15"/>
        <v>0</v>
      </c>
      <c r="H19" s="1147">
        <f t="shared" si="18"/>
        <v>0</v>
      </c>
      <c r="I19" s="1087">
        <f t="shared" si="19"/>
        <v>0</v>
      </c>
      <c r="J19" s="1087"/>
      <c r="K19" s="1087">
        <f t="shared" si="20"/>
        <v>0</v>
      </c>
      <c r="L19" s="1087">
        <f t="shared" si="21"/>
        <v>0</v>
      </c>
      <c r="M19" s="1086">
        <f>'[8]FY2012-13 Initial'!$K20</f>
        <v>2518</v>
      </c>
      <c r="N19" s="1088">
        <f t="shared" si="16"/>
        <v>0</v>
      </c>
      <c r="O19" s="1155">
        <f t="shared" si="22"/>
        <v>0</v>
      </c>
      <c r="P19" s="1088">
        <f t="shared" si="23"/>
        <v>0</v>
      </c>
      <c r="Q19" s="1088"/>
      <c r="R19" s="1088">
        <f t="shared" si="24"/>
        <v>0</v>
      </c>
      <c r="S19" s="1088">
        <f t="shared" si="25"/>
        <v>0</v>
      </c>
      <c r="T19" s="1089">
        <f t="shared" si="26"/>
        <v>0</v>
      </c>
      <c r="U19" s="1089">
        <f t="shared" si="27"/>
        <v>0</v>
      </c>
    </row>
    <row r="20" spans="1:21" ht="12.75" customHeight="1">
      <c r="A20" s="1028">
        <v>14</v>
      </c>
      <c r="B20" s="1029" t="s">
        <v>115</v>
      </c>
      <c r="C20" s="1030">
        <f>'Table 8 2.1.12 MFP Funded'!N17</f>
        <v>0</v>
      </c>
      <c r="D20" s="1031">
        <f>'Table 3 Levels 1&amp;2'!AL21</f>
        <v>5278.0936993421856</v>
      </c>
      <c r="E20" s="1137">
        <f t="shared" si="14"/>
        <v>0</v>
      </c>
      <c r="F20" s="1137">
        <f t="shared" si="17"/>
        <v>0</v>
      </c>
      <c r="G20" s="1087">
        <f t="shared" si="15"/>
        <v>0</v>
      </c>
      <c r="H20" s="1147">
        <f t="shared" si="18"/>
        <v>0</v>
      </c>
      <c r="I20" s="1087">
        <f t="shared" si="19"/>
        <v>0</v>
      </c>
      <c r="J20" s="1087"/>
      <c r="K20" s="1087">
        <f t="shared" si="20"/>
        <v>0</v>
      </c>
      <c r="L20" s="1087">
        <f t="shared" si="21"/>
        <v>0</v>
      </c>
      <c r="M20" s="1086">
        <f>'[8]FY2012-13 Initial'!$K21</f>
        <v>3605</v>
      </c>
      <c r="N20" s="1088">
        <f t="shared" si="16"/>
        <v>0</v>
      </c>
      <c r="O20" s="1155">
        <f t="shared" si="22"/>
        <v>0</v>
      </c>
      <c r="P20" s="1088">
        <f t="shared" si="23"/>
        <v>0</v>
      </c>
      <c r="Q20" s="1088"/>
      <c r="R20" s="1088">
        <f t="shared" si="24"/>
        <v>0</v>
      </c>
      <c r="S20" s="1088">
        <f t="shared" si="25"/>
        <v>0</v>
      </c>
      <c r="T20" s="1089">
        <f t="shared" si="26"/>
        <v>0</v>
      </c>
      <c r="U20" s="1089">
        <f t="shared" si="27"/>
        <v>0</v>
      </c>
    </row>
    <row r="21" spans="1:21">
      <c r="A21" s="1032">
        <v>15</v>
      </c>
      <c r="B21" s="1033" t="s">
        <v>116</v>
      </c>
      <c r="C21" s="1034">
        <f>'Table 8 2.1.12 MFP Funded'!N18</f>
        <v>0</v>
      </c>
      <c r="D21" s="1035">
        <f>'Table 3 Levels 1&amp;2'!AL22</f>
        <v>5428.9842692179664</v>
      </c>
      <c r="E21" s="1138">
        <f t="shared" si="14"/>
        <v>0</v>
      </c>
      <c r="F21" s="1138">
        <f t="shared" si="17"/>
        <v>0</v>
      </c>
      <c r="G21" s="1090">
        <f t="shared" si="15"/>
        <v>0</v>
      </c>
      <c r="H21" s="1148">
        <f t="shared" si="18"/>
        <v>0</v>
      </c>
      <c r="I21" s="1090">
        <f t="shared" si="19"/>
        <v>0</v>
      </c>
      <c r="J21" s="1090"/>
      <c r="K21" s="1090">
        <f t="shared" si="20"/>
        <v>0</v>
      </c>
      <c r="L21" s="1090">
        <f t="shared" si="21"/>
        <v>0</v>
      </c>
      <c r="M21" s="1091">
        <f>'[8]FY2012-13 Initial'!$K22</f>
        <v>2614</v>
      </c>
      <c r="N21" s="1092">
        <f t="shared" si="16"/>
        <v>0</v>
      </c>
      <c r="O21" s="1156">
        <f t="shared" si="22"/>
        <v>0</v>
      </c>
      <c r="P21" s="1092">
        <f t="shared" si="23"/>
        <v>0</v>
      </c>
      <c r="Q21" s="1092"/>
      <c r="R21" s="1092">
        <f t="shared" si="24"/>
        <v>0</v>
      </c>
      <c r="S21" s="1092">
        <f t="shared" si="25"/>
        <v>0</v>
      </c>
      <c r="T21" s="1093">
        <f t="shared" si="26"/>
        <v>0</v>
      </c>
      <c r="U21" s="1093">
        <f t="shared" si="27"/>
        <v>0</v>
      </c>
    </row>
    <row r="22" spans="1:21">
      <c r="A22" s="1021">
        <v>16</v>
      </c>
      <c r="B22" s="1022" t="s">
        <v>117</v>
      </c>
      <c r="C22" s="1023">
        <f>'Table 8 2.1.12 MFP Funded'!N19</f>
        <v>0</v>
      </c>
      <c r="D22" s="1024">
        <f>'Table 3 Levels 1&amp;2'!AL23</f>
        <v>1501.2470754125757</v>
      </c>
      <c r="E22" s="1136">
        <f t="shared" si="14"/>
        <v>0</v>
      </c>
      <c r="F22" s="1136">
        <f t="shared" si="17"/>
        <v>0</v>
      </c>
      <c r="G22" s="1025">
        <f t="shared" si="15"/>
        <v>0</v>
      </c>
      <c r="H22" s="1146">
        <f t="shared" si="18"/>
        <v>0</v>
      </c>
      <c r="I22" s="1025">
        <f t="shared" si="19"/>
        <v>0</v>
      </c>
      <c r="J22" s="1025"/>
      <c r="K22" s="1025">
        <f t="shared" si="20"/>
        <v>0</v>
      </c>
      <c r="L22" s="1025">
        <f t="shared" si="21"/>
        <v>0</v>
      </c>
      <c r="M22" s="1086">
        <f>'[8]FY2012-13 Initial'!$K23</f>
        <v>16006</v>
      </c>
      <c r="N22" s="1026">
        <f t="shared" si="16"/>
        <v>0</v>
      </c>
      <c r="O22" s="1154">
        <f t="shared" si="22"/>
        <v>0</v>
      </c>
      <c r="P22" s="1026">
        <f t="shared" si="23"/>
        <v>0</v>
      </c>
      <c r="Q22" s="1026"/>
      <c r="R22" s="1026">
        <f t="shared" si="24"/>
        <v>0</v>
      </c>
      <c r="S22" s="1026">
        <f t="shared" si="25"/>
        <v>0</v>
      </c>
      <c r="T22" s="1027">
        <f t="shared" si="26"/>
        <v>0</v>
      </c>
      <c r="U22" s="1027">
        <f t="shared" si="27"/>
        <v>0</v>
      </c>
    </row>
    <row r="23" spans="1:21">
      <c r="A23" s="1028">
        <v>17</v>
      </c>
      <c r="B23" s="1029" t="s">
        <v>118</v>
      </c>
      <c r="C23" s="1030">
        <f>'Table 8 2.1.12 MFP Funded'!N20</f>
        <v>0</v>
      </c>
      <c r="D23" s="1031">
        <f>'Table 3 Levels 1&amp;2'!AL24</f>
        <v>3386.5716964570697</v>
      </c>
      <c r="E23" s="1137">
        <f t="shared" si="14"/>
        <v>0</v>
      </c>
      <c r="F23" s="1137">
        <f t="shared" si="17"/>
        <v>0</v>
      </c>
      <c r="G23" s="1087">
        <f t="shared" si="15"/>
        <v>0</v>
      </c>
      <c r="H23" s="1147">
        <f t="shared" si="18"/>
        <v>0</v>
      </c>
      <c r="I23" s="1087">
        <f t="shared" si="19"/>
        <v>0</v>
      </c>
      <c r="J23" s="1087"/>
      <c r="K23" s="1087">
        <f t="shared" si="20"/>
        <v>0</v>
      </c>
      <c r="L23" s="1087">
        <f t="shared" si="21"/>
        <v>0</v>
      </c>
      <c r="M23" s="1086">
        <f>'[8]FY2012-13 Initial'!$K24</f>
        <v>6493</v>
      </c>
      <c r="N23" s="1088">
        <f t="shared" si="16"/>
        <v>0</v>
      </c>
      <c r="O23" s="1155">
        <f t="shared" si="22"/>
        <v>0</v>
      </c>
      <c r="P23" s="1088">
        <f t="shared" si="23"/>
        <v>0</v>
      </c>
      <c r="Q23" s="1088"/>
      <c r="R23" s="1088">
        <f t="shared" si="24"/>
        <v>0</v>
      </c>
      <c r="S23" s="1088">
        <f t="shared" si="25"/>
        <v>0</v>
      </c>
      <c r="T23" s="1089">
        <f t="shared" si="26"/>
        <v>0</v>
      </c>
      <c r="U23" s="1089">
        <f t="shared" si="27"/>
        <v>0</v>
      </c>
    </row>
    <row r="24" spans="1:21">
      <c r="A24" s="1028">
        <v>18</v>
      </c>
      <c r="B24" s="1029" t="s">
        <v>119</v>
      </c>
      <c r="C24" s="1030">
        <f>'Table 8 2.1.12 MFP Funded'!N21</f>
        <v>0</v>
      </c>
      <c r="D24" s="1031">
        <f>'Table 3 Levels 1&amp;2'!AL25</f>
        <v>5798.0598063231446</v>
      </c>
      <c r="E24" s="1137">
        <f t="shared" si="14"/>
        <v>0</v>
      </c>
      <c r="F24" s="1137">
        <f t="shared" si="17"/>
        <v>0</v>
      </c>
      <c r="G24" s="1087">
        <f t="shared" si="15"/>
        <v>0</v>
      </c>
      <c r="H24" s="1147">
        <f t="shared" si="18"/>
        <v>0</v>
      </c>
      <c r="I24" s="1087">
        <f t="shared" si="19"/>
        <v>0</v>
      </c>
      <c r="J24" s="1087"/>
      <c r="K24" s="1087">
        <f t="shared" si="20"/>
        <v>0</v>
      </c>
      <c r="L24" s="1087">
        <f t="shared" si="21"/>
        <v>0</v>
      </c>
      <c r="M24" s="1086">
        <f>'[8]FY2012-13 Initial'!$K25</f>
        <v>2088</v>
      </c>
      <c r="N24" s="1088">
        <f t="shared" si="16"/>
        <v>0</v>
      </c>
      <c r="O24" s="1155">
        <f t="shared" si="22"/>
        <v>0</v>
      </c>
      <c r="P24" s="1088">
        <f t="shared" si="23"/>
        <v>0</v>
      </c>
      <c r="Q24" s="1088"/>
      <c r="R24" s="1088">
        <f t="shared" si="24"/>
        <v>0</v>
      </c>
      <c r="S24" s="1088">
        <f t="shared" si="25"/>
        <v>0</v>
      </c>
      <c r="T24" s="1089">
        <f t="shared" si="26"/>
        <v>0</v>
      </c>
      <c r="U24" s="1089">
        <f t="shared" si="27"/>
        <v>0</v>
      </c>
    </row>
    <row r="25" spans="1:21">
      <c r="A25" s="1028">
        <v>19</v>
      </c>
      <c r="B25" s="1029" t="s">
        <v>120</v>
      </c>
      <c r="C25" s="1030">
        <f>'Table 8 2.1.12 MFP Funded'!N22</f>
        <v>0</v>
      </c>
      <c r="D25" s="1031">
        <f>'Table 3 Levels 1&amp;2'!AL26</f>
        <v>5219.1012787873206</v>
      </c>
      <c r="E25" s="1137">
        <f t="shared" si="14"/>
        <v>0</v>
      </c>
      <c r="F25" s="1137">
        <f t="shared" si="17"/>
        <v>0</v>
      </c>
      <c r="G25" s="1087">
        <f t="shared" si="15"/>
        <v>0</v>
      </c>
      <c r="H25" s="1147">
        <f t="shared" si="18"/>
        <v>0</v>
      </c>
      <c r="I25" s="1087">
        <f t="shared" si="19"/>
        <v>0</v>
      </c>
      <c r="J25" s="1087"/>
      <c r="K25" s="1087">
        <f t="shared" si="20"/>
        <v>0</v>
      </c>
      <c r="L25" s="1087">
        <f t="shared" si="21"/>
        <v>0</v>
      </c>
      <c r="M25" s="1086">
        <f>'[8]FY2012-13 Initial'!$K26</f>
        <v>2275</v>
      </c>
      <c r="N25" s="1088">
        <f t="shared" si="16"/>
        <v>0</v>
      </c>
      <c r="O25" s="1155">
        <f t="shared" si="22"/>
        <v>0</v>
      </c>
      <c r="P25" s="1088">
        <f t="shared" si="23"/>
        <v>0</v>
      </c>
      <c r="Q25" s="1088"/>
      <c r="R25" s="1088">
        <f t="shared" si="24"/>
        <v>0</v>
      </c>
      <c r="S25" s="1088">
        <f t="shared" si="25"/>
        <v>0</v>
      </c>
      <c r="T25" s="1089">
        <f t="shared" si="26"/>
        <v>0</v>
      </c>
      <c r="U25" s="1089">
        <f t="shared" si="27"/>
        <v>0</v>
      </c>
    </row>
    <row r="26" spans="1:21">
      <c r="A26" s="1032">
        <v>20</v>
      </c>
      <c r="B26" s="1033" t="s">
        <v>121</v>
      </c>
      <c r="C26" s="1034">
        <f>'Table 8 2.1.12 MFP Funded'!N23</f>
        <v>0</v>
      </c>
      <c r="D26" s="1035">
        <f>'Table 3 Levels 1&amp;2'!AL27</f>
        <v>5441.7799844976798</v>
      </c>
      <c r="E26" s="1138">
        <f t="shared" si="14"/>
        <v>0</v>
      </c>
      <c r="F26" s="1138">
        <f t="shared" si="17"/>
        <v>0</v>
      </c>
      <c r="G26" s="1090">
        <f t="shared" si="15"/>
        <v>0</v>
      </c>
      <c r="H26" s="1148">
        <f t="shared" si="18"/>
        <v>0</v>
      </c>
      <c r="I26" s="1090">
        <f t="shared" si="19"/>
        <v>0</v>
      </c>
      <c r="J26" s="1090"/>
      <c r="K26" s="1090">
        <f t="shared" si="20"/>
        <v>0</v>
      </c>
      <c r="L26" s="1090">
        <f t="shared" si="21"/>
        <v>0</v>
      </c>
      <c r="M26" s="1091">
        <f>'[8]FY2012-13 Initial'!$K27</f>
        <v>2308</v>
      </c>
      <c r="N26" s="1092">
        <f t="shared" si="16"/>
        <v>0</v>
      </c>
      <c r="O26" s="1156">
        <f t="shared" si="22"/>
        <v>0</v>
      </c>
      <c r="P26" s="1092">
        <f t="shared" si="23"/>
        <v>0</v>
      </c>
      <c r="Q26" s="1092"/>
      <c r="R26" s="1092">
        <f t="shared" si="24"/>
        <v>0</v>
      </c>
      <c r="S26" s="1092">
        <f t="shared" si="25"/>
        <v>0</v>
      </c>
      <c r="T26" s="1093">
        <f t="shared" si="26"/>
        <v>0</v>
      </c>
      <c r="U26" s="1093">
        <f t="shared" si="27"/>
        <v>0</v>
      </c>
    </row>
    <row r="27" spans="1:21">
      <c r="A27" s="1021">
        <v>21</v>
      </c>
      <c r="B27" s="1022" t="s">
        <v>122</v>
      </c>
      <c r="C27" s="1023">
        <f>'Table 8 2.1.12 MFP Funded'!N24</f>
        <v>0</v>
      </c>
      <c r="D27" s="1024">
        <f>'Table 3 Levels 1&amp;2'!AL28</f>
        <v>5718.7800910915075</v>
      </c>
      <c r="E27" s="1136">
        <f t="shared" si="14"/>
        <v>0</v>
      </c>
      <c r="F27" s="1136">
        <f t="shared" si="17"/>
        <v>0</v>
      </c>
      <c r="G27" s="1025">
        <f t="shared" si="15"/>
        <v>0</v>
      </c>
      <c r="H27" s="1146">
        <f t="shared" si="18"/>
        <v>0</v>
      </c>
      <c r="I27" s="1025">
        <f t="shared" si="19"/>
        <v>0</v>
      </c>
      <c r="J27" s="1025"/>
      <c r="K27" s="1025">
        <f t="shared" si="20"/>
        <v>0</v>
      </c>
      <c r="L27" s="1025">
        <f t="shared" si="21"/>
        <v>0</v>
      </c>
      <c r="M27" s="1086">
        <f>'[8]FY2012-13 Initial'!$K28</f>
        <v>2245</v>
      </c>
      <c r="N27" s="1026">
        <f t="shared" si="16"/>
        <v>0</v>
      </c>
      <c r="O27" s="1154">
        <f t="shared" si="22"/>
        <v>0</v>
      </c>
      <c r="P27" s="1026">
        <f t="shared" si="23"/>
        <v>0</v>
      </c>
      <c r="Q27" s="1026"/>
      <c r="R27" s="1026">
        <f t="shared" si="24"/>
        <v>0</v>
      </c>
      <c r="S27" s="1026">
        <f t="shared" si="25"/>
        <v>0</v>
      </c>
      <c r="T27" s="1027">
        <f t="shared" si="26"/>
        <v>0</v>
      </c>
      <c r="U27" s="1027">
        <f t="shared" si="27"/>
        <v>0</v>
      </c>
    </row>
    <row r="28" spans="1:21">
      <c r="A28" s="1028">
        <v>22</v>
      </c>
      <c r="B28" s="1029" t="s">
        <v>123</v>
      </c>
      <c r="C28" s="1030">
        <f>'Table 8 2.1.12 MFP Funded'!N25</f>
        <v>0</v>
      </c>
      <c r="D28" s="1031">
        <f>'Table 3 Levels 1&amp;2'!AL29</f>
        <v>6198.830003500153</v>
      </c>
      <c r="E28" s="1137">
        <f t="shared" si="14"/>
        <v>0</v>
      </c>
      <c r="F28" s="1137">
        <f t="shared" si="17"/>
        <v>0</v>
      </c>
      <c r="G28" s="1087">
        <f t="shared" si="15"/>
        <v>0</v>
      </c>
      <c r="H28" s="1147">
        <f t="shared" si="18"/>
        <v>0</v>
      </c>
      <c r="I28" s="1087">
        <f t="shared" si="19"/>
        <v>0</v>
      </c>
      <c r="J28" s="1087"/>
      <c r="K28" s="1087">
        <f t="shared" si="20"/>
        <v>0</v>
      </c>
      <c r="L28" s="1087">
        <f t="shared" si="21"/>
        <v>0</v>
      </c>
      <c r="M28" s="1086">
        <f>'[8]FY2012-13 Initial'!$K29</f>
        <v>1445</v>
      </c>
      <c r="N28" s="1088">
        <f t="shared" si="16"/>
        <v>0</v>
      </c>
      <c r="O28" s="1155">
        <f t="shared" si="22"/>
        <v>0</v>
      </c>
      <c r="P28" s="1088">
        <f t="shared" si="23"/>
        <v>0</v>
      </c>
      <c r="Q28" s="1088"/>
      <c r="R28" s="1088">
        <f t="shared" si="24"/>
        <v>0</v>
      </c>
      <c r="S28" s="1088">
        <f t="shared" si="25"/>
        <v>0</v>
      </c>
      <c r="T28" s="1089">
        <f t="shared" si="26"/>
        <v>0</v>
      </c>
      <c r="U28" s="1089">
        <f t="shared" si="27"/>
        <v>0</v>
      </c>
    </row>
    <row r="29" spans="1:21">
      <c r="A29" s="1028">
        <v>23</v>
      </c>
      <c r="B29" s="1029" t="s">
        <v>124</v>
      </c>
      <c r="C29" s="1030">
        <f>'Table 8 2.1.12 MFP Funded'!N26</f>
        <v>0</v>
      </c>
      <c r="D29" s="1031">
        <f>'Table 3 Levels 1&amp;2'!AL30</f>
        <v>4809.0299298140199</v>
      </c>
      <c r="E29" s="1137">
        <f t="shared" si="14"/>
        <v>0</v>
      </c>
      <c r="F29" s="1137">
        <f t="shared" si="17"/>
        <v>0</v>
      </c>
      <c r="G29" s="1087">
        <f t="shared" si="15"/>
        <v>0</v>
      </c>
      <c r="H29" s="1147">
        <f t="shared" si="18"/>
        <v>0</v>
      </c>
      <c r="I29" s="1087">
        <f t="shared" si="19"/>
        <v>0</v>
      </c>
      <c r="J29" s="1087"/>
      <c r="K29" s="1087">
        <f t="shared" si="20"/>
        <v>0</v>
      </c>
      <c r="L29" s="1087">
        <f t="shared" si="21"/>
        <v>0</v>
      </c>
      <c r="M29" s="1086">
        <f>'[8]FY2012-13 Initial'!$K30</f>
        <v>3295</v>
      </c>
      <c r="N29" s="1088">
        <f t="shared" si="16"/>
        <v>0</v>
      </c>
      <c r="O29" s="1155">
        <f t="shared" si="22"/>
        <v>0</v>
      </c>
      <c r="P29" s="1088">
        <f t="shared" si="23"/>
        <v>0</v>
      </c>
      <c r="Q29" s="1088"/>
      <c r="R29" s="1088">
        <f t="shared" si="24"/>
        <v>0</v>
      </c>
      <c r="S29" s="1088">
        <f t="shared" si="25"/>
        <v>0</v>
      </c>
      <c r="T29" s="1089">
        <f t="shared" si="26"/>
        <v>0</v>
      </c>
      <c r="U29" s="1089">
        <f t="shared" si="27"/>
        <v>0</v>
      </c>
    </row>
    <row r="30" spans="1:21">
      <c r="A30" s="1028">
        <v>24</v>
      </c>
      <c r="B30" s="1029" t="s">
        <v>125</v>
      </c>
      <c r="C30" s="1030">
        <f>'Table 8 2.1.12 MFP Funded'!N27</f>
        <v>0</v>
      </c>
      <c r="D30" s="1031">
        <f>'Table 3 Levels 1&amp;2'!AL31</f>
        <v>2649.7787452556372</v>
      </c>
      <c r="E30" s="1137">
        <f t="shared" si="14"/>
        <v>0</v>
      </c>
      <c r="F30" s="1137">
        <f t="shared" si="17"/>
        <v>0</v>
      </c>
      <c r="G30" s="1087">
        <f t="shared" si="15"/>
        <v>0</v>
      </c>
      <c r="H30" s="1147">
        <f t="shared" si="18"/>
        <v>0</v>
      </c>
      <c r="I30" s="1087">
        <f t="shared" si="19"/>
        <v>0</v>
      </c>
      <c r="J30" s="1087"/>
      <c r="K30" s="1087">
        <f t="shared" si="20"/>
        <v>0</v>
      </c>
      <c r="L30" s="1087">
        <f t="shared" si="21"/>
        <v>0</v>
      </c>
      <c r="M30" s="1086">
        <f>'[8]FY2012-13 Initial'!$K31</f>
        <v>8769</v>
      </c>
      <c r="N30" s="1088">
        <f t="shared" si="16"/>
        <v>0</v>
      </c>
      <c r="O30" s="1155">
        <f t="shared" si="22"/>
        <v>0</v>
      </c>
      <c r="P30" s="1088">
        <f t="shared" si="23"/>
        <v>0</v>
      </c>
      <c r="Q30" s="1088"/>
      <c r="R30" s="1088">
        <f t="shared" si="24"/>
        <v>0</v>
      </c>
      <c r="S30" s="1088">
        <f t="shared" si="25"/>
        <v>0</v>
      </c>
      <c r="T30" s="1089">
        <f t="shared" si="26"/>
        <v>0</v>
      </c>
      <c r="U30" s="1089">
        <f t="shared" si="27"/>
        <v>0</v>
      </c>
    </row>
    <row r="31" spans="1:21">
      <c r="A31" s="1032">
        <v>25</v>
      </c>
      <c r="B31" s="1033" t="s">
        <v>126</v>
      </c>
      <c r="C31" s="1034">
        <f>'Table 8 2.1.12 MFP Funded'!N28</f>
        <v>0</v>
      </c>
      <c r="D31" s="1035">
        <f>'Table 3 Levels 1&amp;2'!AL32</f>
        <v>3848.3923674564248</v>
      </c>
      <c r="E31" s="1138">
        <f t="shared" si="14"/>
        <v>0</v>
      </c>
      <c r="F31" s="1138">
        <f t="shared" si="17"/>
        <v>0</v>
      </c>
      <c r="G31" s="1090">
        <f t="shared" si="15"/>
        <v>0</v>
      </c>
      <c r="H31" s="1148">
        <f t="shared" si="18"/>
        <v>0</v>
      </c>
      <c r="I31" s="1090">
        <f t="shared" si="19"/>
        <v>0</v>
      </c>
      <c r="J31" s="1090"/>
      <c r="K31" s="1090">
        <f t="shared" si="20"/>
        <v>0</v>
      </c>
      <c r="L31" s="1090">
        <f t="shared" si="21"/>
        <v>0</v>
      </c>
      <c r="M31" s="1091">
        <f>'[8]FY2012-13 Initial'!$K32</f>
        <v>5187</v>
      </c>
      <c r="N31" s="1092">
        <f t="shared" si="16"/>
        <v>0</v>
      </c>
      <c r="O31" s="1156">
        <f t="shared" si="22"/>
        <v>0</v>
      </c>
      <c r="P31" s="1092">
        <f t="shared" si="23"/>
        <v>0</v>
      </c>
      <c r="Q31" s="1092"/>
      <c r="R31" s="1092">
        <f t="shared" si="24"/>
        <v>0</v>
      </c>
      <c r="S31" s="1092">
        <f t="shared" si="25"/>
        <v>0</v>
      </c>
      <c r="T31" s="1093">
        <f t="shared" si="26"/>
        <v>0</v>
      </c>
      <c r="U31" s="1093">
        <f t="shared" si="27"/>
        <v>0</v>
      </c>
    </row>
    <row r="32" spans="1:21">
      <c r="A32" s="1021">
        <v>26</v>
      </c>
      <c r="B32" s="1022" t="s">
        <v>127</v>
      </c>
      <c r="C32" s="1023">
        <f>'Table 8 2.1.12 MFP Funded'!N29</f>
        <v>0</v>
      </c>
      <c r="D32" s="1024">
        <f>'Table 3 Levels 1&amp;2'!AL33</f>
        <v>3145.9192082835102</v>
      </c>
      <c r="E32" s="1136">
        <f t="shared" si="14"/>
        <v>0</v>
      </c>
      <c r="F32" s="1136">
        <f t="shared" si="17"/>
        <v>0</v>
      </c>
      <c r="G32" s="1025">
        <f t="shared" si="15"/>
        <v>0</v>
      </c>
      <c r="H32" s="1146">
        <f t="shared" si="18"/>
        <v>0</v>
      </c>
      <c r="I32" s="1025">
        <f t="shared" si="19"/>
        <v>0</v>
      </c>
      <c r="J32" s="1025"/>
      <c r="K32" s="1025">
        <f t="shared" si="20"/>
        <v>0</v>
      </c>
      <c r="L32" s="1025">
        <f t="shared" si="21"/>
        <v>0</v>
      </c>
      <c r="M32" s="1086">
        <f>'[8]FY2012-13 Initial'!$K33</f>
        <v>5197</v>
      </c>
      <c r="N32" s="1026">
        <f t="shared" si="16"/>
        <v>0</v>
      </c>
      <c r="O32" s="1154">
        <f t="shared" si="22"/>
        <v>0</v>
      </c>
      <c r="P32" s="1026">
        <f t="shared" si="23"/>
        <v>0</v>
      </c>
      <c r="Q32" s="1026"/>
      <c r="R32" s="1026">
        <f t="shared" si="24"/>
        <v>0</v>
      </c>
      <c r="S32" s="1026">
        <f t="shared" si="25"/>
        <v>0</v>
      </c>
      <c r="T32" s="1027">
        <f t="shared" si="26"/>
        <v>0</v>
      </c>
      <c r="U32" s="1027">
        <f t="shared" si="27"/>
        <v>0</v>
      </c>
    </row>
    <row r="33" spans="1:21">
      <c r="A33" s="1028">
        <v>27</v>
      </c>
      <c r="B33" s="1029" t="s">
        <v>128</v>
      </c>
      <c r="C33" s="1036">
        <f>'Table 8 2.1.12 MFP Funded'!N30</f>
        <v>0</v>
      </c>
      <c r="D33" s="1037">
        <f>'Table 3 Levels 1&amp;2'!AL34</f>
        <v>5653.5502977926608</v>
      </c>
      <c r="E33" s="1139">
        <f t="shared" si="14"/>
        <v>0</v>
      </c>
      <c r="F33" s="1139">
        <f t="shared" si="17"/>
        <v>0</v>
      </c>
      <c r="G33" s="1094">
        <f t="shared" si="15"/>
        <v>0</v>
      </c>
      <c r="H33" s="1149">
        <f t="shared" si="18"/>
        <v>0</v>
      </c>
      <c r="I33" s="1094">
        <f t="shared" si="19"/>
        <v>0</v>
      </c>
      <c r="J33" s="1094"/>
      <c r="K33" s="1094">
        <f t="shared" si="20"/>
        <v>0</v>
      </c>
      <c r="L33" s="1094">
        <f t="shared" si="21"/>
        <v>0</v>
      </c>
      <c r="M33" s="1086">
        <f>'[8]FY2012-13 Initial'!$K34</f>
        <v>3073</v>
      </c>
      <c r="N33" s="1088">
        <f t="shared" si="16"/>
        <v>0</v>
      </c>
      <c r="O33" s="1155">
        <f t="shared" si="22"/>
        <v>0</v>
      </c>
      <c r="P33" s="1088">
        <f t="shared" si="23"/>
        <v>0</v>
      </c>
      <c r="Q33" s="1088"/>
      <c r="R33" s="1088">
        <f t="shared" si="24"/>
        <v>0</v>
      </c>
      <c r="S33" s="1088">
        <f t="shared" si="25"/>
        <v>0</v>
      </c>
      <c r="T33" s="1089">
        <f t="shared" si="26"/>
        <v>0</v>
      </c>
      <c r="U33" s="1089">
        <f t="shared" si="27"/>
        <v>0</v>
      </c>
    </row>
    <row r="34" spans="1:21">
      <c r="A34" s="1028">
        <v>28</v>
      </c>
      <c r="B34" s="1029" t="s">
        <v>129</v>
      </c>
      <c r="C34" s="1036">
        <f>'Table 8 2.1.12 MFP Funded'!N31</f>
        <v>0</v>
      </c>
      <c r="D34" s="1037">
        <f>'Table 3 Levels 1&amp;2'!AL35</f>
        <v>3200.5356505169011</v>
      </c>
      <c r="E34" s="1139">
        <f t="shared" si="14"/>
        <v>0</v>
      </c>
      <c r="F34" s="1139">
        <f t="shared" si="17"/>
        <v>0</v>
      </c>
      <c r="G34" s="1094">
        <f t="shared" si="15"/>
        <v>0</v>
      </c>
      <c r="H34" s="1149">
        <f t="shared" si="18"/>
        <v>0</v>
      </c>
      <c r="I34" s="1094">
        <f t="shared" si="19"/>
        <v>0</v>
      </c>
      <c r="J34" s="1094"/>
      <c r="K34" s="1094">
        <f t="shared" si="20"/>
        <v>0</v>
      </c>
      <c r="L34" s="1094">
        <f t="shared" si="21"/>
        <v>0</v>
      </c>
      <c r="M34" s="1086">
        <f>'[8]FY2012-13 Initial'!$K35</f>
        <v>5082</v>
      </c>
      <c r="N34" s="1088">
        <f t="shared" si="16"/>
        <v>0</v>
      </c>
      <c r="O34" s="1155">
        <f t="shared" si="22"/>
        <v>0</v>
      </c>
      <c r="P34" s="1088">
        <f t="shared" si="23"/>
        <v>0</v>
      </c>
      <c r="Q34" s="1088"/>
      <c r="R34" s="1088">
        <f t="shared" si="24"/>
        <v>0</v>
      </c>
      <c r="S34" s="1088">
        <f t="shared" si="25"/>
        <v>0</v>
      </c>
      <c r="T34" s="1089">
        <f t="shared" si="26"/>
        <v>0</v>
      </c>
      <c r="U34" s="1089">
        <f t="shared" si="27"/>
        <v>0</v>
      </c>
    </row>
    <row r="35" spans="1:21">
      <c r="A35" s="1028">
        <v>29</v>
      </c>
      <c r="B35" s="1029" t="s">
        <v>130</v>
      </c>
      <c r="C35" s="1036">
        <f>'Table 8 2.1.12 MFP Funded'!N32</f>
        <v>0</v>
      </c>
      <c r="D35" s="1037">
        <f>'Table 3 Levels 1&amp;2'!AL36</f>
        <v>3945.0399545376122</v>
      </c>
      <c r="E35" s="1139">
        <f t="shared" si="14"/>
        <v>0</v>
      </c>
      <c r="F35" s="1139">
        <f t="shared" si="17"/>
        <v>0</v>
      </c>
      <c r="G35" s="1094">
        <f t="shared" si="15"/>
        <v>0</v>
      </c>
      <c r="H35" s="1149">
        <f t="shared" si="18"/>
        <v>0</v>
      </c>
      <c r="I35" s="1094">
        <f t="shared" si="19"/>
        <v>0</v>
      </c>
      <c r="J35" s="1094"/>
      <c r="K35" s="1094">
        <f t="shared" si="20"/>
        <v>0</v>
      </c>
      <c r="L35" s="1094">
        <f t="shared" si="21"/>
        <v>0</v>
      </c>
      <c r="M35" s="1086">
        <f>'[8]FY2012-13 Initial'!$K36</f>
        <v>4295</v>
      </c>
      <c r="N35" s="1088">
        <f t="shared" si="16"/>
        <v>0</v>
      </c>
      <c r="O35" s="1155">
        <f t="shared" si="22"/>
        <v>0</v>
      </c>
      <c r="P35" s="1088">
        <f t="shared" si="23"/>
        <v>0</v>
      </c>
      <c r="Q35" s="1088"/>
      <c r="R35" s="1088">
        <f t="shared" si="24"/>
        <v>0</v>
      </c>
      <c r="S35" s="1088">
        <f t="shared" si="25"/>
        <v>0</v>
      </c>
      <c r="T35" s="1089">
        <f t="shared" si="26"/>
        <v>0</v>
      </c>
      <c r="U35" s="1089">
        <f t="shared" si="27"/>
        <v>0</v>
      </c>
    </row>
    <row r="36" spans="1:21">
      <c r="A36" s="1032">
        <v>30</v>
      </c>
      <c r="B36" s="1033" t="s">
        <v>131</v>
      </c>
      <c r="C36" s="1038">
        <f>'Table 8 2.1.12 MFP Funded'!N33</f>
        <v>0</v>
      </c>
      <c r="D36" s="1039">
        <f>'Table 3 Levels 1&amp;2'!AL37</f>
        <v>5594.8916667625617</v>
      </c>
      <c r="E36" s="1140">
        <f t="shared" si="14"/>
        <v>0</v>
      </c>
      <c r="F36" s="1140">
        <f t="shared" si="17"/>
        <v>0</v>
      </c>
      <c r="G36" s="1095">
        <f t="shared" si="15"/>
        <v>0</v>
      </c>
      <c r="H36" s="1150">
        <f t="shared" si="18"/>
        <v>0</v>
      </c>
      <c r="I36" s="1095">
        <f t="shared" si="19"/>
        <v>0</v>
      </c>
      <c r="J36" s="1095"/>
      <c r="K36" s="1095">
        <f t="shared" si="20"/>
        <v>0</v>
      </c>
      <c r="L36" s="1095">
        <f t="shared" si="21"/>
        <v>0</v>
      </c>
      <c r="M36" s="1091">
        <f>'[8]FY2012-13 Initial'!$K37</f>
        <v>3553</v>
      </c>
      <c r="N36" s="1092">
        <f t="shared" si="16"/>
        <v>0</v>
      </c>
      <c r="O36" s="1156">
        <f t="shared" si="22"/>
        <v>0</v>
      </c>
      <c r="P36" s="1092">
        <f t="shared" si="23"/>
        <v>0</v>
      </c>
      <c r="Q36" s="1092"/>
      <c r="R36" s="1092">
        <f t="shared" si="24"/>
        <v>0</v>
      </c>
      <c r="S36" s="1092">
        <f t="shared" si="25"/>
        <v>0</v>
      </c>
      <c r="T36" s="1093">
        <f t="shared" si="26"/>
        <v>0</v>
      </c>
      <c r="U36" s="1093">
        <f t="shared" si="27"/>
        <v>0</v>
      </c>
    </row>
    <row r="37" spans="1:21">
      <c r="A37" s="1021">
        <v>31</v>
      </c>
      <c r="B37" s="1022" t="s">
        <v>132</v>
      </c>
      <c r="C37" s="1040">
        <f>'Table 8 2.1.12 MFP Funded'!N34</f>
        <v>0</v>
      </c>
      <c r="D37" s="1041">
        <f>'Table 3 Levels 1&amp;2'!AL38</f>
        <v>4159.5846806435638</v>
      </c>
      <c r="E37" s="1141">
        <f t="shared" si="14"/>
        <v>0</v>
      </c>
      <c r="F37" s="1141">
        <f t="shared" si="17"/>
        <v>0</v>
      </c>
      <c r="G37" s="1096">
        <f t="shared" si="15"/>
        <v>0</v>
      </c>
      <c r="H37" s="1151">
        <f t="shared" si="18"/>
        <v>0</v>
      </c>
      <c r="I37" s="1096">
        <f t="shared" si="19"/>
        <v>0</v>
      </c>
      <c r="J37" s="1096"/>
      <c r="K37" s="1096">
        <f t="shared" si="20"/>
        <v>0</v>
      </c>
      <c r="L37" s="1096">
        <f t="shared" si="21"/>
        <v>0</v>
      </c>
      <c r="M37" s="1086">
        <f>'[8]FY2012-13 Initial'!$K38</f>
        <v>4719</v>
      </c>
      <c r="N37" s="1026">
        <f t="shared" si="16"/>
        <v>0</v>
      </c>
      <c r="O37" s="1154">
        <f t="shared" si="22"/>
        <v>0</v>
      </c>
      <c r="P37" s="1026">
        <f t="shared" si="23"/>
        <v>0</v>
      </c>
      <c r="Q37" s="1026"/>
      <c r="R37" s="1026">
        <f t="shared" si="24"/>
        <v>0</v>
      </c>
      <c r="S37" s="1026">
        <f t="shared" si="25"/>
        <v>0</v>
      </c>
      <c r="T37" s="1027">
        <f t="shared" si="26"/>
        <v>0</v>
      </c>
      <c r="U37" s="1027">
        <f t="shared" si="27"/>
        <v>0</v>
      </c>
    </row>
    <row r="38" spans="1:21">
      <c r="A38" s="1028">
        <v>32</v>
      </c>
      <c r="B38" s="1029" t="s">
        <v>133</v>
      </c>
      <c r="C38" s="1036">
        <f>'Table 8 2.1.12 MFP Funded'!N35</f>
        <v>0</v>
      </c>
      <c r="D38" s="1037">
        <f>'Table 3 Levels 1&amp;2'!AL39</f>
        <v>5475.1436637248598</v>
      </c>
      <c r="E38" s="1139">
        <f t="shared" si="14"/>
        <v>0</v>
      </c>
      <c r="F38" s="1139">
        <f t="shared" si="17"/>
        <v>0</v>
      </c>
      <c r="G38" s="1094">
        <f t="shared" si="15"/>
        <v>0</v>
      </c>
      <c r="H38" s="1149">
        <f t="shared" si="18"/>
        <v>0</v>
      </c>
      <c r="I38" s="1094">
        <f t="shared" si="19"/>
        <v>0</v>
      </c>
      <c r="J38" s="1094"/>
      <c r="K38" s="1094">
        <f t="shared" si="20"/>
        <v>0</v>
      </c>
      <c r="L38" s="1094">
        <f t="shared" si="21"/>
        <v>0</v>
      </c>
      <c r="M38" s="1086">
        <f>'[8]FY2012-13 Initial'!$K39</f>
        <v>1979</v>
      </c>
      <c r="N38" s="1088">
        <f t="shared" si="16"/>
        <v>0</v>
      </c>
      <c r="O38" s="1155">
        <f t="shared" si="22"/>
        <v>0</v>
      </c>
      <c r="P38" s="1088">
        <f t="shared" si="23"/>
        <v>0</v>
      </c>
      <c r="Q38" s="1088"/>
      <c r="R38" s="1088">
        <f t="shared" si="24"/>
        <v>0</v>
      </c>
      <c r="S38" s="1088">
        <f t="shared" si="25"/>
        <v>0</v>
      </c>
      <c r="T38" s="1089">
        <f t="shared" si="26"/>
        <v>0</v>
      </c>
      <c r="U38" s="1089">
        <f t="shared" si="27"/>
        <v>0</v>
      </c>
    </row>
    <row r="39" spans="1:21">
      <c r="A39" s="1028">
        <v>33</v>
      </c>
      <c r="B39" s="1029" t="s">
        <v>134</v>
      </c>
      <c r="C39" s="1036">
        <f>'Table 8 2.1.12 MFP Funded'!N36</f>
        <v>0</v>
      </c>
      <c r="D39" s="1037">
        <f>'Table 3 Levels 1&amp;2'!AL40</f>
        <v>5397.5678422891451</v>
      </c>
      <c r="E39" s="1139">
        <f t="shared" ref="E39:E70" si="28">D39*C39</f>
        <v>0</v>
      </c>
      <c r="F39" s="1139">
        <f t="shared" si="17"/>
        <v>0</v>
      </c>
      <c r="G39" s="1094">
        <f t="shared" ref="G39:G70" si="29">E39+F39</f>
        <v>0</v>
      </c>
      <c r="H39" s="1149">
        <f t="shared" si="18"/>
        <v>0</v>
      </c>
      <c r="I39" s="1094">
        <f t="shared" si="19"/>
        <v>0</v>
      </c>
      <c r="J39" s="1094"/>
      <c r="K39" s="1094">
        <f t="shared" si="20"/>
        <v>0</v>
      </c>
      <c r="L39" s="1094">
        <f t="shared" si="21"/>
        <v>0</v>
      </c>
      <c r="M39" s="1086">
        <f>'[8]FY2012-13 Initial'!$K40</f>
        <v>3055</v>
      </c>
      <c r="N39" s="1088">
        <f t="shared" ref="N39:N70" si="30">M39*C39</f>
        <v>0</v>
      </c>
      <c r="O39" s="1155">
        <f t="shared" si="22"/>
        <v>0</v>
      </c>
      <c r="P39" s="1088">
        <f t="shared" si="23"/>
        <v>0</v>
      </c>
      <c r="Q39" s="1088"/>
      <c r="R39" s="1088">
        <f t="shared" si="24"/>
        <v>0</v>
      </c>
      <c r="S39" s="1088">
        <f t="shared" si="25"/>
        <v>0</v>
      </c>
      <c r="T39" s="1089">
        <f t="shared" si="26"/>
        <v>0</v>
      </c>
      <c r="U39" s="1089">
        <f t="shared" si="27"/>
        <v>0</v>
      </c>
    </row>
    <row r="40" spans="1:21">
      <c r="A40" s="1028">
        <v>34</v>
      </c>
      <c r="B40" s="1029" t="s">
        <v>135</v>
      </c>
      <c r="C40" s="1036">
        <f>'Table 8 2.1.12 MFP Funded'!N37</f>
        <v>0</v>
      </c>
      <c r="D40" s="1037">
        <f>'Table 3 Levels 1&amp;2'!AL41</f>
        <v>5843.9642210290731</v>
      </c>
      <c r="E40" s="1139">
        <f t="shared" si="28"/>
        <v>0</v>
      </c>
      <c r="F40" s="1139">
        <f t="shared" si="17"/>
        <v>0</v>
      </c>
      <c r="G40" s="1094">
        <f t="shared" si="29"/>
        <v>0</v>
      </c>
      <c r="H40" s="1149">
        <f t="shared" si="18"/>
        <v>0</v>
      </c>
      <c r="I40" s="1094">
        <f t="shared" si="19"/>
        <v>0</v>
      </c>
      <c r="J40" s="1094"/>
      <c r="K40" s="1094">
        <f t="shared" si="20"/>
        <v>0</v>
      </c>
      <c r="L40" s="1094">
        <f t="shared" si="21"/>
        <v>0</v>
      </c>
      <c r="M40" s="1086">
        <f>'[8]FY2012-13 Initial'!$K41</f>
        <v>2782</v>
      </c>
      <c r="N40" s="1088">
        <f t="shared" si="30"/>
        <v>0</v>
      </c>
      <c r="O40" s="1155">
        <f t="shared" si="22"/>
        <v>0</v>
      </c>
      <c r="P40" s="1088">
        <f t="shared" si="23"/>
        <v>0</v>
      </c>
      <c r="Q40" s="1088"/>
      <c r="R40" s="1088">
        <f t="shared" si="24"/>
        <v>0</v>
      </c>
      <c r="S40" s="1088">
        <f t="shared" si="25"/>
        <v>0</v>
      </c>
      <c r="T40" s="1089">
        <f t="shared" si="26"/>
        <v>0</v>
      </c>
      <c r="U40" s="1089">
        <f t="shared" si="27"/>
        <v>0</v>
      </c>
    </row>
    <row r="41" spans="1:21">
      <c r="A41" s="1032">
        <v>35</v>
      </c>
      <c r="B41" s="1033" t="s">
        <v>136</v>
      </c>
      <c r="C41" s="1038">
        <f>'Table 8 2.1.12 MFP Funded'!N38</f>
        <v>0</v>
      </c>
      <c r="D41" s="1039">
        <f>'Table 3 Levels 1&amp;2'!AL42</f>
        <v>4830.9633412658623</v>
      </c>
      <c r="E41" s="1140">
        <f t="shared" si="28"/>
        <v>0</v>
      </c>
      <c r="F41" s="1140">
        <f t="shared" si="17"/>
        <v>0</v>
      </c>
      <c r="G41" s="1095">
        <f t="shared" si="29"/>
        <v>0</v>
      </c>
      <c r="H41" s="1150">
        <f t="shared" si="18"/>
        <v>0</v>
      </c>
      <c r="I41" s="1095">
        <f t="shared" si="19"/>
        <v>0</v>
      </c>
      <c r="J41" s="1095"/>
      <c r="K41" s="1095">
        <f t="shared" si="20"/>
        <v>0</v>
      </c>
      <c r="L41" s="1095">
        <f t="shared" si="21"/>
        <v>0</v>
      </c>
      <c r="M41" s="1091">
        <f>'[8]FY2012-13 Initial'!$K42</f>
        <v>3175</v>
      </c>
      <c r="N41" s="1092">
        <f t="shared" si="30"/>
        <v>0</v>
      </c>
      <c r="O41" s="1156">
        <f t="shared" si="22"/>
        <v>0</v>
      </c>
      <c r="P41" s="1092">
        <f t="shared" si="23"/>
        <v>0</v>
      </c>
      <c r="Q41" s="1092"/>
      <c r="R41" s="1092">
        <f t="shared" si="24"/>
        <v>0</v>
      </c>
      <c r="S41" s="1092">
        <f t="shared" si="25"/>
        <v>0</v>
      </c>
      <c r="T41" s="1093">
        <f t="shared" si="26"/>
        <v>0</v>
      </c>
      <c r="U41" s="1093">
        <f t="shared" si="27"/>
        <v>0</v>
      </c>
    </row>
    <row r="42" spans="1:21">
      <c r="A42" s="1021">
        <v>36</v>
      </c>
      <c r="B42" s="1022" t="s">
        <v>137</v>
      </c>
      <c r="C42" s="1040">
        <f>'Table 8 2.1.12 MFP Funded'!N39</f>
        <v>0</v>
      </c>
      <c r="D42" s="1041">
        <f>'Table 3 Levels 1&amp;2'!AL43</f>
        <v>3493.4615493208294</v>
      </c>
      <c r="E42" s="1141">
        <f t="shared" si="28"/>
        <v>0</v>
      </c>
      <c r="F42" s="1141">
        <f t="shared" si="17"/>
        <v>0</v>
      </c>
      <c r="G42" s="1096">
        <f t="shared" si="29"/>
        <v>0</v>
      </c>
      <c r="H42" s="1151">
        <f t="shared" si="18"/>
        <v>0</v>
      </c>
      <c r="I42" s="1096">
        <f t="shared" si="19"/>
        <v>0</v>
      </c>
      <c r="J42" s="1096"/>
      <c r="K42" s="1096">
        <f t="shared" si="20"/>
        <v>0</v>
      </c>
      <c r="L42" s="1096">
        <f t="shared" si="21"/>
        <v>0</v>
      </c>
      <c r="M42" s="1086">
        <f>'[8]FY2012-13 Initial'!$K43</f>
        <v>4785</v>
      </c>
      <c r="N42" s="1026">
        <f t="shared" si="30"/>
        <v>0</v>
      </c>
      <c r="O42" s="1154">
        <f t="shared" si="22"/>
        <v>0</v>
      </c>
      <c r="P42" s="1026">
        <f t="shared" si="23"/>
        <v>0</v>
      </c>
      <c r="Q42" s="1026"/>
      <c r="R42" s="1026">
        <f t="shared" si="24"/>
        <v>0</v>
      </c>
      <c r="S42" s="1026">
        <f t="shared" si="25"/>
        <v>0</v>
      </c>
      <c r="T42" s="1027">
        <f t="shared" si="26"/>
        <v>0</v>
      </c>
      <c r="U42" s="1027">
        <f t="shared" si="27"/>
        <v>0</v>
      </c>
    </row>
    <row r="43" spans="1:21">
      <c r="A43" s="1028">
        <v>37</v>
      </c>
      <c r="B43" s="1029" t="s">
        <v>138</v>
      </c>
      <c r="C43" s="1036">
        <f>'Table 8 2.1.12 MFP Funded'!N40</f>
        <v>0</v>
      </c>
      <c r="D43" s="1037">
        <f>'Table 3 Levels 1&amp;2'!AL44</f>
        <v>5484.3026094077886</v>
      </c>
      <c r="E43" s="1139">
        <f t="shared" si="28"/>
        <v>0</v>
      </c>
      <c r="F43" s="1139">
        <f t="shared" si="17"/>
        <v>0</v>
      </c>
      <c r="G43" s="1094">
        <f t="shared" si="29"/>
        <v>0</v>
      </c>
      <c r="H43" s="1149">
        <f t="shared" si="18"/>
        <v>0</v>
      </c>
      <c r="I43" s="1094">
        <f t="shared" si="19"/>
        <v>0</v>
      </c>
      <c r="J43" s="1094"/>
      <c r="K43" s="1094">
        <f t="shared" si="20"/>
        <v>0</v>
      </c>
      <c r="L43" s="1094">
        <f t="shared" si="21"/>
        <v>0</v>
      </c>
      <c r="M43" s="1086">
        <f>'[8]FY2012-13 Initial'!$K44</f>
        <v>3112</v>
      </c>
      <c r="N43" s="1088">
        <f t="shared" si="30"/>
        <v>0</v>
      </c>
      <c r="O43" s="1155">
        <f t="shared" si="22"/>
        <v>0</v>
      </c>
      <c r="P43" s="1088">
        <f t="shared" si="23"/>
        <v>0</v>
      </c>
      <c r="Q43" s="1088"/>
      <c r="R43" s="1088">
        <f t="shared" si="24"/>
        <v>0</v>
      </c>
      <c r="S43" s="1088">
        <f t="shared" si="25"/>
        <v>0</v>
      </c>
      <c r="T43" s="1089">
        <f t="shared" si="26"/>
        <v>0</v>
      </c>
      <c r="U43" s="1089">
        <f t="shared" si="27"/>
        <v>0</v>
      </c>
    </row>
    <row r="44" spans="1:21">
      <c r="A44" s="1028">
        <v>38</v>
      </c>
      <c r="B44" s="1029" t="s">
        <v>139</v>
      </c>
      <c r="C44" s="1036">
        <f>'Table 8 2.1.12 MFP Funded'!N41</f>
        <v>0</v>
      </c>
      <c r="D44" s="1037">
        <f>'Table 3 Levels 1&amp;2'!AL45</f>
        <v>2191.7415364583335</v>
      </c>
      <c r="E44" s="1139">
        <f t="shared" si="28"/>
        <v>0</v>
      </c>
      <c r="F44" s="1139">
        <f t="shared" si="17"/>
        <v>0</v>
      </c>
      <c r="G44" s="1094">
        <f t="shared" si="29"/>
        <v>0</v>
      </c>
      <c r="H44" s="1149">
        <f t="shared" si="18"/>
        <v>0</v>
      </c>
      <c r="I44" s="1094">
        <f t="shared" si="19"/>
        <v>0</v>
      </c>
      <c r="J44" s="1094"/>
      <c r="K44" s="1094">
        <f t="shared" si="20"/>
        <v>0</v>
      </c>
      <c r="L44" s="1094">
        <f t="shared" si="21"/>
        <v>0</v>
      </c>
      <c r="M44" s="1086">
        <f>'[8]FY2012-13 Initial'!$K45</f>
        <v>9771</v>
      </c>
      <c r="N44" s="1088">
        <f t="shared" si="30"/>
        <v>0</v>
      </c>
      <c r="O44" s="1155">
        <f t="shared" si="22"/>
        <v>0</v>
      </c>
      <c r="P44" s="1088">
        <f t="shared" si="23"/>
        <v>0</v>
      </c>
      <c r="Q44" s="1088"/>
      <c r="R44" s="1088">
        <f t="shared" si="24"/>
        <v>0</v>
      </c>
      <c r="S44" s="1088">
        <f t="shared" si="25"/>
        <v>0</v>
      </c>
      <c r="T44" s="1089">
        <f t="shared" si="26"/>
        <v>0</v>
      </c>
      <c r="U44" s="1089">
        <f t="shared" si="27"/>
        <v>0</v>
      </c>
    </row>
    <row r="45" spans="1:21">
      <c r="A45" s="1028">
        <v>39</v>
      </c>
      <c r="B45" s="1029" t="s">
        <v>140</v>
      </c>
      <c r="C45" s="1036">
        <f>'Table 8 2.1.12 MFP Funded'!N42</f>
        <v>2</v>
      </c>
      <c r="D45" s="1037">
        <f>'Table 3 Levels 1&amp;2'!AL46</f>
        <v>3686.1886996918806</v>
      </c>
      <c r="E45" s="1139">
        <f t="shared" si="28"/>
        <v>7372.3773993837613</v>
      </c>
      <c r="F45" s="1139">
        <f t="shared" si="17"/>
        <v>1072.2482708866455</v>
      </c>
      <c r="G45" s="1094">
        <f t="shared" si="29"/>
        <v>8444.6256702704068</v>
      </c>
      <c r="H45" s="1149">
        <f t="shared" si="18"/>
        <v>-21.111564175676019</v>
      </c>
      <c r="I45" s="1094">
        <f t="shared" si="19"/>
        <v>8423.5141060947299</v>
      </c>
      <c r="J45" s="1094"/>
      <c r="K45" s="1094">
        <f t="shared" si="20"/>
        <v>8423.5141060947299</v>
      </c>
      <c r="L45" s="1094">
        <f t="shared" si="21"/>
        <v>702</v>
      </c>
      <c r="M45" s="1086">
        <f>'[8]FY2012-13 Initial'!$K46</f>
        <v>4190</v>
      </c>
      <c r="N45" s="1088">
        <f t="shared" si="30"/>
        <v>8380</v>
      </c>
      <c r="O45" s="1155">
        <f t="shared" si="22"/>
        <v>-20.95</v>
      </c>
      <c r="P45" s="1088">
        <f t="shared" si="23"/>
        <v>8359.0499999999993</v>
      </c>
      <c r="Q45" s="1088"/>
      <c r="R45" s="1088">
        <f t="shared" si="24"/>
        <v>8359.0499999999993</v>
      </c>
      <c r="S45" s="1088">
        <f t="shared" si="25"/>
        <v>697</v>
      </c>
      <c r="T45" s="1089">
        <f t="shared" si="26"/>
        <v>16782.564106094731</v>
      </c>
      <c r="U45" s="1089">
        <f t="shared" si="27"/>
        <v>1399</v>
      </c>
    </row>
    <row r="46" spans="1:21">
      <c r="A46" s="1032">
        <v>40</v>
      </c>
      <c r="B46" s="1033" t="s">
        <v>141</v>
      </c>
      <c r="C46" s="1038">
        <f>'Table 8 2.1.12 MFP Funded'!N43</f>
        <v>4</v>
      </c>
      <c r="D46" s="1039">
        <f>'Table 3 Levels 1&amp;2'!AL47</f>
        <v>4879.0185326187402</v>
      </c>
      <c r="E46" s="1140">
        <f t="shared" si="28"/>
        <v>19516.074130474961</v>
      </c>
      <c r="F46" s="1140">
        <f t="shared" si="17"/>
        <v>2144.496541773291</v>
      </c>
      <c r="G46" s="1095">
        <f t="shared" si="29"/>
        <v>21660.57067224825</v>
      </c>
      <c r="H46" s="1150">
        <f t="shared" si="18"/>
        <v>-54.151426680620624</v>
      </c>
      <c r="I46" s="1095">
        <f t="shared" si="19"/>
        <v>21606.419245567631</v>
      </c>
      <c r="J46" s="1095"/>
      <c r="K46" s="1095">
        <f t="shared" si="20"/>
        <v>21606.419245567631</v>
      </c>
      <c r="L46" s="1095">
        <f t="shared" si="21"/>
        <v>1801</v>
      </c>
      <c r="M46" s="1091">
        <f>'[8]FY2012-13 Initial'!$K47</f>
        <v>2887</v>
      </c>
      <c r="N46" s="1092">
        <f t="shared" si="30"/>
        <v>11548</v>
      </c>
      <c r="O46" s="1156">
        <f t="shared" si="22"/>
        <v>-28.87</v>
      </c>
      <c r="P46" s="1092">
        <f t="shared" si="23"/>
        <v>11519.13</v>
      </c>
      <c r="Q46" s="1092"/>
      <c r="R46" s="1092">
        <f t="shared" si="24"/>
        <v>11519.13</v>
      </c>
      <c r="S46" s="1092">
        <f t="shared" si="25"/>
        <v>960</v>
      </c>
      <c r="T46" s="1093">
        <f t="shared" si="26"/>
        <v>33125.549245567629</v>
      </c>
      <c r="U46" s="1093">
        <f t="shared" si="27"/>
        <v>2761</v>
      </c>
    </row>
    <row r="47" spans="1:21">
      <c r="A47" s="1021">
        <v>41</v>
      </c>
      <c r="B47" s="1022" t="s">
        <v>142</v>
      </c>
      <c r="C47" s="1040">
        <f>'Table 8 2.1.12 MFP Funded'!N44</f>
        <v>0</v>
      </c>
      <c r="D47" s="1041">
        <f>'Table 3 Levels 1&amp;2'!AL48</f>
        <v>1608.4303482587065</v>
      </c>
      <c r="E47" s="1141">
        <f t="shared" si="28"/>
        <v>0</v>
      </c>
      <c r="F47" s="1141">
        <f t="shared" si="17"/>
        <v>0</v>
      </c>
      <c r="G47" s="1096">
        <f t="shared" si="29"/>
        <v>0</v>
      </c>
      <c r="H47" s="1151">
        <f t="shared" si="18"/>
        <v>0</v>
      </c>
      <c r="I47" s="1096">
        <f t="shared" si="19"/>
        <v>0</v>
      </c>
      <c r="J47" s="1096"/>
      <c r="K47" s="1096">
        <f t="shared" si="20"/>
        <v>0</v>
      </c>
      <c r="L47" s="1096">
        <f t="shared" si="21"/>
        <v>0</v>
      </c>
      <c r="M47" s="1086">
        <f>'[8]FY2012-13 Initial'!$K48</f>
        <v>12470</v>
      </c>
      <c r="N47" s="1026">
        <f t="shared" si="30"/>
        <v>0</v>
      </c>
      <c r="O47" s="1154">
        <f t="shared" si="22"/>
        <v>0</v>
      </c>
      <c r="P47" s="1026">
        <f t="shared" si="23"/>
        <v>0</v>
      </c>
      <c r="Q47" s="1026"/>
      <c r="R47" s="1026">
        <f t="shared" si="24"/>
        <v>0</v>
      </c>
      <c r="S47" s="1026">
        <f t="shared" si="25"/>
        <v>0</v>
      </c>
      <c r="T47" s="1027">
        <f t="shared" si="26"/>
        <v>0</v>
      </c>
      <c r="U47" s="1027">
        <f t="shared" si="27"/>
        <v>0</v>
      </c>
    </row>
    <row r="48" spans="1:21">
      <c r="A48" s="1028">
        <v>42</v>
      </c>
      <c r="B48" s="1029" t="s">
        <v>143</v>
      </c>
      <c r="C48" s="1036">
        <f>'Table 8 2.1.12 MFP Funded'!N45</f>
        <v>0</v>
      </c>
      <c r="D48" s="1037">
        <f>'Table 3 Levels 1&amp;2'!AL49</f>
        <v>5260.3047779801664</v>
      </c>
      <c r="E48" s="1139">
        <f t="shared" si="28"/>
        <v>0</v>
      </c>
      <c r="F48" s="1139">
        <f t="shared" si="17"/>
        <v>0</v>
      </c>
      <c r="G48" s="1094">
        <f t="shared" si="29"/>
        <v>0</v>
      </c>
      <c r="H48" s="1149">
        <f t="shared" si="18"/>
        <v>0</v>
      </c>
      <c r="I48" s="1094">
        <f t="shared" si="19"/>
        <v>0</v>
      </c>
      <c r="J48" s="1094"/>
      <c r="K48" s="1094">
        <f t="shared" si="20"/>
        <v>0</v>
      </c>
      <c r="L48" s="1094">
        <f t="shared" si="21"/>
        <v>0</v>
      </c>
      <c r="M48" s="1086">
        <f>'[8]FY2012-13 Initial'!$K49</f>
        <v>2353</v>
      </c>
      <c r="N48" s="1088">
        <f t="shared" si="30"/>
        <v>0</v>
      </c>
      <c r="O48" s="1155">
        <f t="shared" si="22"/>
        <v>0</v>
      </c>
      <c r="P48" s="1088">
        <f t="shared" si="23"/>
        <v>0</v>
      </c>
      <c r="Q48" s="1088"/>
      <c r="R48" s="1088">
        <f t="shared" si="24"/>
        <v>0</v>
      </c>
      <c r="S48" s="1088">
        <f t="shared" si="25"/>
        <v>0</v>
      </c>
      <c r="T48" s="1089">
        <f t="shared" si="26"/>
        <v>0</v>
      </c>
      <c r="U48" s="1089">
        <f t="shared" si="27"/>
        <v>0</v>
      </c>
    </row>
    <row r="49" spans="1:21">
      <c r="A49" s="1028">
        <v>43</v>
      </c>
      <c r="B49" s="1029" t="s">
        <v>144</v>
      </c>
      <c r="C49" s="1036">
        <f>'Table 8 2.1.12 MFP Funded'!N46</f>
        <v>0</v>
      </c>
      <c r="D49" s="1037">
        <f>'Table 3 Levels 1&amp;2'!AL50</f>
        <v>5587.3492327608728</v>
      </c>
      <c r="E49" s="1139">
        <f t="shared" si="28"/>
        <v>0</v>
      </c>
      <c r="F49" s="1139">
        <f t="shared" si="17"/>
        <v>0</v>
      </c>
      <c r="G49" s="1094">
        <f t="shared" si="29"/>
        <v>0</v>
      </c>
      <c r="H49" s="1149">
        <f t="shared" si="18"/>
        <v>0</v>
      </c>
      <c r="I49" s="1094">
        <f t="shared" si="19"/>
        <v>0</v>
      </c>
      <c r="J49" s="1094"/>
      <c r="K49" s="1094">
        <f t="shared" si="20"/>
        <v>0</v>
      </c>
      <c r="L49" s="1094">
        <f t="shared" si="21"/>
        <v>0</v>
      </c>
      <c r="M49" s="1086">
        <f>'[8]FY2012-13 Initial'!$K50</f>
        <v>5599</v>
      </c>
      <c r="N49" s="1088">
        <f t="shared" si="30"/>
        <v>0</v>
      </c>
      <c r="O49" s="1155">
        <f t="shared" si="22"/>
        <v>0</v>
      </c>
      <c r="P49" s="1088">
        <f t="shared" si="23"/>
        <v>0</v>
      </c>
      <c r="Q49" s="1088"/>
      <c r="R49" s="1088">
        <f t="shared" si="24"/>
        <v>0</v>
      </c>
      <c r="S49" s="1088">
        <f t="shared" si="25"/>
        <v>0</v>
      </c>
      <c r="T49" s="1089">
        <f t="shared" si="26"/>
        <v>0</v>
      </c>
      <c r="U49" s="1089">
        <f t="shared" si="27"/>
        <v>0</v>
      </c>
    </row>
    <row r="50" spans="1:21">
      <c r="A50" s="1028">
        <v>44</v>
      </c>
      <c r="B50" s="1029" t="s">
        <v>145</v>
      </c>
      <c r="C50" s="1036">
        <f>'Table 8 2.1.12 MFP Funded'!N47</f>
        <v>0</v>
      </c>
      <c r="D50" s="1037">
        <f>'Table 3 Levels 1&amp;2'!AL51</f>
        <v>4113.1787591918992</v>
      </c>
      <c r="E50" s="1139">
        <f t="shared" si="28"/>
        <v>0</v>
      </c>
      <c r="F50" s="1139">
        <f t="shared" si="17"/>
        <v>0</v>
      </c>
      <c r="G50" s="1094">
        <f t="shared" si="29"/>
        <v>0</v>
      </c>
      <c r="H50" s="1149">
        <f t="shared" si="18"/>
        <v>0</v>
      </c>
      <c r="I50" s="1094">
        <f t="shared" si="19"/>
        <v>0</v>
      </c>
      <c r="J50" s="1094"/>
      <c r="K50" s="1094">
        <f t="shared" si="20"/>
        <v>0</v>
      </c>
      <c r="L50" s="1094">
        <f t="shared" si="21"/>
        <v>0</v>
      </c>
      <c r="M50" s="1086">
        <f>'[8]FY2012-13 Initial'!$K51</f>
        <v>4661</v>
      </c>
      <c r="N50" s="1088">
        <f t="shared" si="30"/>
        <v>0</v>
      </c>
      <c r="O50" s="1155">
        <f t="shared" si="22"/>
        <v>0</v>
      </c>
      <c r="P50" s="1088">
        <f t="shared" si="23"/>
        <v>0</v>
      </c>
      <c r="Q50" s="1088"/>
      <c r="R50" s="1088">
        <f t="shared" si="24"/>
        <v>0</v>
      </c>
      <c r="S50" s="1088">
        <f t="shared" si="25"/>
        <v>0</v>
      </c>
      <c r="T50" s="1089">
        <f t="shared" si="26"/>
        <v>0</v>
      </c>
      <c r="U50" s="1089">
        <f t="shared" si="27"/>
        <v>0</v>
      </c>
    </row>
    <row r="51" spans="1:21">
      <c r="A51" s="1032">
        <v>45</v>
      </c>
      <c r="B51" s="1033" t="s">
        <v>146</v>
      </c>
      <c r="C51" s="1038">
        <f>'Table 8 2.1.12 MFP Funded'!N48</f>
        <v>0</v>
      </c>
      <c r="D51" s="1039">
        <f>'Table 3 Levels 1&amp;2'!AL52</f>
        <v>2414.8479898164846</v>
      </c>
      <c r="E51" s="1140">
        <f t="shared" si="28"/>
        <v>0</v>
      </c>
      <c r="F51" s="1140">
        <f t="shared" si="17"/>
        <v>0</v>
      </c>
      <c r="G51" s="1095">
        <f t="shared" si="29"/>
        <v>0</v>
      </c>
      <c r="H51" s="1150">
        <f t="shared" si="18"/>
        <v>0</v>
      </c>
      <c r="I51" s="1095">
        <f t="shared" si="19"/>
        <v>0</v>
      </c>
      <c r="J51" s="1095"/>
      <c r="K51" s="1095">
        <f t="shared" si="20"/>
        <v>0</v>
      </c>
      <c r="L51" s="1095">
        <f t="shared" si="21"/>
        <v>0</v>
      </c>
      <c r="M51" s="1091">
        <f>'[8]FY2012-13 Initial'!$K52</f>
        <v>11650</v>
      </c>
      <c r="N51" s="1092">
        <f t="shared" si="30"/>
        <v>0</v>
      </c>
      <c r="O51" s="1156">
        <f t="shared" si="22"/>
        <v>0</v>
      </c>
      <c r="P51" s="1092">
        <f t="shared" si="23"/>
        <v>0</v>
      </c>
      <c r="Q51" s="1092"/>
      <c r="R51" s="1092">
        <f t="shared" si="24"/>
        <v>0</v>
      </c>
      <c r="S51" s="1092">
        <f t="shared" si="25"/>
        <v>0</v>
      </c>
      <c r="T51" s="1093">
        <f t="shared" si="26"/>
        <v>0</v>
      </c>
      <c r="U51" s="1093">
        <f t="shared" si="27"/>
        <v>0</v>
      </c>
    </row>
    <row r="52" spans="1:21">
      <c r="A52" s="1021">
        <v>46</v>
      </c>
      <c r="B52" s="1022" t="s">
        <v>147</v>
      </c>
      <c r="C52" s="1040">
        <f>'Table 8 2.1.12 MFP Funded'!N49</f>
        <v>0</v>
      </c>
      <c r="D52" s="1041">
        <f>'Table 3 Levels 1&amp;2'!AL53</f>
        <v>5765.0314518803261</v>
      </c>
      <c r="E52" s="1141">
        <f t="shared" si="28"/>
        <v>0</v>
      </c>
      <c r="F52" s="1141">
        <f t="shared" si="17"/>
        <v>0</v>
      </c>
      <c r="G52" s="1096">
        <f t="shared" si="29"/>
        <v>0</v>
      </c>
      <c r="H52" s="1151">
        <f t="shared" si="18"/>
        <v>0</v>
      </c>
      <c r="I52" s="1096">
        <f t="shared" si="19"/>
        <v>0</v>
      </c>
      <c r="J52" s="1096"/>
      <c r="K52" s="1096">
        <f t="shared" si="20"/>
        <v>0</v>
      </c>
      <c r="L52" s="1096">
        <f t="shared" si="21"/>
        <v>0</v>
      </c>
      <c r="M52" s="1086">
        <f>'[8]FY2012-13 Initial'!$K53</f>
        <v>1789</v>
      </c>
      <c r="N52" s="1026">
        <f t="shared" si="30"/>
        <v>0</v>
      </c>
      <c r="O52" s="1154">
        <f t="shared" si="22"/>
        <v>0</v>
      </c>
      <c r="P52" s="1026">
        <f t="shared" si="23"/>
        <v>0</v>
      </c>
      <c r="Q52" s="1026"/>
      <c r="R52" s="1026">
        <f t="shared" si="24"/>
        <v>0</v>
      </c>
      <c r="S52" s="1026">
        <f t="shared" si="25"/>
        <v>0</v>
      </c>
      <c r="T52" s="1027">
        <f t="shared" si="26"/>
        <v>0</v>
      </c>
      <c r="U52" s="1027">
        <f t="shared" si="27"/>
        <v>0</v>
      </c>
    </row>
    <row r="53" spans="1:21">
      <c r="A53" s="1028">
        <v>47</v>
      </c>
      <c r="B53" s="1029" t="s">
        <v>148</v>
      </c>
      <c r="C53" s="1036">
        <f>'Table 8 2.1.12 MFP Funded'!N50</f>
        <v>0</v>
      </c>
      <c r="D53" s="1037">
        <f>'Table 3 Levels 1&amp;2'!AL54</f>
        <v>3186.1712081166847</v>
      </c>
      <c r="E53" s="1139">
        <f t="shared" si="28"/>
        <v>0</v>
      </c>
      <c r="F53" s="1139">
        <f t="shared" si="17"/>
        <v>0</v>
      </c>
      <c r="G53" s="1094">
        <f t="shared" si="29"/>
        <v>0</v>
      </c>
      <c r="H53" s="1149">
        <f t="shared" si="18"/>
        <v>0</v>
      </c>
      <c r="I53" s="1094">
        <f t="shared" si="19"/>
        <v>0</v>
      </c>
      <c r="J53" s="1094"/>
      <c r="K53" s="1094">
        <f t="shared" si="20"/>
        <v>0</v>
      </c>
      <c r="L53" s="1094">
        <f t="shared" si="21"/>
        <v>0</v>
      </c>
      <c r="M53" s="1086">
        <f>'[8]FY2012-13 Initial'!$K54</f>
        <v>9947</v>
      </c>
      <c r="N53" s="1088">
        <f t="shared" si="30"/>
        <v>0</v>
      </c>
      <c r="O53" s="1155">
        <f t="shared" si="22"/>
        <v>0</v>
      </c>
      <c r="P53" s="1088">
        <f t="shared" si="23"/>
        <v>0</v>
      </c>
      <c r="Q53" s="1088"/>
      <c r="R53" s="1088">
        <f t="shared" si="24"/>
        <v>0</v>
      </c>
      <c r="S53" s="1088">
        <f t="shared" si="25"/>
        <v>0</v>
      </c>
      <c r="T53" s="1089">
        <f t="shared" si="26"/>
        <v>0</v>
      </c>
      <c r="U53" s="1089">
        <f t="shared" si="27"/>
        <v>0</v>
      </c>
    </row>
    <row r="54" spans="1:21">
      <c r="A54" s="1028">
        <v>48</v>
      </c>
      <c r="B54" s="1029" t="s">
        <v>222</v>
      </c>
      <c r="C54" s="1036">
        <f>'Table 8 2.1.12 MFP Funded'!N51</f>
        <v>0</v>
      </c>
      <c r="D54" s="1037">
        <f>'Table 3 Levels 1&amp;2'!AL55</f>
        <v>4260.4872196136057</v>
      </c>
      <c r="E54" s="1139">
        <f t="shared" si="28"/>
        <v>0</v>
      </c>
      <c r="F54" s="1139">
        <f t="shared" si="17"/>
        <v>0</v>
      </c>
      <c r="G54" s="1094">
        <f t="shared" si="29"/>
        <v>0</v>
      </c>
      <c r="H54" s="1149">
        <f t="shared" si="18"/>
        <v>0</v>
      </c>
      <c r="I54" s="1094">
        <f t="shared" si="19"/>
        <v>0</v>
      </c>
      <c r="J54" s="1094"/>
      <c r="K54" s="1094">
        <f t="shared" si="20"/>
        <v>0</v>
      </c>
      <c r="L54" s="1094">
        <f t="shared" si="21"/>
        <v>0</v>
      </c>
      <c r="M54" s="1086">
        <f>'[8]FY2012-13 Initial'!$K55</f>
        <v>5325</v>
      </c>
      <c r="N54" s="1088">
        <f t="shared" si="30"/>
        <v>0</v>
      </c>
      <c r="O54" s="1155">
        <f t="shared" si="22"/>
        <v>0</v>
      </c>
      <c r="P54" s="1088">
        <f t="shared" si="23"/>
        <v>0</v>
      </c>
      <c r="Q54" s="1088"/>
      <c r="R54" s="1088">
        <f t="shared" si="24"/>
        <v>0</v>
      </c>
      <c r="S54" s="1088">
        <f t="shared" si="25"/>
        <v>0</v>
      </c>
      <c r="T54" s="1089">
        <f t="shared" si="26"/>
        <v>0</v>
      </c>
      <c r="U54" s="1089">
        <f t="shared" si="27"/>
        <v>0</v>
      </c>
    </row>
    <row r="55" spans="1:21">
      <c r="A55" s="1028">
        <v>49</v>
      </c>
      <c r="B55" s="1029" t="s">
        <v>149</v>
      </c>
      <c r="C55" s="1036">
        <f>'Table 8 2.1.12 MFP Funded'!N52</f>
        <v>4</v>
      </c>
      <c r="D55" s="1037">
        <f>'Table 3 Levels 1&amp;2'!AL56</f>
        <v>4800.2172145077111</v>
      </c>
      <c r="E55" s="1139">
        <f t="shared" si="28"/>
        <v>19200.868858030844</v>
      </c>
      <c r="F55" s="1139">
        <f t="shared" si="17"/>
        <v>2144.496541773291</v>
      </c>
      <c r="G55" s="1094">
        <f t="shared" si="29"/>
        <v>21345.365399804134</v>
      </c>
      <c r="H55" s="1149">
        <f t="shared" si="18"/>
        <v>-53.363413499510337</v>
      </c>
      <c r="I55" s="1094">
        <f t="shared" si="19"/>
        <v>21292.001986304622</v>
      </c>
      <c r="J55" s="1094"/>
      <c r="K55" s="1094">
        <f t="shared" si="20"/>
        <v>21292.001986304622</v>
      </c>
      <c r="L55" s="1094">
        <f t="shared" si="21"/>
        <v>1774</v>
      </c>
      <c r="M55" s="1086">
        <f>'[8]FY2012-13 Initial'!$K56</f>
        <v>2326</v>
      </c>
      <c r="N55" s="1088">
        <f t="shared" si="30"/>
        <v>9304</v>
      </c>
      <c r="O55" s="1155">
        <f t="shared" si="22"/>
        <v>-23.26</v>
      </c>
      <c r="P55" s="1088">
        <f t="shared" si="23"/>
        <v>9280.74</v>
      </c>
      <c r="Q55" s="1088"/>
      <c r="R55" s="1088">
        <f t="shared" si="24"/>
        <v>9280.74</v>
      </c>
      <c r="S55" s="1088">
        <f t="shared" si="25"/>
        <v>773</v>
      </c>
      <c r="T55" s="1089">
        <f t="shared" si="26"/>
        <v>30572.741986304623</v>
      </c>
      <c r="U55" s="1089">
        <f t="shared" si="27"/>
        <v>2547</v>
      </c>
    </row>
    <row r="56" spans="1:21">
      <c r="A56" s="1032">
        <v>50</v>
      </c>
      <c r="B56" s="1033" t="s">
        <v>150</v>
      </c>
      <c r="C56" s="1038">
        <f>'Table 8 2.1.12 MFP Funded'!N53</f>
        <v>0</v>
      </c>
      <c r="D56" s="1039">
        <f>'Table 3 Levels 1&amp;2'!AL57</f>
        <v>5059.523754419537</v>
      </c>
      <c r="E56" s="1140">
        <f t="shared" si="28"/>
        <v>0</v>
      </c>
      <c r="F56" s="1140">
        <f t="shared" si="17"/>
        <v>0</v>
      </c>
      <c r="G56" s="1095">
        <f t="shared" si="29"/>
        <v>0</v>
      </c>
      <c r="H56" s="1150">
        <f t="shared" si="18"/>
        <v>0</v>
      </c>
      <c r="I56" s="1095">
        <f t="shared" si="19"/>
        <v>0</v>
      </c>
      <c r="J56" s="1095"/>
      <c r="K56" s="1095">
        <f t="shared" si="20"/>
        <v>0</v>
      </c>
      <c r="L56" s="1095">
        <f t="shared" si="21"/>
        <v>0</v>
      </c>
      <c r="M56" s="1091">
        <f>'[8]FY2012-13 Initial'!$K57</f>
        <v>2574</v>
      </c>
      <c r="N56" s="1092">
        <f t="shared" si="30"/>
        <v>0</v>
      </c>
      <c r="O56" s="1156">
        <f t="shared" si="22"/>
        <v>0</v>
      </c>
      <c r="P56" s="1092">
        <f t="shared" si="23"/>
        <v>0</v>
      </c>
      <c r="Q56" s="1092"/>
      <c r="R56" s="1092">
        <f t="shared" si="24"/>
        <v>0</v>
      </c>
      <c r="S56" s="1092">
        <f t="shared" si="25"/>
        <v>0</v>
      </c>
      <c r="T56" s="1093">
        <f t="shared" si="26"/>
        <v>0</v>
      </c>
      <c r="U56" s="1093">
        <f t="shared" si="27"/>
        <v>0</v>
      </c>
    </row>
    <row r="57" spans="1:21">
      <c r="A57" s="1021">
        <v>51</v>
      </c>
      <c r="B57" s="1022" t="s">
        <v>151</v>
      </c>
      <c r="C57" s="1040">
        <f>'Table 8 2.1.12 MFP Funded'!N54</f>
        <v>0</v>
      </c>
      <c r="D57" s="1041">
        <f>'Table 3 Levels 1&amp;2'!AL58</f>
        <v>4384.0477116019692</v>
      </c>
      <c r="E57" s="1141">
        <f t="shared" si="28"/>
        <v>0</v>
      </c>
      <c r="F57" s="1141">
        <f t="shared" si="17"/>
        <v>0</v>
      </c>
      <c r="G57" s="1096">
        <f t="shared" si="29"/>
        <v>0</v>
      </c>
      <c r="H57" s="1151">
        <f t="shared" si="18"/>
        <v>0</v>
      </c>
      <c r="I57" s="1096">
        <f t="shared" si="19"/>
        <v>0</v>
      </c>
      <c r="J57" s="1096"/>
      <c r="K57" s="1096">
        <f t="shared" si="20"/>
        <v>0</v>
      </c>
      <c r="L57" s="1096">
        <f t="shared" si="21"/>
        <v>0</v>
      </c>
      <c r="M57" s="1086">
        <f>'[8]FY2012-13 Initial'!$K58</f>
        <v>3943</v>
      </c>
      <c r="N57" s="1026">
        <f t="shared" si="30"/>
        <v>0</v>
      </c>
      <c r="O57" s="1154">
        <f t="shared" si="22"/>
        <v>0</v>
      </c>
      <c r="P57" s="1026">
        <f t="shared" si="23"/>
        <v>0</v>
      </c>
      <c r="Q57" s="1026"/>
      <c r="R57" s="1026">
        <f t="shared" si="24"/>
        <v>0</v>
      </c>
      <c r="S57" s="1026">
        <f t="shared" si="25"/>
        <v>0</v>
      </c>
      <c r="T57" s="1027">
        <f t="shared" si="26"/>
        <v>0</v>
      </c>
      <c r="U57" s="1027">
        <f t="shared" si="27"/>
        <v>0</v>
      </c>
    </row>
    <row r="58" spans="1:21">
      <c r="A58" s="1028">
        <v>52</v>
      </c>
      <c r="B58" s="1029" t="s">
        <v>152</v>
      </c>
      <c r="C58" s="1036">
        <f>'Table 8 2.1.12 MFP Funded'!N55</f>
        <v>0</v>
      </c>
      <c r="D58" s="1037">
        <f>'Table 3 Levels 1&amp;2'!AL59</f>
        <v>4920.0697942988754</v>
      </c>
      <c r="E58" s="1139">
        <f t="shared" si="28"/>
        <v>0</v>
      </c>
      <c r="F58" s="1139">
        <f t="shared" si="17"/>
        <v>0</v>
      </c>
      <c r="G58" s="1094">
        <f t="shared" si="29"/>
        <v>0</v>
      </c>
      <c r="H58" s="1149">
        <f t="shared" si="18"/>
        <v>0</v>
      </c>
      <c r="I58" s="1094">
        <f t="shared" si="19"/>
        <v>0</v>
      </c>
      <c r="J58" s="1094"/>
      <c r="K58" s="1094">
        <f t="shared" si="20"/>
        <v>0</v>
      </c>
      <c r="L58" s="1094">
        <f t="shared" si="21"/>
        <v>0</v>
      </c>
      <c r="M58" s="1086">
        <f>'[8]FY2012-13 Initial'!$K59</f>
        <v>4750</v>
      </c>
      <c r="N58" s="1088">
        <f t="shared" si="30"/>
        <v>0</v>
      </c>
      <c r="O58" s="1155">
        <f t="shared" si="22"/>
        <v>0</v>
      </c>
      <c r="P58" s="1088">
        <f t="shared" si="23"/>
        <v>0</v>
      </c>
      <c r="Q58" s="1088"/>
      <c r="R58" s="1088">
        <f t="shared" si="24"/>
        <v>0</v>
      </c>
      <c r="S58" s="1088">
        <f t="shared" si="25"/>
        <v>0</v>
      </c>
      <c r="T58" s="1089">
        <f t="shared" si="26"/>
        <v>0</v>
      </c>
      <c r="U58" s="1089">
        <f t="shared" si="27"/>
        <v>0</v>
      </c>
    </row>
    <row r="59" spans="1:21">
      <c r="A59" s="1028">
        <v>53</v>
      </c>
      <c r="B59" s="1029" t="s">
        <v>153</v>
      </c>
      <c r="C59" s="1036">
        <f>'Table 8 2.1.12 MFP Funded'!N56</f>
        <v>0</v>
      </c>
      <c r="D59" s="1037">
        <f>'Table 3 Levels 1&amp;2'!AL60</f>
        <v>4784.2719870767614</v>
      </c>
      <c r="E59" s="1139">
        <f t="shared" si="28"/>
        <v>0</v>
      </c>
      <c r="F59" s="1139">
        <f t="shared" si="17"/>
        <v>0</v>
      </c>
      <c r="G59" s="1094">
        <f t="shared" si="29"/>
        <v>0</v>
      </c>
      <c r="H59" s="1149">
        <f t="shared" si="18"/>
        <v>0</v>
      </c>
      <c r="I59" s="1094">
        <f t="shared" si="19"/>
        <v>0</v>
      </c>
      <c r="J59" s="1094"/>
      <c r="K59" s="1094">
        <f t="shared" si="20"/>
        <v>0</v>
      </c>
      <c r="L59" s="1094">
        <f t="shared" si="21"/>
        <v>0</v>
      </c>
      <c r="M59" s="1086">
        <f>'[8]FY2012-13 Initial'!$K60</f>
        <v>1913</v>
      </c>
      <c r="N59" s="1088">
        <f t="shared" si="30"/>
        <v>0</v>
      </c>
      <c r="O59" s="1155">
        <f t="shared" si="22"/>
        <v>0</v>
      </c>
      <c r="P59" s="1088">
        <f t="shared" si="23"/>
        <v>0</v>
      </c>
      <c r="Q59" s="1088"/>
      <c r="R59" s="1088">
        <f t="shared" si="24"/>
        <v>0</v>
      </c>
      <c r="S59" s="1088">
        <f t="shared" si="25"/>
        <v>0</v>
      </c>
      <c r="T59" s="1089">
        <f t="shared" si="26"/>
        <v>0</v>
      </c>
      <c r="U59" s="1089">
        <f t="shared" si="27"/>
        <v>0</v>
      </c>
    </row>
    <row r="60" spans="1:21">
      <c r="A60" s="1028">
        <v>54</v>
      </c>
      <c r="B60" s="1029" t="s">
        <v>154</v>
      </c>
      <c r="C60" s="1036">
        <f>'Table 8 2.1.12 MFP Funded'!N57</f>
        <v>0</v>
      </c>
      <c r="D60" s="1037">
        <f>'Table 3 Levels 1&amp;2'!AL61</f>
        <v>5982.5555386476462</v>
      </c>
      <c r="E60" s="1139">
        <f t="shared" si="28"/>
        <v>0</v>
      </c>
      <c r="F60" s="1139">
        <f t="shared" si="17"/>
        <v>0</v>
      </c>
      <c r="G60" s="1094">
        <f t="shared" si="29"/>
        <v>0</v>
      </c>
      <c r="H60" s="1149">
        <f t="shared" si="18"/>
        <v>0</v>
      </c>
      <c r="I60" s="1094">
        <f t="shared" si="19"/>
        <v>0</v>
      </c>
      <c r="J60" s="1094"/>
      <c r="K60" s="1094">
        <f t="shared" si="20"/>
        <v>0</v>
      </c>
      <c r="L60" s="1094">
        <f t="shared" si="21"/>
        <v>0</v>
      </c>
      <c r="M60" s="1086">
        <f>'[8]FY2012-13 Initial'!$K61</f>
        <v>3264</v>
      </c>
      <c r="N60" s="1088">
        <f t="shared" si="30"/>
        <v>0</v>
      </c>
      <c r="O60" s="1155">
        <f t="shared" si="22"/>
        <v>0</v>
      </c>
      <c r="P60" s="1088">
        <f t="shared" si="23"/>
        <v>0</v>
      </c>
      <c r="Q60" s="1088"/>
      <c r="R60" s="1088">
        <f t="shared" si="24"/>
        <v>0</v>
      </c>
      <c r="S60" s="1088">
        <f t="shared" si="25"/>
        <v>0</v>
      </c>
      <c r="T60" s="1089">
        <f t="shared" si="26"/>
        <v>0</v>
      </c>
      <c r="U60" s="1089">
        <f t="shared" si="27"/>
        <v>0</v>
      </c>
    </row>
    <row r="61" spans="1:21">
      <c r="A61" s="1032">
        <v>55</v>
      </c>
      <c r="B61" s="1033" t="s">
        <v>155</v>
      </c>
      <c r="C61" s="1038">
        <f>'Table 8 2.1.12 MFP Funded'!N58</f>
        <v>0</v>
      </c>
      <c r="D61" s="1039">
        <f>'Table 3 Levels 1&amp;2'!AL62</f>
        <v>4087.4017448818722</v>
      </c>
      <c r="E61" s="1140">
        <f t="shared" si="28"/>
        <v>0</v>
      </c>
      <c r="F61" s="1140">
        <f t="shared" si="17"/>
        <v>0</v>
      </c>
      <c r="G61" s="1095">
        <f t="shared" si="29"/>
        <v>0</v>
      </c>
      <c r="H61" s="1150">
        <f t="shared" si="18"/>
        <v>0</v>
      </c>
      <c r="I61" s="1095">
        <f t="shared" si="19"/>
        <v>0</v>
      </c>
      <c r="J61" s="1095"/>
      <c r="K61" s="1095">
        <f t="shared" si="20"/>
        <v>0</v>
      </c>
      <c r="L61" s="1095">
        <f t="shared" si="21"/>
        <v>0</v>
      </c>
      <c r="M61" s="1091">
        <f>'[8]FY2012-13 Initial'!$K62</f>
        <v>3071</v>
      </c>
      <c r="N61" s="1092">
        <f t="shared" si="30"/>
        <v>0</v>
      </c>
      <c r="O61" s="1156">
        <f t="shared" si="22"/>
        <v>0</v>
      </c>
      <c r="P61" s="1092">
        <f t="shared" si="23"/>
        <v>0</v>
      </c>
      <c r="Q61" s="1092"/>
      <c r="R61" s="1092">
        <f t="shared" si="24"/>
        <v>0</v>
      </c>
      <c r="S61" s="1092">
        <f t="shared" si="25"/>
        <v>0</v>
      </c>
      <c r="T61" s="1093">
        <f t="shared" si="26"/>
        <v>0</v>
      </c>
      <c r="U61" s="1093">
        <f t="shared" si="27"/>
        <v>0</v>
      </c>
    </row>
    <row r="62" spans="1:21">
      <c r="A62" s="1021">
        <v>56</v>
      </c>
      <c r="B62" s="1022" t="s">
        <v>156</v>
      </c>
      <c r="C62" s="1040">
        <f>'Table 8 2.1.12 MFP Funded'!N59</f>
        <v>0</v>
      </c>
      <c r="D62" s="1041">
        <f>'Table 3 Levels 1&amp;2'!AL63</f>
        <v>5052.2250942802684</v>
      </c>
      <c r="E62" s="1141">
        <f t="shared" si="28"/>
        <v>0</v>
      </c>
      <c r="F62" s="1141">
        <f t="shared" si="17"/>
        <v>0</v>
      </c>
      <c r="G62" s="1096">
        <f t="shared" si="29"/>
        <v>0</v>
      </c>
      <c r="H62" s="1151">
        <f t="shared" si="18"/>
        <v>0</v>
      </c>
      <c r="I62" s="1096">
        <f t="shared" si="19"/>
        <v>0</v>
      </c>
      <c r="J62" s="1096"/>
      <c r="K62" s="1096">
        <f t="shared" si="20"/>
        <v>0</v>
      </c>
      <c r="L62" s="1096">
        <f t="shared" si="21"/>
        <v>0</v>
      </c>
      <c r="M62" s="1086">
        <f>'[8]FY2012-13 Initial'!$K63</f>
        <v>2630</v>
      </c>
      <c r="N62" s="1026">
        <f t="shared" si="30"/>
        <v>0</v>
      </c>
      <c r="O62" s="1154">
        <f t="shared" si="22"/>
        <v>0</v>
      </c>
      <c r="P62" s="1026">
        <f t="shared" si="23"/>
        <v>0</v>
      </c>
      <c r="Q62" s="1026"/>
      <c r="R62" s="1026">
        <f t="shared" si="24"/>
        <v>0</v>
      </c>
      <c r="S62" s="1026">
        <f t="shared" si="25"/>
        <v>0</v>
      </c>
      <c r="T62" s="1027">
        <f t="shared" si="26"/>
        <v>0</v>
      </c>
      <c r="U62" s="1027">
        <f t="shared" si="27"/>
        <v>0</v>
      </c>
    </row>
    <row r="63" spans="1:21">
      <c r="A63" s="1028">
        <v>57</v>
      </c>
      <c r="B63" s="1029" t="s">
        <v>157</v>
      </c>
      <c r="C63" s="1036">
        <f>'Table 8 2.1.12 MFP Funded'!N60</f>
        <v>0</v>
      </c>
      <c r="D63" s="1037">
        <f>'Table 3 Levels 1&amp;2'!AL64</f>
        <v>4389.3863180380931</v>
      </c>
      <c r="E63" s="1139">
        <f t="shared" si="28"/>
        <v>0</v>
      </c>
      <c r="F63" s="1139">
        <f t="shared" si="17"/>
        <v>0</v>
      </c>
      <c r="G63" s="1094">
        <f t="shared" si="29"/>
        <v>0</v>
      </c>
      <c r="H63" s="1149">
        <f t="shared" si="18"/>
        <v>0</v>
      </c>
      <c r="I63" s="1094">
        <f t="shared" si="19"/>
        <v>0</v>
      </c>
      <c r="J63" s="1094"/>
      <c r="K63" s="1094">
        <f t="shared" si="20"/>
        <v>0</v>
      </c>
      <c r="L63" s="1094">
        <f t="shared" si="21"/>
        <v>0</v>
      </c>
      <c r="M63" s="1086">
        <f>'[8]FY2012-13 Initial'!$K64</f>
        <v>3053</v>
      </c>
      <c r="N63" s="1088">
        <f t="shared" si="30"/>
        <v>0</v>
      </c>
      <c r="O63" s="1155">
        <f t="shared" si="22"/>
        <v>0</v>
      </c>
      <c r="P63" s="1088">
        <f t="shared" si="23"/>
        <v>0</v>
      </c>
      <c r="Q63" s="1088"/>
      <c r="R63" s="1088">
        <f t="shared" si="24"/>
        <v>0</v>
      </c>
      <c r="S63" s="1088">
        <f t="shared" si="25"/>
        <v>0</v>
      </c>
      <c r="T63" s="1089">
        <f t="shared" si="26"/>
        <v>0</v>
      </c>
      <c r="U63" s="1089">
        <f t="shared" si="27"/>
        <v>0</v>
      </c>
    </row>
    <row r="64" spans="1:21">
      <c r="A64" s="1028">
        <v>58</v>
      </c>
      <c r="B64" s="1029" t="s">
        <v>158</v>
      </c>
      <c r="C64" s="1036">
        <f>'Table 8 2.1.12 MFP Funded'!N61</f>
        <v>0</v>
      </c>
      <c r="D64" s="1037">
        <f>'Table 3 Levels 1&amp;2'!AL65</f>
        <v>5325.8881107130073</v>
      </c>
      <c r="E64" s="1139">
        <f t="shared" si="28"/>
        <v>0</v>
      </c>
      <c r="F64" s="1139">
        <f t="shared" si="17"/>
        <v>0</v>
      </c>
      <c r="G64" s="1094">
        <f t="shared" si="29"/>
        <v>0</v>
      </c>
      <c r="H64" s="1149">
        <f t="shared" si="18"/>
        <v>0</v>
      </c>
      <c r="I64" s="1094">
        <f t="shared" si="19"/>
        <v>0</v>
      </c>
      <c r="J64" s="1094"/>
      <c r="K64" s="1094">
        <f t="shared" si="20"/>
        <v>0</v>
      </c>
      <c r="L64" s="1094">
        <f t="shared" si="21"/>
        <v>0</v>
      </c>
      <c r="M64" s="1086">
        <f>'[8]FY2012-13 Initial'!$K65</f>
        <v>1917</v>
      </c>
      <c r="N64" s="1088">
        <f t="shared" si="30"/>
        <v>0</v>
      </c>
      <c r="O64" s="1155">
        <f t="shared" si="22"/>
        <v>0</v>
      </c>
      <c r="P64" s="1088">
        <f t="shared" si="23"/>
        <v>0</v>
      </c>
      <c r="Q64" s="1088"/>
      <c r="R64" s="1088">
        <f t="shared" si="24"/>
        <v>0</v>
      </c>
      <c r="S64" s="1088">
        <f t="shared" si="25"/>
        <v>0</v>
      </c>
      <c r="T64" s="1089">
        <f t="shared" si="26"/>
        <v>0</v>
      </c>
      <c r="U64" s="1089">
        <f t="shared" si="27"/>
        <v>0</v>
      </c>
    </row>
    <row r="65" spans="1:21">
      <c r="A65" s="1028">
        <v>59</v>
      </c>
      <c r="B65" s="1029" t="s">
        <v>159</v>
      </c>
      <c r="C65" s="1036">
        <f>'Table 8 2.1.12 MFP Funded'!N62</f>
        <v>0</v>
      </c>
      <c r="D65" s="1037">
        <f>'Table 3 Levels 1&amp;2'!AL66</f>
        <v>6328.4963620482158</v>
      </c>
      <c r="E65" s="1139">
        <f t="shared" si="28"/>
        <v>0</v>
      </c>
      <c r="F65" s="1139">
        <f t="shared" si="17"/>
        <v>0</v>
      </c>
      <c r="G65" s="1094">
        <f t="shared" si="29"/>
        <v>0</v>
      </c>
      <c r="H65" s="1149">
        <f t="shared" si="18"/>
        <v>0</v>
      </c>
      <c r="I65" s="1094">
        <f t="shared" si="19"/>
        <v>0</v>
      </c>
      <c r="J65" s="1094"/>
      <c r="K65" s="1094">
        <f t="shared" si="20"/>
        <v>0</v>
      </c>
      <c r="L65" s="1094">
        <f t="shared" si="21"/>
        <v>0</v>
      </c>
      <c r="M65" s="1086">
        <f>'[8]FY2012-13 Initial'!$K66</f>
        <v>1553</v>
      </c>
      <c r="N65" s="1088">
        <f t="shared" si="30"/>
        <v>0</v>
      </c>
      <c r="O65" s="1155">
        <f t="shared" si="22"/>
        <v>0</v>
      </c>
      <c r="P65" s="1088">
        <f t="shared" si="23"/>
        <v>0</v>
      </c>
      <c r="Q65" s="1088"/>
      <c r="R65" s="1088">
        <f t="shared" si="24"/>
        <v>0</v>
      </c>
      <c r="S65" s="1088">
        <f t="shared" si="25"/>
        <v>0</v>
      </c>
      <c r="T65" s="1089">
        <f t="shared" si="26"/>
        <v>0</v>
      </c>
      <c r="U65" s="1089">
        <f t="shared" si="27"/>
        <v>0</v>
      </c>
    </row>
    <row r="66" spans="1:21">
      <c r="A66" s="1032">
        <v>60</v>
      </c>
      <c r="B66" s="1033" t="s">
        <v>160</v>
      </c>
      <c r="C66" s="1038">
        <f>'Table 8 2.1.12 MFP Funded'!N63</f>
        <v>0</v>
      </c>
      <c r="D66" s="1039">
        <f>'Table 3 Levels 1&amp;2'!AL67</f>
        <v>4825.1723230627122</v>
      </c>
      <c r="E66" s="1140">
        <f t="shared" si="28"/>
        <v>0</v>
      </c>
      <c r="F66" s="1140">
        <f t="shared" si="17"/>
        <v>0</v>
      </c>
      <c r="G66" s="1095">
        <f t="shared" si="29"/>
        <v>0</v>
      </c>
      <c r="H66" s="1150">
        <f t="shared" si="18"/>
        <v>0</v>
      </c>
      <c r="I66" s="1095">
        <f t="shared" si="19"/>
        <v>0</v>
      </c>
      <c r="J66" s="1095"/>
      <c r="K66" s="1095">
        <f t="shared" si="20"/>
        <v>0</v>
      </c>
      <c r="L66" s="1095">
        <f t="shared" si="21"/>
        <v>0</v>
      </c>
      <c r="M66" s="1091">
        <f>'[8]FY2012-13 Initial'!$K67</f>
        <v>3798</v>
      </c>
      <c r="N66" s="1092">
        <f t="shared" si="30"/>
        <v>0</v>
      </c>
      <c r="O66" s="1156">
        <f t="shared" si="22"/>
        <v>0</v>
      </c>
      <c r="P66" s="1092">
        <f t="shared" si="23"/>
        <v>0</v>
      </c>
      <c r="Q66" s="1092"/>
      <c r="R66" s="1092">
        <f t="shared" si="24"/>
        <v>0</v>
      </c>
      <c r="S66" s="1092">
        <f t="shared" si="25"/>
        <v>0</v>
      </c>
      <c r="T66" s="1093">
        <f t="shared" si="26"/>
        <v>0</v>
      </c>
      <c r="U66" s="1093">
        <f t="shared" si="27"/>
        <v>0</v>
      </c>
    </row>
    <row r="67" spans="1:21">
      <c r="A67" s="1021">
        <v>61</v>
      </c>
      <c r="B67" s="1022" t="s">
        <v>161</v>
      </c>
      <c r="C67" s="1040">
        <f>'Table 8 2.1.12 MFP Funded'!N64</f>
        <v>0</v>
      </c>
      <c r="D67" s="1041">
        <f>'Table 3 Levels 1&amp;2'!AL68</f>
        <v>3063.3110364585282</v>
      </c>
      <c r="E67" s="1141">
        <f t="shared" si="28"/>
        <v>0</v>
      </c>
      <c r="F67" s="1141">
        <f t="shared" si="17"/>
        <v>0</v>
      </c>
      <c r="G67" s="1096">
        <f t="shared" si="29"/>
        <v>0</v>
      </c>
      <c r="H67" s="1151">
        <f t="shared" si="18"/>
        <v>0</v>
      </c>
      <c r="I67" s="1096">
        <f t="shared" si="19"/>
        <v>0</v>
      </c>
      <c r="J67" s="1096"/>
      <c r="K67" s="1096">
        <f t="shared" si="20"/>
        <v>0</v>
      </c>
      <c r="L67" s="1096">
        <f t="shared" si="21"/>
        <v>0</v>
      </c>
      <c r="M67" s="1086">
        <f>'[8]FY2012-13 Initial'!$K68</f>
        <v>6727</v>
      </c>
      <c r="N67" s="1026">
        <f t="shared" si="30"/>
        <v>0</v>
      </c>
      <c r="O67" s="1154">
        <f t="shared" si="22"/>
        <v>0</v>
      </c>
      <c r="P67" s="1026">
        <f t="shared" si="23"/>
        <v>0</v>
      </c>
      <c r="Q67" s="1026"/>
      <c r="R67" s="1026">
        <f t="shared" si="24"/>
        <v>0</v>
      </c>
      <c r="S67" s="1026">
        <f t="shared" si="25"/>
        <v>0</v>
      </c>
      <c r="T67" s="1027">
        <f t="shared" si="26"/>
        <v>0</v>
      </c>
      <c r="U67" s="1027">
        <f t="shared" si="27"/>
        <v>0</v>
      </c>
    </row>
    <row r="68" spans="1:21">
      <c r="A68" s="1028">
        <v>62</v>
      </c>
      <c r="B68" s="1029" t="s">
        <v>162</v>
      </c>
      <c r="C68" s="1036">
        <f>'Table 8 2.1.12 MFP Funded'!N65</f>
        <v>0</v>
      </c>
      <c r="D68" s="1037">
        <f>'Table 3 Levels 1&amp;2'!AL69</f>
        <v>5564.645485869667</v>
      </c>
      <c r="E68" s="1139">
        <f t="shared" si="28"/>
        <v>0</v>
      </c>
      <c r="F68" s="1139">
        <f t="shared" si="17"/>
        <v>0</v>
      </c>
      <c r="G68" s="1094">
        <f t="shared" si="29"/>
        <v>0</v>
      </c>
      <c r="H68" s="1149">
        <f t="shared" si="18"/>
        <v>0</v>
      </c>
      <c r="I68" s="1094">
        <f t="shared" si="19"/>
        <v>0</v>
      </c>
      <c r="J68" s="1094"/>
      <c r="K68" s="1094">
        <f t="shared" si="20"/>
        <v>0</v>
      </c>
      <c r="L68" s="1094">
        <f t="shared" si="21"/>
        <v>0</v>
      </c>
      <c r="M68" s="1086">
        <f>'[8]FY2012-13 Initial'!$K69</f>
        <v>1678</v>
      </c>
      <c r="N68" s="1088">
        <f t="shared" si="30"/>
        <v>0</v>
      </c>
      <c r="O68" s="1155">
        <f t="shared" si="22"/>
        <v>0</v>
      </c>
      <c r="P68" s="1088">
        <f t="shared" si="23"/>
        <v>0</v>
      </c>
      <c r="Q68" s="1088"/>
      <c r="R68" s="1088">
        <f t="shared" si="24"/>
        <v>0</v>
      </c>
      <c r="S68" s="1088">
        <f t="shared" si="25"/>
        <v>0</v>
      </c>
      <c r="T68" s="1089">
        <f t="shared" si="26"/>
        <v>0</v>
      </c>
      <c r="U68" s="1089">
        <f t="shared" si="27"/>
        <v>0</v>
      </c>
    </row>
    <row r="69" spans="1:21">
      <c r="A69" s="1028">
        <v>63</v>
      </c>
      <c r="B69" s="1029" t="s">
        <v>163</v>
      </c>
      <c r="C69" s="1036">
        <f>'Table 8 2.1.12 MFP Funded'!N66</f>
        <v>0</v>
      </c>
      <c r="D69" s="1037">
        <f>'Table 3 Levels 1&amp;2'!AL70</f>
        <v>4414.1775336636538</v>
      </c>
      <c r="E69" s="1139">
        <f t="shared" si="28"/>
        <v>0</v>
      </c>
      <c r="F69" s="1139">
        <f t="shared" si="17"/>
        <v>0</v>
      </c>
      <c r="G69" s="1094">
        <f t="shared" si="29"/>
        <v>0</v>
      </c>
      <c r="H69" s="1149">
        <f t="shared" si="18"/>
        <v>0</v>
      </c>
      <c r="I69" s="1094">
        <f t="shared" si="19"/>
        <v>0</v>
      </c>
      <c r="J69" s="1094"/>
      <c r="K69" s="1094">
        <f t="shared" si="20"/>
        <v>0</v>
      </c>
      <c r="L69" s="1094">
        <f t="shared" si="21"/>
        <v>0</v>
      </c>
      <c r="M69" s="1086">
        <f>'[8]FY2012-13 Initial'!$K70</f>
        <v>6524</v>
      </c>
      <c r="N69" s="1088">
        <f t="shared" si="30"/>
        <v>0</v>
      </c>
      <c r="O69" s="1155">
        <f t="shared" si="22"/>
        <v>0</v>
      </c>
      <c r="P69" s="1088">
        <f t="shared" si="23"/>
        <v>0</v>
      </c>
      <c r="Q69" s="1088"/>
      <c r="R69" s="1088">
        <f t="shared" si="24"/>
        <v>0</v>
      </c>
      <c r="S69" s="1088">
        <f t="shared" si="25"/>
        <v>0</v>
      </c>
      <c r="T69" s="1089">
        <f t="shared" si="26"/>
        <v>0</v>
      </c>
      <c r="U69" s="1089">
        <f t="shared" si="27"/>
        <v>0</v>
      </c>
    </row>
    <row r="70" spans="1:21">
      <c r="A70" s="1028">
        <v>64</v>
      </c>
      <c r="B70" s="1029" t="s">
        <v>164</v>
      </c>
      <c r="C70" s="1036">
        <f>'Table 8 2.1.12 MFP Funded'!N67</f>
        <v>0</v>
      </c>
      <c r="D70" s="1037">
        <f>'Table 3 Levels 1&amp;2'!AL71</f>
        <v>5871.0485811924027</v>
      </c>
      <c r="E70" s="1139">
        <f t="shared" si="28"/>
        <v>0</v>
      </c>
      <c r="F70" s="1139">
        <f t="shared" si="17"/>
        <v>0</v>
      </c>
      <c r="G70" s="1094">
        <f t="shared" si="29"/>
        <v>0</v>
      </c>
      <c r="H70" s="1149">
        <f t="shared" si="18"/>
        <v>0</v>
      </c>
      <c r="I70" s="1094">
        <f t="shared" si="19"/>
        <v>0</v>
      </c>
      <c r="J70" s="1094"/>
      <c r="K70" s="1094">
        <f t="shared" si="20"/>
        <v>0</v>
      </c>
      <c r="L70" s="1094">
        <f t="shared" si="21"/>
        <v>0</v>
      </c>
      <c r="M70" s="1086">
        <f>'[8]FY2012-13 Initial'!$K71</f>
        <v>2658</v>
      </c>
      <c r="N70" s="1088">
        <f t="shared" si="30"/>
        <v>0</v>
      </c>
      <c r="O70" s="1155">
        <f t="shared" si="22"/>
        <v>0</v>
      </c>
      <c r="P70" s="1088">
        <f t="shared" si="23"/>
        <v>0</v>
      </c>
      <c r="Q70" s="1088"/>
      <c r="R70" s="1088">
        <f t="shared" si="24"/>
        <v>0</v>
      </c>
      <c r="S70" s="1088">
        <f t="shared" si="25"/>
        <v>0</v>
      </c>
      <c r="T70" s="1089">
        <f t="shared" si="26"/>
        <v>0</v>
      </c>
      <c r="U70" s="1089">
        <f t="shared" si="27"/>
        <v>0</v>
      </c>
    </row>
    <row r="71" spans="1:21">
      <c r="A71" s="1032">
        <v>65</v>
      </c>
      <c r="B71" s="1033" t="s">
        <v>165</v>
      </c>
      <c r="C71" s="1038">
        <f>'Table 8 2.1.12 MFP Funded'!N68</f>
        <v>0</v>
      </c>
      <c r="D71" s="1039">
        <f>'Table 3 Levels 1&amp;2'!AL72</f>
        <v>4602.2046951319899</v>
      </c>
      <c r="E71" s="1140">
        <f t="shared" ref="E71:E75" si="31">D71*C71</f>
        <v>0</v>
      </c>
      <c r="F71" s="1140">
        <f t="shared" si="17"/>
        <v>0</v>
      </c>
      <c r="G71" s="1095">
        <f t="shared" ref="G71:G75" si="32">E71+F71</f>
        <v>0</v>
      </c>
      <c r="H71" s="1150">
        <f t="shared" si="18"/>
        <v>0</v>
      </c>
      <c r="I71" s="1095">
        <f t="shared" si="19"/>
        <v>0</v>
      </c>
      <c r="J71" s="1095"/>
      <c r="K71" s="1095">
        <f t="shared" si="20"/>
        <v>0</v>
      </c>
      <c r="L71" s="1095">
        <f t="shared" si="21"/>
        <v>0</v>
      </c>
      <c r="M71" s="1091">
        <f>'[8]FY2012-13 Initial'!$K72</f>
        <v>4631</v>
      </c>
      <c r="N71" s="1092">
        <f t="shared" ref="N71:N75" si="33">M71*C71</f>
        <v>0</v>
      </c>
      <c r="O71" s="1156">
        <f t="shared" si="22"/>
        <v>0</v>
      </c>
      <c r="P71" s="1092">
        <f t="shared" si="23"/>
        <v>0</v>
      </c>
      <c r="Q71" s="1092"/>
      <c r="R71" s="1092">
        <f t="shared" si="24"/>
        <v>0</v>
      </c>
      <c r="S71" s="1092">
        <f t="shared" si="25"/>
        <v>0</v>
      </c>
      <c r="T71" s="1093">
        <f t="shared" si="26"/>
        <v>0</v>
      </c>
      <c r="U71" s="1093">
        <f t="shared" ref="U71:U75" si="34">L71+S71</f>
        <v>0</v>
      </c>
    </row>
    <row r="72" spans="1:21">
      <c r="A72" s="1021">
        <v>66</v>
      </c>
      <c r="B72" s="1022" t="s">
        <v>166</v>
      </c>
      <c r="C72" s="1040">
        <f>'Table 8 2.1.12 MFP Funded'!N69</f>
        <v>0</v>
      </c>
      <c r="D72" s="1041">
        <f>'Table 3 Levels 1&amp;2'!AL73</f>
        <v>6243.8912249150071</v>
      </c>
      <c r="E72" s="1141">
        <f t="shared" si="31"/>
        <v>0</v>
      </c>
      <c r="F72" s="1141">
        <f t="shared" ref="F72:F75" si="35">C72*$F$4</f>
        <v>0</v>
      </c>
      <c r="G72" s="1096">
        <f t="shared" si="32"/>
        <v>0</v>
      </c>
      <c r="H72" s="1151">
        <f t="shared" ref="H72:H75" si="36">-G72*$H$4</f>
        <v>0</v>
      </c>
      <c r="I72" s="1096">
        <f t="shared" ref="I72:I75" si="37">SUM(G72:H72)</f>
        <v>0</v>
      </c>
      <c r="J72" s="1096"/>
      <c r="K72" s="1096">
        <f t="shared" ref="K72:K75" si="38">SUM(I72:J72)</f>
        <v>0</v>
      </c>
      <c r="L72" s="1096">
        <f t="shared" ref="L72:L75" si="39">ROUND(K72/12,0)</f>
        <v>0</v>
      </c>
      <c r="M72" s="1086">
        <f>'[8]FY2012-13 Initial'!$K73</f>
        <v>3443</v>
      </c>
      <c r="N72" s="1026">
        <f t="shared" si="33"/>
        <v>0</v>
      </c>
      <c r="O72" s="1154">
        <f t="shared" ref="O72:O75" si="40">-N72*$O$4</f>
        <v>0</v>
      </c>
      <c r="P72" s="1026">
        <f t="shared" ref="P72:P75" si="41">SUM(N72:O72)</f>
        <v>0</v>
      </c>
      <c r="Q72" s="1026"/>
      <c r="R72" s="1026">
        <f t="shared" ref="R72:R75" si="42">SUM(P72:Q72)</f>
        <v>0</v>
      </c>
      <c r="S72" s="1026">
        <f t="shared" ref="S72:S75" si="43">ROUND(R72/12,0)</f>
        <v>0</v>
      </c>
      <c r="T72" s="1027">
        <f t="shared" ref="T72:T75" si="44">K72+R72</f>
        <v>0</v>
      </c>
      <c r="U72" s="1027">
        <f t="shared" si="34"/>
        <v>0</v>
      </c>
    </row>
    <row r="73" spans="1:21">
      <c r="A73" s="1028">
        <v>67</v>
      </c>
      <c r="B73" s="1029" t="s">
        <v>33</v>
      </c>
      <c r="C73" s="1036">
        <f>'Table 8 2.1.12 MFP Funded'!N70</f>
        <v>0</v>
      </c>
      <c r="D73" s="1037">
        <f>'Table 3 Levels 1&amp;2'!AL74</f>
        <v>5049.6489898847567</v>
      </c>
      <c r="E73" s="1139">
        <f t="shared" si="31"/>
        <v>0</v>
      </c>
      <c r="F73" s="1139">
        <f t="shared" si="35"/>
        <v>0</v>
      </c>
      <c r="G73" s="1094">
        <f t="shared" si="32"/>
        <v>0</v>
      </c>
      <c r="H73" s="1149">
        <f t="shared" si="36"/>
        <v>0</v>
      </c>
      <c r="I73" s="1094">
        <f t="shared" si="37"/>
        <v>0</v>
      </c>
      <c r="J73" s="1094"/>
      <c r="K73" s="1094">
        <f t="shared" si="38"/>
        <v>0</v>
      </c>
      <c r="L73" s="1094">
        <f t="shared" si="39"/>
        <v>0</v>
      </c>
      <c r="M73" s="1086">
        <f>'[8]FY2012-13 Initial'!$K74</f>
        <v>4502</v>
      </c>
      <c r="N73" s="1088">
        <f t="shared" si="33"/>
        <v>0</v>
      </c>
      <c r="O73" s="1155">
        <f t="shared" si="40"/>
        <v>0</v>
      </c>
      <c r="P73" s="1088">
        <f t="shared" si="41"/>
        <v>0</v>
      </c>
      <c r="Q73" s="1088"/>
      <c r="R73" s="1088">
        <f t="shared" si="42"/>
        <v>0</v>
      </c>
      <c r="S73" s="1088">
        <f t="shared" si="43"/>
        <v>0</v>
      </c>
      <c r="T73" s="1089">
        <f t="shared" si="44"/>
        <v>0</v>
      </c>
      <c r="U73" s="1089">
        <f t="shared" si="34"/>
        <v>0</v>
      </c>
    </row>
    <row r="74" spans="1:21">
      <c r="A74" s="1028">
        <v>68</v>
      </c>
      <c r="B74" s="1029" t="s">
        <v>31</v>
      </c>
      <c r="C74" s="1036">
        <f>'Table 8 2.1.12 MFP Funded'!N71</f>
        <v>0</v>
      </c>
      <c r="D74" s="1037">
        <f>'Table 3 Levels 1&amp;2'!AL75</f>
        <v>5861.7500805575619</v>
      </c>
      <c r="E74" s="1139">
        <f t="shared" si="31"/>
        <v>0</v>
      </c>
      <c r="F74" s="1139">
        <f t="shared" si="35"/>
        <v>0</v>
      </c>
      <c r="G74" s="1094">
        <f t="shared" si="32"/>
        <v>0</v>
      </c>
      <c r="H74" s="1149">
        <f t="shared" si="36"/>
        <v>0</v>
      </c>
      <c r="I74" s="1094">
        <f t="shared" si="37"/>
        <v>0</v>
      </c>
      <c r="J74" s="1094"/>
      <c r="K74" s="1094">
        <f t="shared" si="38"/>
        <v>0</v>
      </c>
      <c r="L74" s="1094">
        <f t="shared" si="39"/>
        <v>0</v>
      </c>
      <c r="M74" s="1086">
        <f>'[8]FY2012-13 Initial'!$K75</f>
        <v>2587</v>
      </c>
      <c r="N74" s="1088">
        <f t="shared" si="33"/>
        <v>0</v>
      </c>
      <c r="O74" s="1155">
        <f t="shared" si="40"/>
        <v>0</v>
      </c>
      <c r="P74" s="1088">
        <f t="shared" si="41"/>
        <v>0</v>
      </c>
      <c r="Q74" s="1088"/>
      <c r="R74" s="1088">
        <f t="shared" si="42"/>
        <v>0</v>
      </c>
      <c r="S74" s="1088">
        <f t="shared" si="43"/>
        <v>0</v>
      </c>
      <c r="T74" s="1089">
        <f t="shared" si="44"/>
        <v>0</v>
      </c>
      <c r="U74" s="1089">
        <f t="shared" si="34"/>
        <v>0</v>
      </c>
    </row>
    <row r="75" spans="1:21">
      <c r="A75" s="1042">
        <v>69</v>
      </c>
      <c r="B75" s="1043" t="s">
        <v>235</v>
      </c>
      <c r="C75" s="1044">
        <f>'Table 8 2.1.12 MFP Funded'!N72</f>
        <v>0</v>
      </c>
      <c r="D75" s="1045">
        <f>'Table 3 Levels 1&amp;2'!AL76</f>
        <v>5508.3397285189958</v>
      </c>
      <c r="E75" s="1142">
        <f t="shared" si="31"/>
        <v>0</v>
      </c>
      <c r="F75" s="1142">
        <f t="shared" si="35"/>
        <v>0</v>
      </c>
      <c r="G75" s="1097">
        <f t="shared" si="32"/>
        <v>0</v>
      </c>
      <c r="H75" s="1152">
        <f t="shared" si="36"/>
        <v>0</v>
      </c>
      <c r="I75" s="1097">
        <f t="shared" si="37"/>
        <v>0</v>
      </c>
      <c r="J75" s="1097"/>
      <c r="K75" s="1097">
        <f t="shared" si="38"/>
        <v>0</v>
      </c>
      <c r="L75" s="1097">
        <f t="shared" si="39"/>
        <v>0</v>
      </c>
      <c r="M75" s="1086">
        <f>'[8]FY2012-13 Initial'!$K76</f>
        <v>3233</v>
      </c>
      <c r="N75" s="1098">
        <f t="shared" si="33"/>
        <v>0</v>
      </c>
      <c r="O75" s="1157">
        <f t="shared" si="40"/>
        <v>0</v>
      </c>
      <c r="P75" s="1098">
        <f t="shared" si="41"/>
        <v>0</v>
      </c>
      <c r="Q75" s="1098"/>
      <c r="R75" s="1098">
        <f t="shared" si="42"/>
        <v>0</v>
      </c>
      <c r="S75" s="1098">
        <f t="shared" si="43"/>
        <v>0</v>
      </c>
      <c r="T75" s="1099">
        <f t="shared" si="44"/>
        <v>0</v>
      </c>
      <c r="U75" s="1099">
        <f t="shared" si="34"/>
        <v>0</v>
      </c>
    </row>
    <row r="76" spans="1:21" s="1053" customFormat="1" ht="13.5" thickBot="1">
      <c r="A76" s="1046"/>
      <c r="B76" s="1047" t="s">
        <v>167</v>
      </c>
      <c r="C76" s="1048">
        <f>SUM(C7:C75)</f>
        <v>681</v>
      </c>
      <c r="D76" s="1049">
        <f>'Table 3 Levels 1&amp;2'!AL77</f>
        <v>4325.8670725247357</v>
      </c>
      <c r="E76" s="1143">
        <f>SUM(E7:E75)</f>
        <v>3271057.9838600587</v>
      </c>
      <c r="F76" s="1143">
        <f>SUM(F7:F75)</f>
        <v>365100.53623690287</v>
      </c>
      <c r="G76" s="1050">
        <f>SUM(G7:G75)</f>
        <v>3636158.5200969614</v>
      </c>
      <c r="H76" s="1153">
        <f t="shared" ref="H76:J76" si="45">SUM(H7:H75)</f>
        <v>-9090.3963002424043</v>
      </c>
      <c r="I76" s="1050">
        <f t="shared" si="45"/>
        <v>3627068.1237967196</v>
      </c>
      <c r="J76" s="1050">
        <f t="shared" si="45"/>
        <v>0</v>
      </c>
      <c r="K76" s="1050">
        <f>SUM(K7:K75)</f>
        <v>3627068.1237967196</v>
      </c>
      <c r="L76" s="1050">
        <f>SUM(L7:L75)</f>
        <v>302256</v>
      </c>
      <c r="M76" s="1100"/>
      <c r="N76" s="1051">
        <f>SUM(N7:N75)</f>
        <v>798198</v>
      </c>
      <c r="O76" s="1158">
        <f t="shared" ref="O76" si="46">SUM(O7:O75)</f>
        <v>-1995.4949999999999</v>
      </c>
      <c r="P76" s="1051">
        <f t="shared" ref="P76:U76" si="47">SUM(P7:P75)</f>
        <v>796202.505</v>
      </c>
      <c r="Q76" s="1051">
        <f t="shared" si="47"/>
        <v>0</v>
      </c>
      <c r="R76" s="1051">
        <f t="shared" si="47"/>
        <v>796202.505</v>
      </c>
      <c r="S76" s="1051">
        <f t="shared" si="47"/>
        <v>66350</v>
      </c>
      <c r="T76" s="1052">
        <f t="shared" si="47"/>
        <v>4423270.6287967199</v>
      </c>
      <c r="U76" s="1052">
        <f t="shared" si="47"/>
        <v>368606</v>
      </c>
    </row>
    <row r="77" spans="1:21" s="1053" customFormat="1" ht="13.5" thickTop="1">
      <c r="A77" s="1054"/>
      <c r="B77" s="1054"/>
      <c r="C77" s="1055"/>
      <c r="D77" s="1055"/>
      <c r="M77" s="1057"/>
      <c r="N77" s="1057"/>
      <c r="O77" s="1057"/>
      <c r="P77" s="1057"/>
      <c r="Q77" s="1057"/>
      <c r="R77" s="1057"/>
      <c r="S77" s="1057"/>
    </row>
    <row r="78" spans="1:21" ht="12.75" customHeight="1">
      <c r="A78" s="1059"/>
      <c r="C78" s="1060"/>
    </row>
    <row r="79" spans="1:21" ht="12.75" hidden="1" customHeight="1"/>
    <row r="80" spans="1:21" hidden="1"/>
    <row r="81" spans="3:12" hidden="1"/>
    <row r="82" spans="3:12" hidden="1"/>
    <row r="83" spans="3:12" hidden="1">
      <c r="E83" s="1061" t="s">
        <v>581</v>
      </c>
      <c r="F83" s="1061"/>
      <c r="G83" s="1061"/>
      <c r="H83" s="1061"/>
      <c r="I83" s="1061"/>
      <c r="J83" s="1061"/>
      <c r="K83" s="1061"/>
      <c r="L83" s="1061"/>
    </row>
    <row r="84" spans="3:12" ht="10.5" hidden="1" customHeight="1"/>
    <row r="85" spans="3:12" hidden="1"/>
    <row r="86" spans="3:12" hidden="1">
      <c r="C86" s="1063">
        <v>85661</v>
      </c>
      <c r="D86" s="1064" t="s">
        <v>582</v>
      </c>
    </row>
    <row r="87" spans="3:12" hidden="1">
      <c r="C87" s="1063">
        <v>650290</v>
      </c>
      <c r="D87" s="1064" t="s">
        <v>583</v>
      </c>
    </row>
    <row r="88" spans="3:12" hidden="1">
      <c r="C88" s="1065">
        <f>C86/C87</f>
        <v>0.13172738316750987</v>
      </c>
      <c r="D88" s="1064" t="s">
        <v>584</v>
      </c>
    </row>
    <row r="89" spans="3:12" hidden="1">
      <c r="C89" s="1063"/>
      <c r="D89" s="1064"/>
    </row>
    <row r="90" spans="3:12" hidden="1">
      <c r="C90" s="1063">
        <v>128510</v>
      </c>
      <c r="D90" s="1064" t="s">
        <v>585</v>
      </c>
    </row>
    <row r="91" spans="3:12" hidden="1">
      <c r="C91" s="1063">
        <v>911320</v>
      </c>
      <c r="D91" s="1064" t="s">
        <v>586</v>
      </c>
    </row>
    <row r="92" spans="3:12" hidden="1">
      <c r="C92" s="1065">
        <f>C90/C91</f>
        <v>0.14101523065443533</v>
      </c>
      <c r="D92" s="1064" t="s">
        <v>587</v>
      </c>
    </row>
    <row r="93" spans="3:12" hidden="1">
      <c r="C93" s="1063"/>
      <c r="D93" s="1064"/>
    </row>
    <row r="94" spans="3:12" hidden="1">
      <c r="C94" s="1066">
        <v>2663489616</v>
      </c>
      <c r="D94" s="1067" t="s">
        <v>588</v>
      </c>
    </row>
    <row r="95" spans="3:12" hidden="1">
      <c r="C95" s="1068">
        <f>C92</f>
        <v>0.14101523065443533</v>
      </c>
      <c r="D95" s="1067"/>
    </row>
    <row r="96" spans="3:12" hidden="1">
      <c r="C96" s="1069">
        <f>C94*C95</f>
        <v>375592602.54593337</v>
      </c>
      <c r="D96" s="1064" t="s">
        <v>589</v>
      </c>
    </row>
    <row r="97" spans="3:4" hidden="1">
      <c r="C97" s="1070">
        <f>50%/C92</f>
        <v>3.5457162866702978</v>
      </c>
      <c r="D97" s="1067" t="s">
        <v>590</v>
      </c>
    </row>
    <row r="98" spans="3:4" hidden="1">
      <c r="C98" s="1069">
        <f>C96*C97</f>
        <v>1331744808</v>
      </c>
      <c r="D98" s="1071" t="s">
        <v>591</v>
      </c>
    </row>
    <row r="99" spans="3:4" hidden="1">
      <c r="C99" s="1072">
        <f>C87</f>
        <v>650290</v>
      </c>
      <c r="D99" s="1067" t="s">
        <v>592</v>
      </c>
    </row>
    <row r="100" spans="3:4" hidden="1">
      <c r="C100" s="1069">
        <f>C98/C99</f>
        <v>2047.9244767719017</v>
      </c>
      <c r="D100" s="1067" t="s">
        <v>593</v>
      </c>
    </row>
    <row r="101" spans="3:4" hidden="1">
      <c r="C101" s="1073">
        <f>(C96/C99)*-1</f>
        <v>-577.57708490970697</v>
      </c>
      <c r="D101" s="1067" t="s">
        <v>594</v>
      </c>
    </row>
    <row r="102" spans="3:4" hidden="1">
      <c r="C102" s="1074">
        <f>SUM(C100:C101)</f>
        <v>1470.3473918621949</v>
      </c>
      <c r="D102" s="1067" t="s">
        <v>595</v>
      </c>
    </row>
    <row r="103" spans="3:4" hidden="1">
      <c r="C103" s="1074"/>
      <c r="D103" s="1067"/>
    </row>
    <row r="104" spans="3:4" hidden="1">
      <c r="C104" s="1074"/>
      <c r="D104" s="1067"/>
    </row>
    <row r="105" spans="3:4" hidden="1">
      <c r="D105" s="1067"/>
    </row>
    <row r="106" spans="3:4" hidden="1"/>
  </sheetData>
  <mergeCells count="18">
    <mergeCell ref="U2:U4"/>
    <mergeCell ref="C3:C4"/>
    <mergeCell ref="D3:D4"/>
    <mergeCell ref="E3:E4"/>
    <mergeCell ref="L3:L4"/>
    <mergeCell ref="M3:M4"/>
    <mergeCell ref="J3:J4"/>
    <mergeCell ref="K3:K4"/>
    <mergeCell ref="Q3:Q4"/>
    <mergeCell ref="R3:R4"/>
    <mergeCell ref="A2:B4"/>
    <mergeCell ref="C2:L2"/>
    <mergeCell ref="M2:S2"/>
    <mergeCell ref="T2:T4"/>
    <mergeCell ref="G3:G4"/>
    <mergeCell ref="N3:N4"/>
    <mergeCell ref="S3:S4"/>
    <mergeCell ref="I3:I4"/>
  </mergeCells>
  <printOptions horizontalCentered="1"/>
  <pageMargins left="0.27" right="0.25" top="0.87" bottom="0.2" header="0.25" footer="0.2"/>
  <pageSetup paperSize="5" scale="61" firstPageNumber="78" fitToWidth="3" orientation="portrait" useFirstPageNumber="1" r:id="rId1"/>
  <headerFooter alignWithMargins="0">
    <oddHeader xml:space="preserve">&amp;L&amp;"Arial,Bold"&amp;16Table 5D-4:  FY2012-13 MFP Budget Letter &amp;"Arial,Regular"&amp;10
&amp;"Arial,Bold"&amp;14Legacy Type 2 Charters &amp;R&amp;"Arial,Bold"&amp;12&amp;KFF0000
</oddHeader>
    <oddFooter>&amp;R&amp;P</oddFooter>
  </headerFooter>
  <colBreaks count="1" manualBreakCount="1">
    <brk id="12" min="1" max="77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106"/>
  <sheetViews>
    <sheetView view="pageBreakPreview" zoomScaleNormal="85" zoomScaleSheetLayoutView="10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85546875" style="1005" customWidth="1"/>
    <col min="2" max="2" width="23.7109375" style="1005" customWidth="1"/>
    <col min="3" max="3" width="11.85546875" style="1008" customWidth="1"/>
    <col min="4" max="4" width="15.28515625" style="1008" customWidth="1"/>
    <col min="5" max="5" width="11" style="1008" customWidth="1"/>
    <col min="6" max="6" width="12.5703125" style="1008" bestFit="1" customWidth="1"/>
    <col min="7" max="7" width="11.85546875" style="1008" customWidth="1"/>
    <col min="8" max="8" width="11" style="1008" customWidth="1"/>
    <col min="9" max="11" width="11.7109375" style="1008" customWidth="1"/>
    <col min="12" max="12" width="9.42578125" style="1008" bestFit="1" customWidth="1"/>
    <col min="13" max="13" width="17.7109375" style="1084" customWidth="1"/>
    <col min="14" max="14" width="13.7109375" style="1008" bestFit="1" customWidth="1"/>
    <col min="15" max="18" width="13.7109375" style="1008" customWidth="1"/>
    <col min="19" max="19" width="10.85546875" style="1008" bestFit="1" customWidth="1"/>
    <col min="20" max="21" width="12.5703125" style="1005" customWidth="1"/>
    <col min="22" max="16384" width="12.5703125" style="1005"/>
  </cols>
  <sheetData>
    <row r="1" spans="1:21" ht="9" customHeight="1">
      <c r="B1" s="1006"/>
      <c r="C1" s="1007"/>
      <c r="D1" s="1007"/>
    </row>
    <row r="2" spans="1:21" s="1010" customFormat="1" ht="37.5" customHeight="1">
      <c r="A2" s="1773" t="s">
        <v>775</v>
      </c>
      <c r="B2" s="1774"/>
      <c r="C2" s="1843" t="s">
        <v>759</v>
      </c>
      <c r="D2" s="1791"/>
      <c r="E2" s="1791"/>
      <c r="F2" s="1791"/>
      <c r="G2" s="1791"/>
      <c r="H2" s="1791"/>
      <c r="I2" s="1791"/>
      <c r="J2" s="1791"/>
      <c r="K2" s="1791"/>
      <c r="L2" s="1792"/>
      <c r="M2" s="1770" t="s">
        <v>772</v>
      </c>
      <c r="N2" s="1771"/>
      <c r="O2" s="1771"/>
      <c r="P2" s="1771"/>
      <c r="Q2" s="1771"/>
      <c r="R2" s="1771"/>
      <c r="S2" s="1772"/>
      <c r="T2" s="1764" t="s">
        <v>1425</v>
      </c>
      <c r="U2" s="1764" t="s">
        <v>1389</v>
      </c>
    </row>
    <row r="3" spans="1:21" ht="90" customHeight="1">
      <c r="A3" s="1775"/>
      <c r="B3" s="1776"/>
      <c r="C3" s="1779" t="s">
        <v>1192</v>
      </c>
      <c r="D3" s="1781" t="s">
        <v>819</v>
      </c>
      <c r="E3" s="1781" t="s">
        <v>1406</v>
      </c>
      <c r="F3" s="1011" t="s">
        <v>779</v>
      </c>
      <c r="G3" s="1779" t="s">
        <v>1407</v>
      </c>
      <c r="H3" s="1133" t="s">
        <v>813</v>
      </c>
      <c r="I3" s="1779" t="s">
        <v>1408</v>
      </c>
      <c r="J3" s="1779" t="s">
        <v>1197</v>
      </c>
      <c r="K3" s="1779" t="s">
        <v>1409</v>
      </c>
      <c r="L3" s="1781" t="s">
        <v>1410</v>
      </c>
      <c r="M3" s="1793" t="s">
        <v>1305</v>
      </c>
      <c r="N3" s="1795" t="s">
        <v>1411</v>
      </c>
      <c r="O3" s="1135" t="s">
        <v>815</v>
      </c>
      <c r="P3" s="1135" t="s">
        <v>818</v>
      </c>
      <c r="Q3" s="1795" t="s">
        <v>1197</v>
      </c>
      <c r="R3" s="1795" t="s">
        <v>1412</v>
      </c>
      <c r="S3" s="1795" t="s">
        <v>1413</v>
      </c>
      <c r="T3" s="1765"/>
      <c r="U3" s="1765"/>
    </row>
    <row r="4" spans="1:21" ht="30.75" customHeight="1">
      <c r="A4" s="1777"/>
      <c r="B4" s="1778"/>
      <c r="C4" s="1780"/>
      <c r="D4" s="1781"/>
      <c r="E4" s="1781"/>
      <c r="F4" s="1102">
        <v>527.02354414153262</v>
      </c>
      <c r="G4" s="1780"/>
      <c r="H4" s="1144">
        <v>2.5000000000000001E-3</v>
      </c>
      <c r="I4" s="1780"/>
      <c r="J4" s="1780"/>
      <c r="K4" s="1780"/>
      <c r="L4" s="1781"/>
      <c r="M4" s="1794"/>
      <c r="N4" s="1787"/>
      <c r="O4" s="1145">
        <v>2.5000000000000001E-3</v>
      </c>
      <c r="P4" s="1134"/>
      <c r="Q4" s="1787"/>
      <c r="R4" s="1787"/>
      <c r="S4" s="1787"/>
      <c r="T4" s="1766"/>
      <c r="U4" s="1766"/>
    </row>
    <row r="5" spans="1:21" s="1015" customFormat="1" ht="14.25" customHeight="1">
      <c r="A5" s="1012"/>
      <c r="B5" s="1013"/>
      <c r="C5" s="1014">
        <v>1</v>
      </c>
      <c r="D5" s="1014">
        <f t="shared" ref="D5:N5" si="0">C5+1</f>
        <v>2</v>
      </c>
      <c r="E5" s="1014">
        <f>D5+1</f>
        <v>3</v>
      </c>
      <c r="F5" s="1014">
        <f t="shared" ref="F5:G5" si="1">E5+1</f>
        <v>4</v>
      </c>
      <c r="G5" s="1014">
        <f t="shared" si="1"/>
        <v>5</v>
      </c>
      <c r="H5" s="1014">
        <f t="shared" ref="H5" si="2">G5+1</f>
        <v>6</v>
      </c>
      <c r="I5" s="1014">
        <f t="shared" ref="I5" si="3">H5+1</f>
        <v>7</v>
      </c>
      <c r="J5" s="1014">
        <f t="shared" ref="J5" si="4">I5+1</f>
        <v>8</v>
      </c>
      <c r="K5" s="1014">
        <f t="shared" ref="K5" si="5">J5+1</f>
        <v>9</v>
      </c>
      <c r="L5" s="1014">
        <f t="shared" ref="L5" si="6">K5+1</f>
        <v>10</v>
      </c>
      <c r="M5" s="1014">
        <f t="shared" si="0"/>
        <v>11</v>
      </c>
      <c r="N5" s="1014">
        <f t="shared" si="0"/>
        <v>12</v>
      </c>
      <c r="O5" s="1014">
        <f t="shared" ref="O5" si="7">N5+1</f>
        <v>13</v>
      </c>
      <c r="P5" s="1014">
        <f t="shared" ref="P5" si="8">O5+1</f>
        <v>14</v>
      </c>
      <c r="Q5" s="1014">
        <f t="shared" ref="Q5" si="9">P5+1</f>
        <v>15</v>
      </c>
      <c r="R5" s="1014">
        <f t="shared" ref="R5" si="10">Q5+1</f>
        <v>16</v>
      </c>
      <c r="S5" s="1014">
        <f t="shared" ref="S5" si="11">R5+1</f>
        <v>17</v>
      </c>
      <c r="T5" s="1014">
        <f t="shared" ref="T5" si="12">S5+1</f>
        <v>18</v>
      </c>
      <c r="U5" s="1014">
        <f t="shared" ref="U5" si="13">T5+1</f>
        <v>19</v>
      </c>
    </row>
    <row r="6" spans="1:21" s="1020" customFormat="1" ht="27" customHeight="1">
      <c r="A6" s="1016"/>
      <c r="B6" s="1017"/>
      <c r="C6" s="1018" t="s">
        <v>660</v>
      </c>
      <c r="D6" s="1019" t="s">
        <v>571</v>
      </c>
      <c r="E6" s="1018" t="s">
        <v>864</v>
      </c>
      <c r="F6" s="1019" t="s">
        <v>781</v>
      </c>
      <c r="G6" s="1018" t="s">
        <v>780</v>
      </c>
      <c r="H6" s="1018" t="s">
        <v>814</v>
      </c>
      <c r="I6" s="1018" t="s">
        <v>816</v>
      </c>
      <c r="J6" s="1018"/>
      <c r="K6" s="1018" t="s">
        <v>1217</v>
      </c>
      <c r="L6" s="1018" t="s">
        <v>869</v>
      </c>
      <c r="M6" s="1085" t="s">
        <v>571</v>
      </c>
      <c r="N6" s="1079" t="s">
        <v>870</v>
      </c>
      <c r="O6" s="1079" t="s">
        <v>1218</v>
      </c>
      <c r="P6" s="1079" t="s">
        <v>1215</v>
      </c>
      <c r="Q6" s="1019"/>
      <c r="R6" s="1079" t="s">
        <v>1216</v>
      </c>
      <c r="S6" s="1079" t="s">
        <v>872</v>
      </c>
      <c r="T6" s="1079" t="s">
        <v>873</v>
      </c>
      <c r="U6" s="1079" t="s">
        <v>874</v>
      </c>
    </row>
    <row r="7" spans="1:21">
      <c r="A7" s="1021">
        <v>1</v>
      </c>
      <c r="B7" s="1022" t="s">
        <v>102</v>
      </c>
      <c r="C7" s="1023">
        <f>'Table 8 2.1.12 MFP Funded'!O4</f>
        <v>0</v>
      </c>
      <c r="D7" s="1024">
        <f>'Table 3 Levels 1&amp;2'!AL8</f>
        <v>4621.8175818834352</v>
      </c>
      <c r="E7" s="1136">
        <f t="shared" ref="E7:E38" si="14">D7*C7</f>
        <v>0</v>
      </c>
      <c r="F7" s="1136">
        <f>C7*$F$4</f>
        <v>0</v>
      </c>
      <c r="G7" s="1025">
        <f t="shared" ref="G7:G38" si="15">E7+F7</f>
        <v>0</v>
      </c>
      <c r="H7" s="1146">
        <f>-G7*$H$4</f>
        <v>0</v>
      </c>
      <c r="I7" s="1025">
        <f>SUM(G7:H7)</f>
        <v>0</v>
      </c>
      <c r="J7" s="1025"/>
      <c r="K7" s="1025">
        <f>SUM(I7:J7)</f>
        <v>0</v>
      </c>
      <c r="L7" s="1025">
        <f>ROUND(K7/12,0)</f>
        <v>0</v>
      </c>
      <c r="M7" s="1086">
        <f>'[8]FY2012-13 Initial'!$K8</f>
        <v>2094</v>
      </c>
      <c r="N7" s="1026">
        <f t="shared" ref="N7:N38" si="16">M7*C7</f>
        <v>0</v>
      </c>
      <c r="O7" s="1154">
        <f>-N7*$O$4</f>
        <v>0</v>
      </c>
      <c r="P7" s="1026">
        <f>SUM(N7:O7)</f>
        <v>0</v>
      </c>
      <c r="Q7" s="1026"/>
      <c r="R7" s="1026">
        <f>SUM(P7:Q7)</f>
        <v>0</v>
      </c>
      <c r="S7" s="1026">
        <f>ROUND(R7/12,0)</f>
        <v>0</v>
      </c>
      <c r="T7" s="1027">
        <f>K7+R7</f>
        <v>0</v>
      </c>
      <c r="U7" s="1027">
        <f>L7+S7</f>
        <v>0</v>
      </c>
    </row>
    <row r="8" spans="1:21">
      <c r="A8" s="1028">
        <v>2</v>
      </c>
      <c r="B8" s="1029" t="s">
        <v>103</v>
      </c>
      <c r="C8" s="1030">
        <f>'Table 8 2.1.12 MFP Funded'!O5</f>
        <v>0</v>
      </c>
      <c r="D8" s="1031">
        <f>'Table 3 Levels 1&amp;2'!AL9</f>
        <v>6131.8351665660375</v>
      </c>
      <c r="E8" s="1137">
        <f t="shared" si="14"/>
        <v>0</v>
      </c>
      <c r="F8" s="1137">
        <f t="shared" ref="F8:F71" si="17">C8*$F$4</f>
        <v>0</v>
      </c>
      <c r="G8" s="1087">
        <f t="shared" si="15"/>
        <v>0</v>
      </c>
      <c r="H8" s="1147">
        <f t="shared" ref="H8:H71" si="18">-G8*$H$4</f>
        <v>0</v>
      </c>
      <c r="I8" s="1087">
        <f t="shared" ref="I8:I71" si="19">SUM(G8:H8)</f>
        <v>0</v>
      </c>
      <c r="J8" s="1087"/>
      <c r="K8" s="1087">
        <f t="shared" ref="K8:K71" si="20">SUM(I8:J8)</f>
        <v>0</v>
      </c>
      <c r="L8" s="1087">
        <f t="shared" ref="L8:L71" si="21">ROUND(K8/12,0)</f>
        <v>0</v>
      </c>
      <c r="M8" s="1086">
        <f>'[8]FY2012-13 Initial'!$K9</f>
        <v>2554</v>
      </c>
      <c r="N8" s="1088">
        <f t="shared" si="16"/>
        <v>0</v>
      </c>
      <c r="O8" s="1155">
        <f t="shared" ref="O8:O71" si="22">-N8*$O$4</f>
        <v>0</v>
      </c>
      <c r="P8" s="1088">
        <f t="shared" ref="P8:P71" si="23">SUM(N8:O8)</f>
        <v>0</v>
      </c>
      <c r="Q8" s="1088"/>
      <c r="R8" s="1088">
        <f t="shared" ref="R8:R71" si="24">SUM(P8:Q8)</f>
        <v>0</v>
      </c>
      <c r="S8" s="1088">
        <f t="shared" ref="S8:S71" si="25">ROUND(R8/12,0)</f>
        <v>0</v>
      </c>
      <c r="T8" s="1089">
        <f t="shared" ref="T8:T71" si="26">K8+R8</f>
        <v>0</v>
      </c>
      <c r="U8" s="1089">
        <f t="shared" ref="U8:U70" si="27">L8+S8</f>
        <v>0</v>
      </c>
    </row>
    <row r="9" spans="1:21" ht="12.75" customHeight="1">
      <c r="A9" s="1028">
        <v>3</v>
      </c>
      <c r="B9" s="1029" t="s">
        <v>104</v>
      </c>
      <c r="C9" s="1030">
        <f>'Table 8 2.1.12 MFP Funded'!O6</f>
        <v>0</v>
      </c>
      <c r="D9" s="1031">
        <f>'Table 3 Levels 1&amp;2'!AL10</f>
        <v>4326.5384352059973</v>
      </c>
      <c r="E9" s="1137">
        <f t="shared" si="14"/>
        <v>0</v>
      </c>
      <c r="F9" s="1137">
        <f t="shared" si="17"/>
        <v>0</v>
      </c>
      <c r="G9" s="1087">
        <f t="shared" si="15"/>
        <v>0</v>
      </c>
      <c r="H9" s="1147">
        <f t="shared" si="18"/>
        <v>0</v>
      </c>
      <c r="I9" s="1087">
        <f t="shared" si="19"/>
        <v>0</v>
      </c>
      <c r="J9" s="1087"/>
      <c r="K9" s="1087">
        <f t="shared" si="20"/>
        <v>0</v>
      </c>
      <c r="L9" s="1087">
        <f t="shared" si="21"/>
        <v>0</v>
      </c>
      <c r="M9" s="1086">
        <f>'[8]FY2012-13 Initial'!$K10</f>
        <v>4995</v>
      </c>
      <c r="N9" s="1088">
        <f t="shared" si="16"/>
        <v>0</v>
      </c>
      <c r="O9" s="1155">
        <f t="shared" si="22"/>
        <v>0</v>
      </c>
      <c r="P9" s="1088">
        <f t="shared" si="23"/>
        <v>0</v>
      </c>
      <c r="Q9" s="1088"/>
      <c r="R9" s="1088">
        <f t="shared" si="24"/>
        <v>0</v>
      </c>
      <c r="S9" s="1088">
        <f t="shared" si="25"/>
        <v>0</v>
      </c>
      <c r="T9" s="1089">
        <f t="shared" si="26"/>
        <v>0</v>
      </c>
      <c r="U9" s="1089">
        <f t="shared" si="27"/>
        <v>0</v>
      </c>
    </row>
    <row r="10" spans="1:21" ht="12.75" customHeight="1">
      <c r="A10" s="1028">
        <v>4</v>
      </c>
      <c r="B10" s="1029" t="s">
        <v>105</v>
      </c>
      <c r="C10" s="1030">
        <f>'Table 8 2.1.12 MFP Funded'!O7</f>
        <v>0</v>
      </c>
      <c r="D10" s="1031">
        <f>'Table 3 Levels 1&amp;2'!AL11</f>
        <v>6066.2659652331004</v>
      </c>
      <c r="E10" s="1137">
        <f t="shared" si="14"/>
        <v>0</v>
      </c>
      <c r="F10" s="1137">
        <f t="shared" si="17"/>
        <v>0</v>
      </c>
      <c r="G10" s="1087">
        <f t="shared" si="15"/>
        <v>0</v>
      </c>
      <c r="H10" s="1147">
        <f t="shared" si="18"/>
        <v>0</v>
      </c>
      <c r="I10" s="1087">
        <f t="shared" si="19"/>
        <v>0</v>
      </c>
      <c r="J10" s="1087"/>
      <c r="K10" s="1087">
        <f t="shared" si="20"/>
        <v>0</v>
      </c>
      <c r="L10" s="1087">
        <f t="shared" si="21"/>
        <v>0</v>
      </c>
      <c r="M10" s="1086">
        <f>'[8]FY2012-13 Initial'!$K11</f>
        <v>3361</v>
      </c>
      <c r="N10" s="1088">
        <f t="shared" si="16"/>
        <v>0</v>
      </c>
      <c r="O10" s="1155">
        <f t="shared" si="22"/>
        <v>0</v>
      </c>
      <c r="P10" s="1088">
        <f t="shared" si="23"/>
        <v>0</v>
      </c>
      <c r="Q10" s="1088"/>
      <c r="R10" s="1088">
        <f t="shared" si="24"/>
        <v>0</v>
      </c>
      <c r="S10" s="1088">
        <f t="shared" si="25"/>
        <v>0</v>
      </c>
      <c r="T10" s="1089">
        <f t="shared" si="26"/>
        <v>0</v>
      </c>
      <c r="U10" s="1089">
        <f t="shared" si="27"/>
        <v>0</v>
      </c>
    </row>
    <row r="11" spans="1:21">
      <c r="A11" s="1032">
        <v>5</v>
      </c>
      <c r="B11" s="1033" t="s">
        <v>106</v>
      </c>
      <c r="C11" s="1034">
        <f>'Table 8 2.1.12 MFP Funded'!O8</f>
        <v>0</v>
      </c>
      <c r="D11" s="1035">
        <f>'Table 3 Levels 1&amp;2'!AL12</f>
        <v>4806.2126132223084</v>
      </c>
      <c r="E11" s="1138">
        <f t="shared" si="14"/>
        <v>0</v>
      </c>
      <c r="F11" s="1138">
        <f t="shared" si="17"/>
        <v>0</v>
      </c>
      <c r="G11" s="1090">
        <f t="shared" si="15"/>
        <v>0</v>
      </c>
      <c r="H11" s="1148">
        <f t="shared" si="18"/>
        <v>0</v>
      </c>
      <c r="I11" s="1090">
        <f t="shared" si="19"/>
        <v>0</v>
      </c>
      <c r="J11" s="1090"/>
      <c r="K11" s="1090">
        <f t="shared" si="20"/>
        <v>0</v>
      </c>
      <c r="L11" s="1090">
        <f t="shared" si="21"/>
        <v>0</v>
      </c>
      <c r="M11" s="1091">
        <f>'[8]FY2012-13 Initial'!$K12</f>
        <v>1146</v>
      </c>
      <c r="N11" s="1092">
        <f t="shared" si="16"/>
        <v>0</v>
      </c>
      <c r="O11" s="1156">
        <f t="shared" si="22"/>
        <v>0</v>
      </c>
      <c r="P11" s="1092">
        <f t="shared" si="23"/>
        <v>0</v>
      </c>
      <c r="Q11" s="1092"/>
      <c r="R11" s="1092">
        <f t="shared" si="24"/>
        <v>0</v>
      </c>
      <c r="S11" s="1092">
        <f t="shared" si="25"/>
        <v>0</v>
      </c>
      <c r="T11" s="1093">
        <f t="shared" si="26"/>
        <v>0</v>
      </c>
      <c r="U11" s="1093">
        <f t="shared" si="27"/>
        <v>0</v>
      </c>
    </row>
    <row r="12" spans="1:21" ht="12.75" customHeight="1">
      <c r="A12" s="1021">
        <v>6</v>
      </c>
      <c r="B12" s="1022" t="s">
        <v>107</v>
      </c>
      <c r="C12" s="1023">
        <f>'Table 8 2.1.12 MFP Funded'!O9</f>
        <v>0</v>
      </c>
      <c r="D12" s="1024">
        <f>'Table 3 Levels 1&amp;2'!AL13</f>
        <v>5538.0879878550813</v>
      </c>
      <c r="E12" s="1136">
        <f t="shared" si="14"/>
        <v>0</v>
      </c>
      <c r="F12" s="1136">
        <f t="shared" si="17"/>
        <v>0</v>
      </c>
      <c r="G12" s="1025">
        <f t="shared" si="15"/>
        <v>0</v>
      </c>
      <c r="H12" s="1146">
        <f t="shared" si="18"/>
        <v>0</v>
      </c>
      <c r="I12" s="1025">
        <f t="shared" si="19"/>
        <v>0</v>
      </c>
      <c r="J12" s="1025"/>
      <c r="K12" s="1025">
        <f t="shared" si="20"/>
        <v>0</v>
      </c>
      <c r="L12" s="1025">
        <f t="shared" si="21"/>
        <v>0</v>
      </c>
      <c r="M12" s="1086">
        <f>'[8]FY2012-13 Initial'!$K13</f>
        <v>3431</v>
      </c>
      <c r="N12" s="1026">
        <f t="shared" si="16"/>
        <v>0</v>
      </c>
      <c r="O12" s="1154">
        <f t="shared" si="22"/>
        <v>0</v>
      </c>
      <c r="P12" s="1026">
        <f t="shared" si="23"/>
        <v>0</v>
      </c>
      <c r="Q12" s="1026"/>
      <c r="R12" s="1026">
        <f t="shared" si="24"/>
        <v>0</v>
      </c>
      <c r="S12" s="1026">
        <f t="shared" si="25"/>
        <v>0</v>
      </c>
      <c r="T12" s="1027">
        <f t="shared" si="26"/>
        <v>0</v>
      </c>
      <c r="U12" s="1027">
        <f t="shared" si="27"/>
        <v>0</v>
      </c>
    </row>
    <row r="13" spans="1:21">
      <c r="A13" s="1028">
        <v>7</v>
      </c>
      <c r="B13" s="1029" t="s">
        <v>108</v>
      </c>
      <c r="C13" s="1030">
        <f>'Table 8 2.1.12 MFP Funded'!O10</f>
        <v>0</v>
      </c>
      <c r="D13" s="1031">
        <f>'Table 3 Levels 1&amp;2'!AL14</f>
        <v>1543.5712353471597</v>
      </c>
      <c r="E13" s="1137">
        <f t="shared" si="14"/>
        <v>0</v>
      </c>
      <c r="F13" s="1137">
        <f t="shared" si="17"/>
        <v>0</v>
      </c>
      <c r="G13" s="1087">
        <f t="shared" si="15"/>
        <v>0</v>
      </c>
      <c r="H13" s="1147">
        <f t="shared" si="18"/>
        <v>0</v>
      </c>
      <c r="I13" s="1087">
        <f t="shared" si="19"/>
        <v>0</v>
      </c>
      <c r="J13" s="1087"/>
      <c r="K13" s="1087">
        <f t="shared" si="20"/>
        <v>0</v>
      </c>
      <c r="L13" s="1087">
        <f t="shared" si="21"/>
        <v>0</v>
      </c>
      <c r="M13" s="1086">
        <f>'[8]FY2012-13 Initial'!$K14</f>
        <v>12974</v>
      </c>
      <c r="N13" s="1088">
        <f t="shared" si="16"/>
        <v>0</v>
      </c>
      <c r="O13" s="1155">
        <f t="shared" si="22"/>
        <v>0</v>
      </c>
      <c r="P13" s="1088">
        <f t="shared" si="23"/>
        <v>0</v>
      </c>
      <c r="Q13" s="1088"/>
      <c r="R13" s="1088">
        <f t="shared" si="24"/>
        <v>0</v>
      </c>
      <c r="S13" s="1088">
        <f t="shared" si="25"/>
        <v>0</v>
      </c>
      <c r="T13" s="1089">
        <f t="shared" si="26"/>
        <v>0</v>
      </c>
      <c r="U13" s="1089">
        <f t="shared" si="27"/>
        <v>0</v>
      </c>
    </row>
    <row r="14" spans="1:21">
      <c r="A14" s="1028">
        <v>8</v>
      </c>
      <c r="B14" s="1029" t="s">
        <v>109</v>
      </c>
      <c r="C14" s="1030">
        <f>'Table 8 2.1.12 MFP Funded'!O11</f>
        <v>0</v>
      </c>
      <c r="D14" s="1031">
        <f>'Table 3 Levels 1&amp;2'!AL15</f>
        <v>4033.4866571910334</v>
      </c>
      <c r="E14" s="1137">
        <f t="shared" si="14"/>
        <v>0</v>
      </c>
      <c r="F14" s="1137">
        <f t="shared" si="17"/>
        <v>0</v>
      </c>
      <c r="G14" s="1087">
        <f t="shared" si="15"/>
        <v>0</v>
      </c>
      <c r="H14" s="1147">
        <f t="shared" si="18"/>
        <v>0</v>
      </c>
      <c r="I14" s="1087">
        <f t="shared" si="19"/>
        <v>0</v>
      </c>
      <c r="J14" s="1087"/>
      <c r="K14" s="1087">
        <f t="shared" si="20"/>
        <v>0</v>
      </c>
      <c r="L14" s="1087">
        <f t="shared" si="21"/>
        <v>0</v>
      </c>
      <c r="M14" s="1086">
        <f>'[8]FY2012-13 Initial'!$K15</f>
        <v>4234</v>
      </c>
      <c r="N14" s="1088">
        <f t="shared" si="16"/>
        <v>0</v>
      </c>
      <c r="O14" s="1155">
        <f t="shared" si="22"/>
        <v>0</v>
      </c>
      <c r="P14" s="1088">
        <f t="shared" si="23"/>
        <v>0</v>
      </c>
      <c r="Q14" s="1088"/>
      <c r="R14" s="1088">
        <f t="shared" si="24"/>
        <v>0</v>
      </c>
      <c r="S14" s="1088">
        <f t="shared" si="25"/>
        <v>0</v>
      </c>
      <c r="T14" s="1089">
        <f t="shared" si="26"/>
        <v>0</v>
      </c>
      <c r="U14" s="1089">
        <f t="shared" si="27"/>
        <v>0</v>
      </c>
    </row>
    <row r="15" spans="1:21">
      <c r="A15" s="1028">
        <v>9</v>
      </c>
      <c r="B15" s="1029" t="s">
        <v>110</v>
      </c>
      <c r="C15" s="1030">
        <f>'Table 8 2.1.12 MFP Funded'!O12</f>
        <v>0</v>
      </c>
      <c r="D15" s="1031">
        <f>'Table 3 Levels 1&amp;2'!AL16</f>
        <v>4268.3217271902904</v>
      </c>
      <c r="E15" s="1137">
        <f t="shared" si="14"/>
        <v>0</v>
      </c>
      <c r="F15" s="1137">
        <f t="shared" si="17"/>
        <v>0</v>
      </c>
      <c r="G15" s="1087">
        <f t="shared" si="15"/>
        <v>0</v>
      </c>
      <c r="H15" s="1147">
        <f t="shared" si="18"/>
        <v>0</v>
      </c>
      <c r="I15" s="1087">
        <f t="shared" si="19"/>
        <v>0</v>
      </c>
      <c r="J15" s="1087"/>
      <c r="K15" s="1087">
        <f t="shared" si="20"/>
        <v>0</v>
      </c>
      <c r="L15" s="1087">
        <f t="shared" si="21"/>
        <v>0</v>
      </c>
      <c r="M15" s="1086">
        <f>'[8]FY2012-13 Initial'!$K16</f>
        <v>4539</v>
      </c>
      <c r="N15" s="1088">
        <f t="shared" si="16"/>
        <v>0</v>
      </c>
      <c r="O15" s="1155">
        <f t="shared" si="22"/>
        <v>0</v>
      </c>
      <c r="P15" s="1088">
        <f t="shared" si="23"/>
        <v>0</v>
      </c>
      <c r="Q15" s="1088"/>
      <c r="R15" s="1088">
        <f t="shared" si="24"/>
        <v>0</v>
      </c>
      <c r="S15" s="1088">
        <f t="shared" si="25"/>
        <v>0</v>
      </c>
      <c r="T15" s="1089">
        <f t="shared" si="26"/>
        <v>0</v>
      </c>
      <c r="U15" s="1089">
        <f t="shared" si="27"/>
        <v>0</v>
      </c>
    </row>
    <row r="16" spans="1:21">
      <c r="A16" s="1032">
        <v>10</v>
      </c>
      <c r="B16" s="1033" t="s">
        <v>111</v>
      </c>
      <c r="C16" s="1034">
        <f>'Table 8 2.1.12 MFP Funded'!O13</f>
        <v>0</v>
      </c>
      <c r="D16" s="1035">
        <f>'Table 3 Levels 1&amp;2'!AL17</f>
        <v>4300.0681374076885</v>
      </c>
      <c r="E16" s="1138">
        <f t="shared" si="14"/>
        <v>0</v>
      </c>
      <c r="F16" s="1138">
        <f t="shared" si="17"/>
        <v>0</v>
      </c>
      <c r="G16" s="1090">
        <f t="shared" si="15"/>
        <v>0</v>
      </c>
      <c r="H16" s="1148">
        <f t="shared" si="18"/>
        <v>0</v>
      </c>
      <c r="I16" s="1090">
        <f t="shared" si="19"/>
        <v>0</v>
      </c>
      <c r="J16" s="1090"/>
      <c r="K16" s="1090">
        <f t="shared" si="20"/>
        <v>0</v>
      </c>
      <c r="L16" s="1090">
        <f t="shared" si="21"/>
        <v>0</v>
      </c>
      <c r="M16" s="1091">
        <f>'[8]FY2012-13 Initial'!$K17</f>
        <v>4312</v>
      </c>
      <c r="N16" s="1092">
        <f t="shared" si="16"/>
        <v>0</v>
      </c>
      <c r="O16" s="1156">
        <f t="shared" si="22"/>
        <v>0</v>
      </c>
      <c r="P16" s="1092">
        <f t="shared" si="23"/>
        <v>0</v>
      </c>
      <c r="Q16" s="1092"/>
      <c r="R16" s="1092">
        <f t="shared" si="24"/>
        <v>0</v>
      </c>
      <c r="S16" s="1092">
        <f t="shared" si="25"/>
        <v>0</v>
      </c>
      <c r="T16" s="1093">
        <f t="shared" si="26"/>
        <v>0</v>
      </c>
      <c r="U16" s="1093">
        <f t="shared" si="27"/>
        <v>0</v>
      </c>
    </row>
    <row r="17" spans="1:21">
      <c r="A17" s="1021">
        <v>11</v>
      </c>
      <c r="B17" s="1022" t="s">
        <v>112</v>
      </c>
      <c r="C17" s="1023">
        <f>'Table 8 2.1.12 MFP Funded'!O14</f>
        <v>0</v>
      </c>
      <c r="D17" s="1024">
        <f>'Table 3 Levels 1&amp;2'!AL18</f>
        <v>6740.2393955908683</v>
      </c>
      <c r="E17" s="1136">
        <f t="shared" si="14"/>
        <v>0</v>
      </c>
      <c r="F17" s="1136">
        <f t="shared" si="17"/>
        <v>0</v>
      </c>
      <c r="G17" s="1025">
        <f t="shared" si="15"/>
        <v>0</v>
      </c>
      <c r="H17" s="1146">
        <f t="shared" si="18"/>
        <v>0</v>
      </c>
      <c r="I17" s="1025">
        <f t="shared" si="19"/>
        <v>0</v>
      </c>
      <c r="J17" s="1025"/>
      <c r="K17" s="1025">
        <f t="shared" si="20"/>
        <v>0</v>
      </c>
      <c r="L17" s="1025">
        <f t="shared" si="21"/>
        <v>0</v>
      </c>
      <c r="M17" s="1086">
        <f>'[8]FY2012-13 Initial'!$K18</f>
        <v>3004</v>
      </c>
      <c r="N17" s="1026">
        <f t="shared" si="16"/>
        <v>0</v>
      </c>
      <c r="O17" s="1154">
        <f t="shared" si="22"/>
        <v>0</v>
      </c>
      <c r="P17" s="1026">
        <f t="shared" si="23"/>
        <v>0</v>
      </c>
      <c r="Q17" s="1026"/>
      <c r="R17" s="1026">
        <f t="shared" si="24"/>
        <v>0</v>
      </c>
      <c r="S17" s="1026">
        <f t="shared" si="25"/>
        <v>0</v>
      </c>
      <c r="T17" s="1027">
        <f t="shared" si="26"/>
        <v>0</v>
      </c>
      <c r="U17" s="1027">
        <f t="shared" si="27"/>
        <v>0</v>
      </c>
    </row>
    <row r="18" spans="1:21">
      <c r="A18" s="1028">
        <v>12</v>
      </c>
      <c r="B18" s="1029" t="s">
        <v>113</v>
      </c>
      <c r="C18" s="1030">
        <f>'Table 8 2.1.12 MFP Funded'!O15</f>
        <v>0</v>
      </c>
      <c r="D18" s="1031">
        <f>'Table 3 Levels 1&amp;2'!AL19</f>
        <v>1781.2877551020408</v>
      </c>
      <c r="E18" s="1137">
        <f t="shared" si="14"/>
        <v>0</v>
      </c>
      <c r="F18" s="1137">
        <f t="shared" si="17"/>
        <v>0</v>
      </c>
      <c r="G18" s="1087">
        <f t="shared" si="15"/>
        <v>0</v>
      </c>
      <c r="H18" s="1147">
        <f t="shared" si="18"/>
        <v>0</v>
      </c>
      <c r="I18" s="1087">
        <f t="shared" si="19"/>
        <v>0</v>
      </c>
      <c r="J18" s="1087"/>
      <c r="K18" s="1087">
        <f t="shared" si="20"/>
        <v>0</v>
      </c>
      <c r="L18" s="1087">
        <f t="shared" si="21"/>
        <v>0</v>
      </c>
      <c r="M18" s="1086">
        <f>'[8]FY2012-13 Initial'!$K19</f>
        <v>12439</v>
      </c>
      <c r="N18" s="1088">
        <f t="shared" si="16"/>
        <v>0</v>
      </c>
      <c r="O18" s="1155">
        <f t="shared" si="22"/>
        <v>0</v>
      </c>
      <c r="P18" s="1088">
        <f t="shared" si="23"/>
        <v>0</v>
      </c>
      <c r="Q18" s="1088"/>
      <c r="R18" s="1088">
        <f t="shared" si="24"/>
        <v>0</v>
      </c>
      <c r="S18" s="1088">
        <f t="shared" si="25"/>
        <v>0</v>
      </c>
      <c r="T18" s="1089">
        <f t="shared" si="26"/>
        <v>0</v>
      </c>
      <c r="U18" s="1089">
        <f t="shared" si="27"/>
        <v>0</v>
      </c>
    </row>
    <row r="19" spans="1:21">
      <c r="A19" s="1028">
        <v>13</v>
      </c>
      <c r="B19" s="1029" t="s">
        <v>114</v>
      </c>
      <c r="C19" s="1030">
        <f>'Table 8 2.1.12 MFP Funded'!O16</f>
        <v>0</v>
      </c>
      <c r="D19" s="1031">
        <f>'Table 3 Levels 1&amp;2'!AL20</f>
        <v>6125.5331903699798</v>
      </c>
      <c r="E19" s="1137">
        <f t="shared" si="14"/>
        <v>0</v>
      </c>
      <c r="F19" s="1137">
        <f t="shared" si="17"/>
        <v>0</v>
      </c>
      <c r="G19" s="1087">
        <f t="shared" si="15"/>
        <v>0</v>
      </c>
      <c r="H19" s="1147">
        <f t="shared" si="18"/>
        <v>0</v>
      </c>
      <c r="I19" s="1087">
        <f t="shared" si="19"/>
        <v>0</v>
      </c>
      <c r="J19" s="1087"/>
      <c r="K19" s="1087">
        <f t="shared" si="20"/>
        <v>0</v>
      </c>
      <c r="L19" s="1087">
        <f t="shared" si="21"/>
        <v>0</v>
      </c>
      <c r="M19" s="1086">
        <f>'[8]FY2012-13 Initial'!$K20</f>
        <v>2518</v>
      </c>
      <c r="N19" s="1088">
        <f t="shared" si="16"/>
        <v>0</v>
      </c>
      <c r="O19" s="1155">
        <f t="shared" si="22"/>
        <v>0</v>
      </c>
      <c r="P19" s="1088">
        <f t="shared" si="23"/>
        <v>0</v>
      </c>
      <c r="Q19" s="1088"/>
      <c r="R19" s="1088">
        <f t="shared" si="24"/>
        <v>0</v>
      </c>
      <c r="S19" s="1088">
        <f t="shared" si="25"/>
        <v>0</v>
      </c>
      <c r="T19" s="1089">
        <f t="shared" si="26"/>
        <v>0</v>
      </c>
      <c r="U19" s="1089">
        <f t="shared" si="27"/>
        <v>0</v>
      </c>
    </row>
    <row r="20" spans="1:21" ht="12.75" customHeight="1">
      <c r="A20" s="1028">
        <v>14</v>
      </c>
      <c r="B20" s="1029" t="s">
        <v>115</v>
      </c>
      <c r="C20" s="1030">
        <f>'Table 8 2.1.12 MFP Funded'!O17</f>
        <v>0</v>
      </c>
      <c r="D20" s="1031">
        <f>'Table 3 Levels 1&amp;2'!AL21</f>
        <v>5278.0936993421856</v>
      </c>
      <c r="E20" s="1137">
        <f t="shared" si="14"/>
        <v>0</v>
      </c>
      <c r="F20" s="1137">
        <f t="shared" si="17"/>
        <v>0</v>
      </c>
      <c r="G20" s="1087">
        <f t="shared" si="15"/>
        <v>0</v>
      </c>
      <c r="H20" s="1147">
        <f t="shared" si="18"/>
        <v>0</v>
      </c>
      <c r="I20" s="1087">
        <f t="shared" si="19"/>
        <v>0</v>
      </c>
      <c r="J20" s="1087"/>
      <c r="K20" s="1087">
        <f t="shared" si="20"/>
        <v>0</v>
      </c>
      <c r="L20" s="1087">
        <f t="shared" si="21"/>
        <v>0</v>
      </c>
      <c r="M20" s="1086">
        <f>'[8]FY2012-13 Initial'!$K21</f>
        <v>3605</v>
      </c>
      <c r="N20" s="1088">
        <f t="shared" si="16"/>
        <v>0</v>
      </c>
      <c r="O20" s="1155">
        <f t="shared" si="22"/>
        <v>0</v>
      </c>
      <c r="P20" s="1088">
        <f t="shared" si="23"/>
        <v>0</v>
      </c>
      <c r="Q20" s="1088"/>
      <c r="R20" s="1088">
        <f t="shared" si="24"/>
        <v>0</v>
      </c>
      <c r="S20" s="1088">
        <f t="shared" si="25"/>
        <v>0</v>
      </c>
      <c r="T20" s="1089">
        <f t="shared" si="26"/>
        <v>0</v>
      </c>
      <c r="U20" s="1089">
        <f t="shared" si="27"/>
        <v>0</v>
      </c>
    </row>
    <row r="21" spans="1:21">
      <c r="A21" s="1032">
        <v>15</v>
      </c>
      <c r="B21" s="1033" t="s">
        <v>116</v>
      </c>
      <c r="C21" s="1034">
        <f>'Table 8 2.1.12 MFP Funded'!O18</f>
        <v>0</v>
      </c>
      <c r="D21" s="1035">
        <f>'Table 3 Levels 1&amp;2'!AL22</f>
        <v>5428.9842692179664</v>
      </c>
      <c r="E21" s="1138">
        <f t="shared" si="14"/>
        <v>0</v>
      </c>
      <c r="F21" s="1138">
        <f t="shared" si="17"/>
        <v>0</v>
      </c>
      <c r="G21" s="1090">
        <f t="shared" si="15"/>
        <v>0</v>
      </c>
      <c r="H21" s="1148">
        <f t="shared" si="18"/>
        <v>0</v>
      </c>
      <c r="I21" s="1090">
        <f t="shared" si="19"/>
        <v>0</v>
      </c>
      <c r="J21" s="1090"/>
      <c r="K21" s="1090">
        <f t="shared" si="20"/>
        <v>0</v>
      </c>
      <c r="L21" s="1090">
        <f t="shared" si="21"/>
        <v>0</v>
      </c>
      <c r="M21" s="1091">
        <f>'[8]FY2012-13 Initial'!$K22</f>
        <v>2614</v>
      </c>
      <c r="N21" s="1092">
        <f t="shared" si="16"/>
        <v>0</v>
      </c>
      <c r="O21" s="1156">
        <f t="shared" si="22"/>
        <v>0</v>
      </c>
      <c r="P21" s="1092">
        <f t="shared" si="23"/>
        <v>0</v>
      </c>
      <c r="Q21" s="1092"/>
      <c r="R21" s="1092">
        <f t="shared" si="24"/>
        <v>0</v>
      </c>
      <c r="S21" s="1092">
        <f t="shared" si="25"/>
        <v>0</v>
      </c>
      <c r="T21" s="1093">
        <f t="shared" si="26"/>
        <v>0</v>
      </c>
      <c r="U21" s="1093">
        <f t="shared" si="27"/>
        <v>0</v>
      </c>
    </row>
    <row r="22" spans="1:21">
      <c r="A22" s="1021">
        <v>16</v>
      </c>
      <c r="B22" s="1022" t="s">
        <v>117</v>
      </c>
      <c r="C22" s="1023">
        <f>'Table 8 2.1.12 MFP Funded'!O19</f>
        <v>0</v>
      </c>
      <c r="D22" s="1024">
        <f>'Table 3 Levels 1&amp;2'!AL23</f>
        <v>1501.2470754125757</v>
      </c>
      <c r="E22" s="1136">
        <f t="shared" si="14"/>
        <v>0</v>
      </c>
      <c r="F22" s="1136">
        <f t="shared" si="17"/>
        <v>0</v>
      </c>
      <c r="G22" s="1025">
        <f t="shared" si="15"/>
        <v>0</v>
      </c>
      <c r="H22" s="1146">
        <f t="shared" si="18"/>
        <v>0</v>
      </c>
      <c r="I22" s="1025">
        <f t="shared" si="19"/>
        <v>0</v>
      </c>
      <c r="J22" s="1025"/>
      <c r="K22" s="1025">
        <f t="shared" si="20"/>
        <v>0</v>
      </c>
      <c r="L22" s="1025">
        <f t="shared" si="21"/>
        <v>0</v>
      </c>
      <c r="M22" s="1086">
        <f>'[8]FY2012-13 Initial'!$K23</f>
        <v>16006</v>
      </c>
      <c r="N22" s="1026">
        <f t="shared" si="16"/>
        <v>0</v>
      </c>
      <c r="O22" s="1154">
        <f t="shared" si="22"/>
        <v>0</v>
      </c>
      <c r="P22" s="1026">
        <f t="shared" si="23"/>
        <v>0</v>
      </c>
      <c r="Q22" s="1026"/>
      <c r="R22" s="1026">
        <f t="shared" si="24"/>
        <v>0</v>
      </c>
      <c r="S22" s="1026">
        <f t="shared" si="25"/>
        <v>0</v>
      </c>
      <c r="T22" s="1027">
        <f t="shared" si="26"/>
        <v>0</v>
      </c>
      <c r="U22" s="1027">
        <f t="shared" si="27"/>
        <v>0</v>
      </c>
    </row>
    <row r="23" spans="1:21">
      <c r="A23" s="1028">
        <v>17</v>
      </c>
      <c r="B23" s="1029" t="s">
        <v>118</v>
      </c>
      <c r="C23" s="1030">
        <f>'Table 8 2.1.12 MFP Funded'!O20</f>
        <v>0</v>
      </c>
      <c r="D23" s="1031">
        <f>'Table 3 Levels 1&amp;2'!AL24</f>
        <v>3386.5716964570697</v>
      </c>
      <c r="E23" s="1137">
        <f t="shared" si="14"/>
        <v>0</v>
      </c>
      <c r="F23" s="1137">
        <f t="shared" si="17"/>
        <v>0</v>
      </c>
      <c r="G23" s="1087">
        <f t="shared" si="15"/>
        <v>0</v>
      </c>
      <c r="H23" s="1147">
        <f t="shared" si="18"/>
        <v>0</v>
      </c>
      <c r="I23" s="1087">
        <f t="shared" si="19"/>
        <v>0</v>
      </c>
      <c r="J23" s="1087"/>
      <c r="K23" s="1087">
        <f t="shared" si="20"/>
        <v>0</v>
      </c>
      <c r="L23" s="1087">
        <f t="shared" si="21"/>
        <v>0</v>
      </c>
      <c r="M23" s="1086">
        <f>'[8]FY2012-13 Initial'!$K24</f>
        <v>6493</v>
      </c>
      <c r="N23" s="1088">
        <f t="shared" si="16"/>
        <v>0</v>
      </c>
      <c r="O23" s="1155">
        <f t="shared" si="22"/>
        <v>0</v>
      </c>
      <c r="P23" s="1088">
        <f t="shared" si="23"/>
        <v>0</v>
      </c>
      <c r="Q23" s="1088"/>
      <c r="R23" s="1088">
        <f t="shared" si="24"/>
        <v>0</v>
      </c>
      <c r="S23" s="1088">
        <f t="shared" si="25"/>
        <v>0</v>
      </c>
      <c r="T23" s="1089">
        <f t="shared" si="26"/>
        <v>0</v>
      </c>
      <c r="U23" s="1089">
        <f t="shared" si="27"/>
        <v>0</v>
      </c>
    </row>
    <row r="24" spans="1:21">
      <c r="A24" s="1028">
        <v>18</v>
      </c>
      <c r="B24" s="1029" t="s">
        <v>119</v>
      </c>
      <c r="C24" s="1030">
        <f>'Table 8 2.1.12 MFP Funded'!O21</f>
        <v>10</v>
      </c>
      <c r="D24" s="1031">
        <f>'Table 3 Levels 1&amp;2'!AL25</f>
        <v>5798.0598063231446</v>
      </c>
      <c r="E24" s="1137">
        <f t="shared" si="14"/>
        <v>57980.598063231446</v>
      </c>
      <c r="F24" s="1137">
        <f t="shared" si="17"/>
        <v>5270.235441415326</v>
      </c>
      <c r="G24" s="1087">
        <f t="shared" si="15"/>
        <v>63250.833504646769</v>
      </c>
      <c r="H24" s="1147">
        <f t="shared" si="18"/>
        <v>-158.12708376161692</v>
      </c>
      <c r="I24" s="1087">
        <f t="shared" si="19"/>
        <v>63092.706420885152</v>
      </c>
      <c r="J24" s="1087"/>
      <c r="K24" s="1087">
        <f t="shared" si="20"/>
        <v>63092.706420885152</v>
      </c>
      <c r="L24" s="1087">
        <f t="shared" si="21"/>
        <v>5258</v>
      </c>
      <c r="M24" s="1086">
        <f>'[8]FY2012-13 Initial'!$K25</f>
        <v>2088</v>
      </c>
      <c r="N24" s="1088">
        <f t="shared" si="16"/>
        <v>20880</v>
      </c>
      <c r="O24" s="1155">
        <f t="shared" si="22"/>
        <v>-52.2</v>
      </c>
      <c r="P24" s="1088">
        <f t="shared" si="23"/>
        <v>20827.8</v>
      </c>
      <c r="Q24" s="1088"/>
      <c r="R24" s="1088">
        <f t="shared" si="24"/>
        <v>20827.8</v>
      </c>
      <c r="S24" s="1088">
        <f t="shared" si="25"/>
        <v>1736</v>
      </c>
      <c r="T24" s="1089">
        <f t="shared" si="26"/>
        <v>83920.506420885155</v>
      </c>
      <c r="U24" s="1089">
        <f t="shared" si="27"/>
        <v>6994</v>
      </c>
    </row>
    <row r="25" spans="1:21">
      <c r="A25" s="1028">
        <v>19</v>
      </c>
      <c r="B25" s="1029" t="s">
        <v>120</v>
      </c>
      <c r="C25" s="1030">
        <f>'Table 8 2.1.12 MFP Funded'!O22</f>
        <v>0</v>
      </c>
      <c r="D25" s="1031">
        <f>'Table 3 Levels 1&amp;2'!AL26</f>
        <v>5219.1012787873206</v>
      </c>
      <c r="E25" s="1137">
        <f t="shared" si="14"/>
        <v>0</v>
      </c>
      <c r="F25" s="1137">
        <f t="shared" si="17"/>
        <v>0</v>
      </c>
      <c r="G25" s="1087">
        <f t="shared" si="15"/>
        <v>0</v>
      </c>
      <c r="H25" s="1147">
        <f t="shared" si="18"/>
        <v>0</v>
      </c>
      <c r="I25" s="1087">
        <f t="shared" si="19"/>
        <v>0</v>
      </c>
      <c r="J25" s="1087"/>
      <c r="K25" s="1087">
        <f t="shared" si="20"/>
        <v>0</v>
      </c>
      <c r="L25" s="1087">
        <f t="shared" si="21"/>
        <v>0</v>
      </c>
      <c r="M25" s="1086">
        <f>'[8]FY2012-13 Initial'!$K26</f>
        <v>2275</v>
      </c>
      <c r="N25" s="1088">
        <f t="shared" si="16"/>
        <v>0</v>
      </c>
      <c r="O25" s="1155">
        <f t="shared" si="22"/>
        <v>0</v>
      </c>
      <c r="P25" s="1088">
        <f t="shared" si="23"/>
        <v>0</v>
      </c>
      <c r="Q25" s="1088"/>
      <c r="R25" s="1088">
        <f t="shared" si="24"/>
        <v>0</v>
      </c>
      <c r="S25" s="1088">
        <f t="shared" si="25"/>
        <v>0</v>
      </c>
      <c r="T25" s="1089">
        <f t="shared" si="26"/>
        <v>0</v>
      </c>
      <c r="U25" s="1089">
        <f t="shared" si="27"/>
        <v>0</v>
      </c>
    </row>
    <row r="26" spans="1:21">
      <c r="A26" s="1032">
        <v>20</v>
      </c>
      <c r="B26" s="1033" t="s">
        <v>121</v>
      </c>
      <c r="C26" s="1034">
        <f>'Table 8 2.1.12 MFP Funded'!O23</f>
        <v>0</v>
      </c>
      <c r="D26" s="1035">
        <f>'Table 3 Levels 1&amp;2'!AL27</f>
        <v>5441.7799844976798</v>
      </c>
      <c r="E26" s="1138">
        <f t="shared" si="14"/>
        <v>0</v>
      </c>
      <c r="F26" s="1138">
        <f t="shared" si="17"/>
        <v>0</v>
      </c>
      <c r="G26" s="1090">
        <f t="shared" si="15"/>
        <v>0</v>
      </c>
      <c r="H26" s="1148">
        <f t="shared" si="18"/>
        <v>0</v>
      </c>
      <c r="I26" s="1090">
        <f t="shared" si="19"/>
        <v>0</v>
      </c>
      <c r="J26" s="1090"/>
      <c r="K26" s="1090">
        <f t="shared" si="20"/>
        <v>0</v>
      </c>
      <c r="L26" s="1090">
        <f t="shared" si="21"/>
        <v>0</v>
      </c>
      <c r="M26" s="1091">
        <f>'[8]FY2012-13 Initial'!$K27</f>
        <v>2308</v>
      </c>
      <c r="N26" s="1092">
        <f t="shared" si="16"/>
        <v>0</v>
      </c>
      <c r="O26" s="1156">
        <f t="shared" si="22"/>
        <v>0</v>
      </c>
      <c r="P26" s="1092">
        <f t="shared" si="23"/>
        <v>0</v>
      </c>
      <c r="Q26" s="1092"/>
      <c r="R26" s="1092">
        <f t="shared" si="24"/>
        <v>0</v>
      </c>
      <c r="S26" s="1092">
        <f t="shared" si="25"/>
        <v>0</v>
      </c>
      <c r="T26" s="1093">
        <f t="shared" si="26"/>
        <v>0</v>
      </c>
      <c r="U26" s="1093">
        <f t="shared" si="27"/>
        <v>0</v>
      </c>
    </row>
    <row r="27" spans="1:21">
      <c r="A27" s="1021">
        <v>21</v>
      </c>
      <c r="B27" s="1022" t="s">
        <v>122</v>
      </c>
      <c r="C27" s="1023">
        <f>'Table 8 2.1.12 MFP Funded'!O24</f>
        <v>87</v>
      </c>
      <c r="D27" s="1024">
        <f>'Table 3 Levels 1&amp;2'!AL28</f>
        <v>5718.7800910915075</v>
      </c>
      <c r="E27" s="1136">
        <f t="shared" si="14"/>
        <v>497533.86792496115</v>
      </c>
      <c r="F27" s="1136">
        <f t="shared" si="17"/>
        <v>45851.04834031334</v>
      </c>
      <c r="G27" s="1025">
        <f t="shared" si="15"/>
        <v>543384.91626527451</v>
      </c>
      <c r="H27" s="1146">
        <f t="shared" si="18"/>
        <v>-1358.4622906631864</v>
      </c>
      <c r="I27" s="1025">
        <f t="shared" si="19"/>
        <v>542026.45397461136</v>
      </c>
      <c r="J27" s="1025"/>
      <c r="K27" s="1025">
        <f t="shared" si="20"/>
        <v>542026.45397461136</v>
      </c>
      <c r="L27" s="1025">
        <f t="shared" si="21"/>
        <v>45169</v>
      </c>
      <c r="M27" s="1086">
        <f>'[8]FY2012-13 Initial'!$K28</f>
        <v>2245</v>
      </c>
      <c r="N27" s="1026">
        <f t="shared" si="16"/>
        <v>195315</v>
      </c>
      <c r="O27" s="1154">
        <f t="shared" si="22"/>
        <v>-488.28750000000002</v>
      </c>
      <c r="P27" s="1026">
        <f t="shared" si="23"/>
        <v>194826.71249999999</v>
      </c>
      <c r="Q27" s="1026"/>
      <c r="R27" s="1026">
        <f t="shared" si="24"/>
        <v>194826.71249999999</v>
      </c>
      <c r="S27" s="1026">
        <f t="shared" si="25"/>
        <v>16236</v>
      </c>
      <c r="T27" s="1027">
        <f t="shared" si="26"/>
        <v>736853.16647461138</v>
      </c>
      <c r="U27" s="1027">
        <f t="shared" si="27"/>
        <v>61405</v>
      </c>
    </row>
    <row r="28" spans="1:21">
      <c r="A28" s="1028">
        <v>22</v>
      </c>
      <c r="B28" s="1029" t="s">
        <v>123</v>
      </c>
      <c r="C28" s="1030">
        <f>'Table 8 2.1.12 MFP Funded'!O25</f>
        <v>0</v>
      </c>
      <c r="D28" s="1031">
        <f>'Table 3 Levels 1&amp;2'!AL29</f>
        <v>6198.830003500153</v>
      </c>
      <c r="E28" s="1137">
        <f t="shared" si="14"/>
        <v>0</v>
      </c>
      <c r="F28" s="1137">
        <f t="shared" si="17"/>
        <v>0</v>
      </c>
      <c r="G28" s="1087">
        <f t="shared" si="15"/>
        <v>0</v>
      </c>
      <c r="H28" s="1147">
        <f t="shared" si="18"/>
        <v>0</v>
      </c>
      <c r="I28" s="1087">
        <f t="shared" si="19"/>
        <v>0</v>
      </c>
      <c r="J28" s="1087"/>
      <c r="K28" s="1087">
        <f t="shared" si="20"/>
        <v>0</v>
      </c>
      <c r="L28" s="1087">
        <f t="shared" si="21"/>
        <v>0</v>
      </c>
      <c r="M28" s="1086">
        <f>'[8]FY2012-13 Initial'!$K29</f>
        <v>1445</v>
      </c>
      <c r="N28" s="1088">
        <f t="shared" si="16"/>
        <v>0</v>
      </c>
      <c r="O28" s="1155">
        <f t="shared" si="22"/>
        <v>0</v>
      </c>
      <c r="P28" s="1088">
        <f t="shared" si="23"/>
        <v>0</v>
      </c>
      <c r="Q28" s="1088"/>
      <c r="R28" s="1088">
        <f t="shared" si="24"/>
        <v>0</v>
      </c>
      <c r="S28" s="1088">
        <f t="shared" si="25"/>
        <v>0</v>
      </c>
      <c r="T28" s="1089">
        <f t="shared" si="26"/>
        <v>0</v>
      </c>
      <c r="U28" s="1089">
        <f t="shared" si="27"/>
        <v>0</v>
      </c>
    </row>
    <row r="29" spans="1:21">
      <c r="A29" s="1028">
        <v>23</v>
      </c>
      <c r="B29" s="1029" t="s">
        <v>124</v>
      </c>
      <c r="C29" s="1030">
        <f>'Table 8 2.1.12 MFP Funded'!O26</f>
        <v>0</v>
      </c>
      <c r="D29" s="1031">
        <f>'Table 3 Levels 1&amp;2'!AL30</f>
        <v>4809.0299298140199</v>
      </c>
      <c r="E29" s="1137">
        <f t="shared" si="14"/>
        <v>0</v>
      </c>
      <c r="F29" s="1137">
        <f t="shared" si="17"/>
        <v>0</v>
      </c>
      <c r="G29" s="1087">
        <f t="shared" si="15"/>
        <v>0</v>
      </c>
      <c r="H29" s="1147">
        <f t="shared" si="18"/>
        <v>0</v>
      </c>
      <c r="I29" s="1087">
        <f t="shared" si="19"/>
        <v>0</v>
      </c>
      <c r="J29" s="1087"/>
      <c r="K29" s="1087">
        <f t="shared" si="20"/>
        <v>0</v>
      </c>
      <c r="L29" s="1087">
        <f t="shared" si="21"/>
        <v>0</v>
      </c>
      <c r="M29" s="1086">
        <f>'[8]FY2012-13 Initial'!$K30</f>
        <v>3295</v>
      </c>
      <c r="N29" s="1088">
        <f t="shared" si="16"/>
        <v>0</v>
      </c>
      <c r="O29" s="1155">
        <f t="shared" si="22"/>
        <v>0</v>
      </c>
      <c r="P29" s="1088">
        <f t="shared" si="23"/>
        <v>0</v>
      </c>
      <c r="Q29" s="1088"/>
      <c r="R29" s="1088">
        <f t="shared" si="24"/>
        <v>0</v>
      </c>
      <c r="S29" s="1088">
        <f t="shared" si="25"/>
        <v>0</v>
      </c>
      <c r="T29" s="1089">
        <f t="shared" si="26"/>
        <v>0</v>
      </c>
      <c r="U29" s="1089">
        <f t="shared" si="27"/>
        <v>0</v>
      </c>
    </row>
    <row r="30" spans="1:21">
      <c r="A30" s="1028">
        <v>24</v>
      </c>
      <c r="B30" s="1029" t="s">
        <v>125</v>
      </c>
      <c r="C30" s="1030">
        <f>'Table 8 2.1.12 MFP Funded'!O27</f>
        <v>0</v>
      </c>
      <c r="D30" s="1031">
        <f>'Table 3 Levels 1&amp;2'!AL31</f>
        <v>2649.7787452556372</v>
      </c>
      <c r="E30" s="1137">
        <f t="shared" si="14"/>
        <v>0</v>
      </c>
      <c r="F30" s="1137">
        <f t="shared" si="17"/>
        <v>0</v>
      </c>
      <c r="G30" s="1087">
        <f t="shared" si="15"/>
        <v>0</v>
      </c>
      <c r="H30" s="1147">
        <f t="shared" si="18"/>
        <v>0</v>
      </c>
      <c r="I30" s="1087">
        <f t="shared" si="19"/>
        <v>0</v>
      </c>
      <c r="J30" s="1087"/>
      <c r="K30" s="1087">
        <f t="shared" si="20"/>
        <v>0</v>
      </c>
      <c r="L30" s="1087">
        <f t="shared" si="21"/>
        <v>0</v>
      </c>
      <c r="M30" s="1086">
        <f>'[8]FY2012-13 Initial'!$K31</f>
        <v>8769</v>
      </c>
      <c r="N30" s="1088">
        <f t="shared" si="16"/>
        <v>0</v>
      </c>
      <c r="O30" s="1155">
        <f t="shared" si="22"/>
        <v>0</v>
      </c>
      <c r="P30" s="1088">
        <f t="shared" si="23"/>
        <v>0</v>
      </c>
      <c r="Q30" s="1088"/>
      <c r="R30" s="1088">
        <f t="shared" si="24"/>
        <v>0</v>
      </c>
      <c r="S30" s="1088">
        <f t="shared" si="25"/>
        <v>0</v>
      </c>
      <c r="T30" s="1089">
        <f t="shared" si="26"/>
        <v>0</v>
      </c>
      <c r="U30" s="1089">
        <f t="shared" si="27"/>
        <v>0</v>
      </c>
    </row>
    <row r="31" spans="1:21">
      <c r="A31" s="1032">
        <v>25</v>
      </c>
      <c r="B31" s="1033" t="s">
        <v>126</v>
      </c>
      <c r="C31" s="1034">
        <f>'Table 8 2.1.12 MFP Funded'!O28</f>
        <v>0</v>
      </c>
      <c r="D31" s="1035">
        <f>'Table 3 Levels 1&amp;2'!AL32</f>
        <v>3848.3923674564248</v>
      </c>
      <c r="E31" s="1138">
        <f t="shared" si="14"/>
        <v>0</v>
      </c>
      <c r="F31" s="1138">
        <f t="shared" si="17"/>
        <v>0</v>
      </c>
      <c r="G31" s="1090">
        <f t="shared" si="15"/>
        <v>0</v>
      </c>
      <c r="H31" s="1148">
        <f t="shared" si="18"/>
        <v>0</v>
      </c>
      <c r="I31" s="1090">
        <f t="shared" si="19"/>
        <v>0</v>
      </c>
      <c r="J31" s="1090"/>
      <c r="K31" s="1090">
        <f t="shared" si="20"/>
        <v>0</v>
      </c>
      <c r="L31" s="1090">
        <f t="shared" si="21"/>
        <v>0</v>
      </c>
      <c r="M31" s="1091">
        <f>'[8]FY2012-13 Initial'!$K32</f>
        <v>5187</v>
      </c>
      <c r="N31" s="1092">
        <f t="shared" si="16"/>
        <v>0</v>
      </c>
      <c r="O31" s="1156">
        <f t="shared" si="22"/>
        <v>0</v>
      </c>
      <c r="P31" s="1092">
        <f t="shared" si="23"/>
        <v>0</v>
      </c>
      <c r="Q31" s="1092"/>
      <c r="R31" s="1092">
        <f t="shared" si="24"/>
        <v>0</v>
      </c>
      <c r="S31" s="1092">
        <f t="shared" si="25"/>
        <v>0</v>
      </c>
      <c r="T31" s="1093">
        <f t="shared" si="26"/>
        <v>0</v>
      </c>
      <c r="U31" s="1093">
        <f t="shared" si="27"/>
        <v>0</v>
      </c>
    </row>
    <row r="32" spans="1:21">
      <c r="A32" s="1021">
        <v>26</v>
      </c>
      <c r="B32" s="1022" t="s">
        <v>127</v>
      </c>
      <c r="C32" s="1023">
        <f>'Table 8 2.1.12 MFP Funded'!O29</f>
        <v>0</v>
      </c>
      <c r="D32" s="1024">
        <f>'Table 3 Levels 1&amp;2'!AL33</f>
        <v>3145.9192082835102</v>
      </c>
      <c r="E32" s="1136">
        <f t="shared" si="14"/>
        <v>0</v>
      </c>
      <c r="F32" s="1136">
        <f t="shared" si="17"/>
        <v>0</v>
      </c>
      <c r="G32" s="1025">
        <f t="shared" si="15"/>
        <v>0</v>
      </c>
      <c r="H32" s="1146">
        <f t="shared" si="18"/>
        <v>0</v>
      </c>
      <c r="I32" s="1025">
        <f t="shared" si="19"/>
        <v>0</v>
      </c>
      <c r="J32" s="1025"/>
      <c r="K32" s="1025">
        <f t="shared" si="20"/>
        <v>0</v>
      </c>
      <c r="L32" s="1025">
        <f t="shared" si="21"/>
        <v>0</v>
      </c>
      <c r="M32" s="1086">
        <f>'[8]FY2012-13 Initial'!$K33</f>
        <v>5197</v>
      </c>
      <c r="N32" s="1026">
        <f t="shared" si="16"/>
        <v>0</v>
      </c>
      <c r="O32" s="1154">
        <f t="shared" si="22"/>
        <v>0</v>
      </c>
      <c r="P32" s="1026">
        <f t="shared" si="23"/>
        <v>0</v>
      </c>
      <c r="Q32" s="1026"/>
      <c r="R32" s="1026">
        <f t="shared" si="24"/>
        <v>0</v>
      </c>
      <c r="S32" s="1026">
        <f t="shared" si="25"/>
        <v>0</v>
      </c>
      <c r="T32" s="1027">
        <f t="shared" si="26"/>
        <v>0</v>
      </c>
      <c r="U32" s="1027">
        <f t="shared" si="27"/>
        <v>0</v>
      </c>
    </row>
    <row r="33" spans="1:21">
      <c r="A33" s="1028">
        <v>27</v>
      </c>
      <c r="B33" s="1029" t="s">
        <v>128</v>
      </c>
      <c r="C33" s="1036">
        <f>'Table 8 2.1.12 MFP Funded'!O30</f>
        <v>0</v>
      </c>
      <c r="D33" s="1037">
        <f>'Table 3 Levels 1&amp;2'!AL34</f>
        <v>5653.5502977926608</v>
      </c>
      <c r="E33" s="1139">
        <f t="shared" si="14"/>
        <v>0</v>
      </c>
      <c r="F33" s="1139">
        <f t="shared" si="17"/>
        <v>0</v>
      </c>
      <c r="G33" s="1094">
        <f t="shared" si="15"/>
        <v>0</v>
      </c>
      <c r="H33" s="1149">
        <f t="shared" si="18"/>
        <v>0</v>
      </c>
      <c r="I33" s="1094">
        <f t="shared" si="19"/>
        <v>0</v>
      </c>
      <c r="J33" s="1094"/>
      <c r="K33" s="1094">
        <f t="shared" si="20"/>
        <v>0</v>
      </c>
      <c r="L33" s="1094">
        <f t="shared" si="21"/>
        <v>0</v>
      </c>
      <c r="M33" s="1086">
        <f>'[8]FY2012-13 Initial'!$K34</f>
        <v>3073</v>
      </c>
      <c r="N33" s="1088">
        <f t="shared" si="16"/>
        <v>0</v>
      </c>
      <c r="O33" s="1155">
        <f t="shared" si="22"/>
        <v>0</v>
      </c>
      <c r="P33" s="1088">
        <f t="shared" si="23"/>
        <v>0</v>
      </c>
      <c r="Q33" s="1088"/>
      <c r="R33" s="1088">
        <f t="shared" si="24"/>
        <v>0</v>
      </c>
      <c r="S33" s="1088">
        <f t="shared" si="25"/>
        <v>0</v>
      </c>
      <c r="T33" s="1089">
        <f t="shared" si="26"/>
        <v>0</v>
      </c>
      <c r="U33" s="1089">
        <f t="shared" si="27"/>
        <v>0</v>
      </c>
    </row>
    <row r="34" spans="1:21">
      <c r="A34" s="1028">
        <v>28</v>
      </c>
      <c r="B34" s="1029" t="s">
        <v>129</v>
      </c>
      <c r="C34" s="1036">
        <f>'Table 8 2.1.12 MFP Funded'!O31</f>
        <v>0</v>
      </c>
      <c r="D34" s="1037">
        <f>'Table 3 Levels 1&amp;2'!AL35</f>
        <v>3200.5356505169011</v>
      </c>
      <c r="E34" s="1139">
        <f t="shared" si="14"/>
        <v>0</v>
      </c>
      <c r="F34" s="1139">
        <f t="shared" si="17"/>
        <v>0</v>
      </c>
      <c r="G34" s="1094">
        <f t="shared" si="15"/>
        <v>0</v>
      </c>
      <c r="H34" s="1149">
        <f t="shared" si="18"/>
        <v>0</v>
      </c>
      <c r="I34" s="1094">
        <f t="shared" si="19"/>
        <v>0</v>
      </c>
      <c r="J34" s="1094"/>
      <c r="K34" s="1094">
        <f t="shared" si="20"/>
        <v>0</v>
      </c>
      <c r="L34" s="1094">
        <f t="shared" si="21"/>
        <v>0</v>
      </c>
      <c r="M34" s="1086">
        <f>'[8]FY2012-13 Initial'!$K35</f>
        <v>5082</v>
      </c>
      <c r="N34" s="1088">
        <f t="shared" si="16"/>
        <v>0</v>
      </c>
      <c r="O34" s="1155">
        <f t="shared" si="22"/>
        <v>0</v>
      </c>
      <c r="P34" s="1088">
        <f t="shared" si="23"/>
        <v>0</v>
      </c>
      <c r="Q34" s="1088"/>
      <c r="R34" s="1088">
        <f t="shared" si="24"/>
        <v>0</v>
      </c>
      <c r="S34" s="1088">
        <f t="shared" si="25"/>
        <v>0</v>
      </c>
      <c r="T34" s="1089">
        <f t="shared" si="26"/>
        <v>0</v>
      </c>
      <c r="U34" s="1089">
        <f t="shared" si="27"/>
        <v>0</v>
      </c>
    </row>
    <row r="35" spans="1:21">
      <c r="A35" s="1028">
        <v>29</v>
      </c>
      <c r="B35" s="1029" t="s">
        <v>130</v>
      </c>
      <c r="C35" s="1036">
        <f>'Table 8 2.1.12 MFP Funded'!O32</f>
        <v>0</v>
      </c>
      <c r="D35" s="1037">
        <f>'Table 3 Levels 1&amp;2'!AL36</f>
        <v>3945.0399545376122</v>
      </c>
      <c r="E35" s="1139">
        <f t="shared" si="14"/>
        <v>0</v>
      </c>
      <c r="F35" s="1139">
        <f t="shared" si="17"/>
        <v>0</v>
      </c>
      <c r="G35" s="1094">
        <f t="shared" si="15"/>
        <v>0</v>
      </c>
      <c r="H35" s="1149">
        <f t="shared" si="18"/>
        <v>0</v>
      </c>
      <c r="I35" s="1094">
        <f t="shared" si="19"/>
        <v>0</v>
      </c>
      <c r="J35" s="1094"/>
      <c r="K35" s="1094">
        <f t="shared" si="20"/>
        <v>0</v>
      </c>
      <c r="L35" s="1094">
        <f t="shared" si="21"/>
        <v>0</v>
      </c>
      <c r="M35" s="1086">
        <f>'[8]FY2012-13 Initial'!$K36</f>
        <v>4295</v>
      </c>
      <c r="N35" s="1088">
        <f t="shared" si="16"/>
        <v>0</v>
      </c>
      <c r="O35" s="1155">
        <f t="shared" si="22"/>
        <v>0</v>
      </c>
      <c r="P35" s="1088">
        <f t="shared" si="23"/>
        <v>0</v>
      </c>
      <c r="Q35" s="1088"/>
      <c r="R35" s="1088">
        <f t="shared" si="24"/>
        <v>0</v>
      </c>
      <c r="S35" s="1088">
        <f t="shared" si="25"/>
        <v>0</v>
      </c>
      <c r="T35" s="1089">
        <f t="shared" si="26"/>
        <v>0</v>
      </c>
      <c r="U35" s="1089">
        <f t="shared" si="27"/>
        <v>0</v>
      </c>
    </row>
    <row r="36" spans="1:21">
      <c r="A36" s="1032">
        <v>30</v>
      </c>
      <c r="B36" s="1033" t="s">
        <v>131</v>
      </c>
      <c r="C36" s="1038">
        <f>'Table 8 2.1.12 MFP Funded'!O33</f>
        <v>0</v>
      </c>
      <c r="D36" s="1039">
        <f>'Table 3 Levels 1&amp;2'!AL37</f>
        <v>5594.8916667625617</v>
      </c>
      <c r="E36" s="1140">
        <f t="shared" si="14"/>
        <v>0</v>
      </c>
      <c r="F36" s="1140">
        <f t="shared" si="17"/>
        <v>0</v>
      </c>
      <c r="G36" s="1095">
        <f t="shared" si="15"/>
        <v>0</v>
      </c>
      <c r="H36" s="1150">
        <f t="shared" si="18"/>
        <v>0</v>
      </c>
      <c r="I36" s="1095">
        <f t="shared" si="19"/>
        <v>0</v>
      </c>
      <c r="J36" s="1095"/>
      <c r="K36" s="1095">
        <f t="shared" si="20"/>
        <v>0</v>
      </c>
      <c r="L36" s="1095">
        <f t="shared" si="21"/>
        <v>0</v>
      </c>
      <c r="M36" s="1091">
        <f>'[8]FY2012-13 Initial'!$K37</f>
        <v>3553</v>
      </c>
      <c r="N36" s="1092">
        <f t="shared" si="16"/>
        <v>0</v>
      </c>
      <c r="O36" s="1156">
        <f t="shared" si="22"/>
        <v>0</v>
      </c>
      <c r="P36" s="1092">
        <f t="shared" si="23"/>
        <v>0</v>
      </c>
      <c r="Q36" s="1092"/>
      <c r="R36" s="1092">
        <f t="shared" si="24"/>
        <v>0</v>
      </c>
      <c r="S36" s="1092">
        <f t="shared" si="25"/>
        <v>0</v>
      </c>
      <c r="T36" s="1093">
        <f t="shared" si="26"/>
        <v>0</v>
      </c>
      <c r="U36" s="1093">
        <f t="shared" si="27"/>
        <v>0</v>
      </c>
    </row>
    <row r="37" spans="1:21">
      <c r="A37" s="1021">
        <v>31</v>
      </c>
      <c r="B37" s="1022" t="s">
        <v>132</v>
      </c>
      <c r="C37" s="1040">
        <f>'Table 8 2.1.12 MFP Funded'!O34</f>
        <v>0</v>
      </c>
      <c r="D37" s="1041">
        <f>'Table 3 Levels 1&amp;2'!AL38</f>
        <v>4159.5846806435638</v>
      </c>
      <c r="E37" s="1141">
        <f t="shared" si="14"/>
        <v>0</v>
      </c>
      <c r="F37" s="1141">
        <f t="shared" si="17"/>
        <v>0</v>
      </c>
      <c r="G37" s="1096">
        <f t="shared" si="15"/>
        <v>0</v>
      </c>
      <c r="H37" s="1151">
        <f t="shared" si="18"/>
        <v>0</v>
      </c>
      <c r="I37" s="1096">
        <f t="shared" si="19"/>
        <v>0</v>
      </c>
      <c r="J37" s="1096"/>
      <c r="K37" s="1096">
        <f t="shared" si="20"/>
        <v>0</v>
      </c>
      <c r="L37" s="1096">
        <f t="shared" si="21"/>
        <v>0</v>
      </c>
      <c r="M37" s="1086">
        <f>'[8]FY2012-13 Initial'!$K38</f>
        <v>4719</v>
      </c>
      <c r="N37" s="1026">
        <f t="shared" si="16"/>
        <v>0</v>
      </c>
      <c r="O37" s="1154">
        <f t="shared" si="22"/>
        <v>0</v>
      </c>
      <c r="P37" s="1026">
        <f t="shared" si="23"/>
        <v>0</v>
      </c>
      <c r="Q37" s="1026"/>
      <c r="R37" s="1026">
        <f t="shared" si="24"/>
        <v>0</v>
      </c>
      <c r="S37" s="1026">
        <f t="shared" si="25"/>
        <v>0</v>
      </c>
      <c r="T37" s="1027">
        <f t="shared" si="26"/>
        <v>0</v>
      </c>
      <c r="U37" s="1027">
        <f t="shared" si="27"/>
        <v>0</v>
      </c>
    </row>
    <row r="38" spans="1:21">
      <c r="A38" s="1028">
        <v>32</v>
      </c>
      <c r="B38" s="1029" t="s">
        <v>133</v>
      </c>
      <c r="C38" s="1036">
        <f>'Table 8 2.1.12 MFP Funded'!O35</f>
        <v>0</v>
      </c>
      <c r="D38" s="1037">
        <f>'Table 3 Levels 1&amp;2'!AL39</f>
        <v>5475.1436637248598</v>
      </c>
      <c r="E38" s="1139">
        <f t="shared" si="14"/>
        <v>0</v>
      </c>
      <c r="F38" s="1139">
        <f t="shared" si="17"/>
        <v>0</v>
      </c>
      <c r="G38" s="1094">
        <f t="shared" si="15"/>
        <v>0</v>
      </c>
      <c r="H38" s="1149">
        <f t="shared" si="18"/>
        <v>0</v>
      </c>
      <c r="I38" s="1094">
        <f t="shared" si="19"/>
        <v>0</v>
      </c>
      <c r="J38" s="1094"/>
      <c r="K38" s="1094">
        <f t="shared" si="20"/>
        <v>0</v>
      </c>
      <c r="L38" s="1094">
        <f t="shared" si="21"/>
        <v>0</v>
      </c>
      <c r="M38" s="1086">
        <f>'[8]FY2012-13 Initial'!$K39</f>
        <v>1979</v>
      </c>
      <c r="N38" s="1088">
        <f t="shared" si="16"/>
        <v>0</v>
      </c>
      <c r="O38" s="1155">
        <f t="shared" si="22"/>
        <v>0</v>
      </c>
      <c r="P38" s="1088">
        <f t="shared" si="23"/>
        <v>0</v>
      </c>
      <c r="Q38" s="1088"/>
      <c r="R38" s="1088">
        <f t="shared" si="24"/>
        <v>0</v>
      </c>
      <c r="S38" s="1088">
        <f t="shared" si="25"/>
        <v>0</v>
      </c>
      <c r="T38" s="1089">
        <f t="shared" si="26"/>
        <v>0</v>
      </c>
      <c r="U38" s="1089">
        <f t="shared" si="27"/>
        <v>0</v>
      </c>
    </row>
    <row r="39" spans="1:21">
      <c r="A39" s="1028">
        <v>33</v>
      </c>
      <c r="B39" s="1029" t="s">
        <v>134</v>
      </c>
      <c r="C39" s="1036">
        <f>'Table 8 2.1.12 MFP Funded'!O36</f>
        <v>128</v>
      </c>
      <c r="D39" s="1037">
        <f>'Table 3 Levels 1&amp;2'!AL40</f>
        <v>5397.5678422891451</v>
      </c>
      <c r="E39" s="1139">
        <f t="shared" ref="E39:E70" si="28">D39*C39</f>
        <v>690888.68381301058</v>
      </c>
      <c r="F39" s="1139">
        <f t="shared" si="17"/>
        <v>67459.013650116176</v>
      </c>
      <c r="G39" s="1094">
        <f t="shared" ref="G39:G70" si="29">E39+F39</f>
        <v>758347.69746312674</v>
      </c>
      <c r="H39" s="1149">
        <f t="shared" si="18"/>
        <v>-1895.8692436578169</v>
      </c>
      <c r="I39" s="1094">
        <f t="shared" si="19"/>
        <v>756451.82821946894</v>
      </c>
      <c r="J39" s="1094"/>
      <c r="K39" s="1094">
        <f t="shared" si="20"/>
        <v>756451.82821946894</v>
      </c>
      <c r="L39" s="1094">
        <f t="shared" si="21"/>
        <v>63038</v>
      </c>
      <c r="M39" s="1086">
        <f>'[8]FY2012-13 Initial'!$K40</f>
        <v>3055</v>
      </c>
      <c r="N39" s="1088">
        <f t="shared" ref="N39:N70" si="30">M39*C39</f>
        <v>391040</v>
      </c>
      <c r="O39" s="1155">
        <f t="shared" si="22"/>
        <v>-977.6</v>
      </c>
      <c r="P39" s="1088">
        <f t="shared" si="23"/>
        <v>390062.4</v>
      </c>
      <c r="Q39" s="1088"/>
      <c r="R39" s="1088">
        <f t="shared" si="24"/>
        <v>390062.4</v>
      </c>
      <c r="S39" s="1088">
        <f t="shared" si="25"/>
        <v>32505</v>
      </c>
      <c r="T39" s="1089">
        <f t="shared" si="26"/>
        <v>1146514.2282194691</v>
      </c>
      <c r="U39" s="1089">
        <f t="shared" si="27"/>
        <v>95543</v>
      </c>
    </row>
    <row r="40" spans="1:21">
      <c r="A40" s="1028">
        <v>34</v>
      </c>
      <c r="B40" s="1029" t="s">
        <v>135</v>
      </c>
      <c r="C40" s="1036">
        <f>'Table 8 2.1.12 MFP Funded'!O37</f>
        <v>0</v>
      </c>
      <c r="D40" s="1037">
        <f>'Table 3 Levels 1&amp;2'!AL41</f>
        <v>5843.9642210290731</v>
      </c>
      <c r="E40" s="1139">
        <f t="shared" si="28"/>
        <v>0</v>
      </c>
      <c r="F40" s="1139">
        <f t="shared" si="17"/>
        <v>0</v>
      </c>
      <c r="G40" s="1094">
        <f t="shared" si="29"/>
        <v>0</v>
      </c>
      <c r="H40" s="1149">
        <f t="shared" si="18"/>
        <v>0</v>
      </c>
      <c r="I40" s="1094">
        <f t="shared" si="19"/>
        <v>0</v>
      </c>
      <c r="J40" s="1094"/>
      <c r="K40" s="1094">
        <f t="shared" si="20"/>
        <v>0</v>
      </c>
      <c r="L40" s="1094">
        <f t="shared" si="21"/>
        <v>0</v>
      </c>
      <c r="M40" s="1086">
        <f>'[8]FY2012-13 Initial'!$K41</f>
        <v>2782</v>
      </c>
      <c r="N40" s="1088">
        <f t="shared" si="30"/>
        <v>0</v>
      </c>
      <c r="O40" s="1155">
        <f t="shared" si="22"/>
        <v>0</v>
      </c>
      <c r="P40" s="1088">
        <f t="shared" si="23"/>
        <v>0</v>
      </c>
      <c r="Q40" s="1088"/>
      <c r="R40" s="1088">
        <f t="shared" si="24"/>
        <v>0</v>
      </c>
      <c r="S40" s="1088">
        <f t="shared" si="25"/>
        <v>0</v>
      </c>
      <c r="T40" s="1089">
        <f t="shared" si="26"/>
        <v>0</v>
      </c>
      <c r="U40" s="1089">
        <f t="shared" si="27"/>
        <v>0</v>
      </c>
    </row>
    <row r="41" spans="1:21">
      <c r="A41" s="1032">
        <v>35</v>
      </c>
      <c r="B41" s="1033" t="s">
        <v>136</v>
      </c>
      <c r="C41" s="1038">
        <f>'Table 8 2.1.12 MFP Funded'!O38</f>
        <v>0</v>
      </c>
      <c r="D41" s="1039">
        <f>'Table 3 Levels 1&amp;2'!AL42</f>
        <v>4830.9633412658623</v>
      </c>
      <c r="E41" s="1140">
        <f t="shared" si="28"/>
        <v>0</v>
      </c>
      <c r="F41" s="1140">
        <f t="shared" si="17"/>
        <v>0</v>
      </c>
      <c r="G41" s="1095">
        <f t="shared" si="29"/>
        <v>0</v>
      </c>
      <c r="H41" s="1150">
        <f t="shared" si="18"/>
        <v>0</v>
      </c>
      <c r="I41" s="1095">
        <f t="shared" si="19"/>
        <v>0</v>
      </c>
      <c r="J41" s="1095"/>
      <c r="K41" s="1095">
        <f t="shared" si="20"/>
        <v>0</v>
      </c>
      <c r="L41" s="1095">
        <f t="shared" si="21"/>
        <v>0</v>
      </c>
      <c r="M41" s="1091">
        <f>'[8]FY2012-13 Initial'!$K42</f>
        <v>3175</v>
      </c>
      <c r="N41" s="1092">
        <f t="shared" si="30"/>
        <v>0</v>
      </c>
      <c r="O41" s="1156">
        <f t="shared" si="22"/>
        <v>0</v>
      </c>
      <c r="P41" s="1092">
        <f t="shared" si="23"/>
        <v>0</v>
      </c>
      <c r="Q41" s="1092"/>
      <c r="R41" s="1092">
        <f t="shared" si="24"/>
        <v>0</v>
      </c>
      <c r="S41" s="1092">
        <f t="shared" si="25"/>
        <v>0</v>
      </c>
      <c r="T41" s="1093">
        <f t="shared" si="26"/>
        <v>0</v>
      </c>
      <c r="U41" s="1093">
        <f t="shared" si="27"/>
        <v>0</v>
      </c>
    </row>
    <row r="42" spans="1:21">
      <c r="A42" s="1021">
        <v>36</v>
      </c>
      <c r="B42" s="1022" t="s">
        <v>137</v>
      </c>
      <c r="C42" s="1040">
        <f>'Table 8 2.1.12 MFP Funded'!O39</f>
        <v>0</v>
      </c>
      <c r="D42" s="1041">
        <f>'Table 3 Levels 1&amp;2'!AL43</f>
        <v>3493.4615493208294</v>
      </c>
      <c r="E42" s="1141">
        <f t="shared" si="28"/>
        <v>0</v>
      </c>
      <c r="F42" s="1141">
        <f t="shared" si="17"/>
        <v>0</v>
      </c>
      <c r="G42" s="1096">
        <f t="shared" si="29"/>
        <v>0</v>
      </c>
      <c r="H42" s="1151">
        <f t="shared" si="18"/>
        <v>0</v>
      </c>
      <c r="I42" s="1096">
        <f t="shared" si="19"/>
        <v>0</v>
      </c>
      <c r="J42" s="1096"/>
      <c r="K42" s="1096">
        <f t="shared" si="20"/>
        <v>0</v>
      </c>
      <c r="L42" s="1096">
        <f t="shared" si="21"/>
        <v>0</v>
      </c>
      <c r="M42" s="1086">
        <f>'[8]FY2012-13 Initial'!$K43</f>
        <v>4785</v>
      </c>
      <c r="N42" s="1026">
        <f t="shared" si="30"/>
        <v>0</v>
      </c>
      <c r="O42" s="1154">
        <f t="shared" si="22"/>
        <v>0</v>
      </c>
      <c r="P42" s="1026">
        <f t="shared" si="23"/>
        <v>0</v>
      </c>
      <c r="Q42" s="1026"/>
      <c r="R42" s="1026">
        <f t="shared" si="24"/>
        <v>0</v>
      </c>
      <c r="S42" s="1026">
        <f t="shared" si="25"/>
        <v>0</v>
      </c>
      <c r="T42" s="1027">
        <f t="shared" si="26"/>
        <v>0</v>
      </c>
      <c r="U42" s="1027">
        <f t="shared" si="27"/>
        <v>0</v>
      </c>
    </row>
    <row r="43" spans="1:21">
      <c r="A43" s="1028">
        <v>37</v>
      </c>
      <c r="B43" s="1029" t="s">
        <v>138</v>
      </c>
      <c r="C43" s="1036">
        <f>'Table 8 2.1.12 MFP Funded'!O40</f>
        <v>0</v>
      </c>
      <c r="D43" s="1037">
        <f>'Table 3 Levels 1&amp;2'!AL44</f>
        <v>5484.3026094077886</v>
      </c>
      <c r="E43" s="1139">
        <f t="shared" si="28"/>
        <v>0</v>
      </c>
      <c r="F43" s="1139">
        <f t="shared" si="17"/>
        <v>0</v>
      </c>
      <c r="G43" s="1094">
        <f t="shared" si="29"/>
        <v>0</v>
      </c>
      <c r="H43" s="1149">
        <f t="shared" si="18"/>
        <v>0</v>
      </c>
      <c r="I43" s="1094">
        <f t="shared" si="19"/>
        <v>0</v>
      </c>
      <c r="J43" s="1094"/>
      <c r="K43" s="1094">
        <f t="shared" si="20"/>
        <v>0</v>
      </c>
      <c r="L43" s="1094">
        <f t="shared" si="21"/>
        <v>0</v>
      </c>
      <c r="M43" s="1086">
        <f>'[8]FY2012-13 Initial'!$K44</f>
        <v>3112</v>
      </c>
      <c r="N43" s="1088">
        <f t="shared" si="30"/>
        <v>0</v>
      </c>
      <c r="O43" s="1155">
        <f t="shared" si="22"/>
        <v>0</v>
      </c>
      <c r="P43" s="1088">
        <f t="shared" si="23"/>
        <v>0</v>
      </c>
      <c r="Q43" s="1088"/>
      <c r="R43" s="1088">
        <f t="shared" si="24"/>
        <v>0</v>
      </c>
      <c r="S43" s="1088">
        <f t="shared" si="25"/>
        <v>0</v>
      </c>
      <c r="T43" s="1089">
        <f t="shared" si="26"/>
        <v>0</v>
      </c>
      <c r="U43" s="1089">
        <f t="shared" si="27"/>
        <v>0</v>
      </c>
    </row>
    <row r="44" spans="1:21">
      <c r="A44" s="1028">
        <v>38</v>
      </c>
      <c r="B44" s="1029" t="s">
        <v>139</v>
      </c>
      <c r="C44" s="1036">
        <f>'Table 8 2.1.12 MFP Funded'!O41</f>
        <v>0</v>
      </c>
      <c r="D44" s="1037">
        <f>'Table 3 Levels 1&amp;2'!AL45</f>
        <v>2191.7415364583335</v>
      </c>
      <c r="E44" s="1139">
        <f t="shared" si="28"/>
        <v>0</v>
      </c>
      <c r="F44" s="1139">
        <f t="shared" si="17"/>
        <v>0</v>
      </c>
      <c r="G44" s="1094">
        <f t="shared" si="29"/>
        <v>0</v>
      </c>
      <c r="H44" s="1149">
        <f t="shared" si="18"/>
        <v>0</v>
      </c>
      <c r="I44" s="1094">
        <f t="shared" si="19"/>
        <v>0</v>
      </c>
      <c r="J44" s="1094"/>
      <c r="K44" s="1094">
        <f t="shared" si="20"/>
        <v>0</v>
      </c>
      <c r="L44" s="1094">
        <f t="shared" si="21"/>
        <v>0</v>
      </c>
      <c r="M44" s="1086">
        <f>'[8]FY2012-13 Initial'!$K45</f>
        <v>9771</v>
      </c>
      <c r="N44" s="1088">
        <f t="shared" si="30"/>
        <v>0</v>
      </c>
      <c r="O44" s="1155">
        <f t="shared" si="22"/>
        <v>0</v>
      </c>
      <c r="P44" s="1088">
        <f t="shared" si="23"/>
        <v>0</v>
      </c>
      <c r="Q44" s="1088"/>
      <c r="R44" s="1088">
        <f t="shared" si="24"/>
        <v>0</v>
      </c>
      <c r="S44" s="1088">
        <f t="shared" si="25"/>
        <v>0</v>
      </c>
      <c r="T44" s="1089">
        <f t="shared" si="26"/>
        <v>0</v>
      </c>
      <c r="U44" s="1089">
        <f t="shared" si="27"/>
        <v>0</v>
      </c>
    </row>
    <row r="45" spans="1:21">
      <c r="A45" s="1028">
        <v>39</v>
      </c>
      <c r="B45" s="1029" t="s">
        <v>140</v>
      </c>
      <c r="C45" s="1036">
        <f>'Table 8 2.1.12 MFP Funded'!O42</f>
        <v>0</v>
      </c>
      <c r="D45" s="1037">
        <f>'Table 3 Levels 1&amp;2'!AL46</f>
        <v>3686.1886996918806</v>
      </c>
      <c r="E45" s="1139">
        <f t="shared" si="28"/>
        <v>0</v>
      </c>
      <c r="F45" s="1139">
        <f t="shared" si="17"/>
        <v>0</v>
      </c>
      <c r="G45" s="1094">
        <f t="shared" si="29"/>
        <v>0</v>
      </c>
      <c r="H45" s="1149">
        <f t="shared" si="18"/>
        <v>0</v>
      </c>
      <c r="I45" s="1094">
        <f t="shared" si="19"/>
        <v>0</v>
      </c>
      <c r="J45" s="1094"/>
      <c r="K45" s="1094">
        <f t="shared" si="20"/>
        <v>0</v>
      </c>
      <c r="L45" s="1094">
        <f t="shared" si="21"/>
        <v>0</v>
      </c>
      <c r="M45" s="1086">
        <f>'[8]FY2012-13 Initial'!$K46</f>
        <v>4190</v>
      </c>
      <c r="N45" s="1088">
        <f t="shared" si="30"/>
        <v>0</v>
      </c>
      <c r="O45" s="1155">
        <f t="shared" si="22"/>
        <v>0</v>
      </c>
      <c r="P45" s="1088">
        <f t="shared" si="23"/>
        <v>0</v>
      </c>
      <c r="Q45" s="1088"/>
      <c r="R45" s="1088">
        <f t="shared" si="24"/>
        <v>0</v>
      </c>
      <c r="S45" s="1088">
        <f t="shared" si="25"/>
        <v>0</v>
      </c>
      <c r="T45" s="1089">
        <f t="shared" si="26"/>
        <v>0</v>
      </c>
      <c r="U45" s="1089">
        <f t="shared" si="27"/>
        <v>0</v>
      </c>
    </row>
    <row r="46" spans="1:21">
      <c r="A46" s="1032">
        <v>40</v>
      </c>
      <c r="B46" s="1033" t="s">
        <v>141</v>
      </c>
      <c r="C46" s="1038">
        <f>'Table 8 2.1.12 MFP Funded'!O43</f>
        <v>0</v>
      </c>
      <c r="D46" s="1039">
        <f>'Table 3 Levels 1&amp;2'!AL47</f>
        <v>4879.0185326187402</v>
      </c>
      <c r="E46" s="1140">
        <f t="shared" si="28"/>
        <v>0</v>
      </c>
      <c r="F46" s="1140">
        <f t="shared" si="17"/>
        <v>0</v>
      </c>
      <c r="G46" s="1095">
        <f t="shared" si="29"/>
        <v>0</v>
      </c>
      <c r="H46" s="1150">
        <f t="shared" si="18"/>
        <v>0</v>
      </c>
      <c r="I46" s="1095">
        <f t="shared" si="19"/>
        <v>0</v>
      </c>
      <c r="J46" s="1095"/>
      <c r="K46" s="1095">
        <f t="shared" si="20"/>
        <v>0</v>
      </c>
      <c r="L46" s="1095">
        <f t="shared" si="21"/>
        <v>0</v>
      </c>
      <c r="M46" s="1091">
        <f>'[8]FY2012-13 Initial'!$K47</f>
        <v>2887</v>
      </c>
      <c r="N46" s="1092">
        <f t="shared" si="30"/>
        <v>0</v>
      </c>
      <c r="O46" s="1156">
        <f t="shared" si="22"/>
        <v>0</v>
      </c>
      <c r="P46" s="1092">
        <f t="shared" si="23"/>
        <v>0</v>
      </c>
      <c r="Q46" s="1092"/>
      <c r="R46" s="1092">
        <f t="shared" si="24"/>
        <v>0</v>
      </c>
      <c r="S46" s="1092">
        <f t="shared" si="25"/>
        <v>0</v>
      </c>
      <c r="T46" s="1093">
        <f t="shared" si="26"/>
        <v>0</v>
      </c>
      <c r="U46" s="1093">
        <f t="shared" si="27"/>
        <v>0</v>
      </c>
    </row>
    <row r="47" spans="1:21">
      <c r="A47" s="1021">
        <v>41</v>
      </c>
      <c r="B47" s="1022" t="s">
        <v>142</v>
      </c>
      <c r="C47" s="1040">
        <f>'Table 8 2.1.12 MFP Funded'!O44</f>
        <v>0</v>
      </c>
      <c r="D47" s="1041">
        <f>'Table 3 Levels 1&amp;2'!AL48</f>
        <v>1608.4303482587065</v>
      </c>
      <c r="E47" s="1141">
        <f t="shared" si="28"/>
        <v>0</v>
      </c>
      <c r="F47" s="1141">
        <f t="shared" si="17"/>
        <v>0</v>
      </c>
      <c r="G47" s="1096">
        <f t="shared" si="29"/>
        <v>0</v>
      </c>
      <c r="H47" s="1151">
        <f t="shared" si="18"/>
        <v>0</v>
      </c>
      <c r="I47" s="1096">
        <f t="shared" si="19"/>
        <v>0</v>
      </c>
      <c r="J47" s="1096"/>
      <c r="K47" s="1096">
        <f t="shared" si="20"/>
        <v>0</v>
      </c>
      <c r="L47" s="1096">
        <f t="shared" si="21"/>
        <v>0</v>
      </c>
      <c r="M47" s="1086">
        <f>'[8]FY2012-13 Initial'!$K48</f>
        <v>12470</v>
      </c>
      <c r="N47" s="1026">
        <f t="shared" si="30"/>
        <v>0</v>
      </c>
      <c r="O47" s="1154">
        <f t="shared" si="22"/>
        <v>0</v>
      </c>
      <c r="P47" s="1026">
        <f t="shared" si="23"/>
        <v>0</v>
      </c>
      <c r="Q47" s="1026"/>
      <c r="R47" s="1026">
        <f t="shared" si="24"/>
        <v>0</v>
      </c>
      <c r="S47" s="1026">
        <f t="shared" si="25"/>
        <v>0</v>
      </c>
      <c r="T47" s="1027">
        <f t="shared" si="26"/>
        <v>0</v>
      </c>
      <c r="U47" s="1027">
        <f t="shared" si="27"/>
        <v>0</v>
      </c>
    </row>
    <row r="48" spans="1:21">
      <c r="A48" s="1028">
        <v>42</v>
      </c>
      <c r="B48" s="1029" t="s">
        <v>143</v>
      </c>
      <c r="C48" s="1036">
        <f>'Table 8 2.1.12 MFP Funded'!O45</f>
        <v>394</v>
      </c>
      <c r="D48" s="1037">
        <f>'Table 3 Levels 1&amp;2'!AL49</f>
        <v>5260.3047779801664</v>
      </c>
      <c r="E48" s="1139">
        <f t="shared" si="28"/>
        <v>2072560.0825241855</v>
      </c>
      <c r="F48" s="1139">
        <f t="shared" si="17"/>
        <v>207647.27639176385</v>
      </c>
      <c r="G48" s="1094">
        <f t="shared" si="29"/>
        <v>2280207.3589159492</v>
      </c>
      <c r="H48" s="1149">
        <f t="shared" si="18"/>
        <v>-5700.5183972898731</v>
      </c>
      <c r="I48" s="1094">
        <f t="shared" si="19"/>
        <v>2274506.8405186594</v>
      </c>
      <c r="J48" s="1094"/>
      <c r="K48" s="1094">
        <f t="shared" si="20"/>
        <v>2274506.8405186594</v>
      </c>
      <c r="L48" s="1094">
        <f t="shared" si="21"/>
        <v>189542</v>
      </c>
      <c r="M48" s="1086">
        <f>'[8]FY2012-13 Initial'!$K49</f>
        <v>2353</v>
      </c>
      <c r="N48" s="1088">
        <f t="shared" si="30"/>
        <v>927082</v>
      </c>
      <c r="O48" s="1155">
        <f t="shared" si="22"/>
        <v>-2317.7049999999999</v>
      </c>
      <c r="P48" s="1088">
        <f t="shared" si="23"/>
        <v>924764.29500000004</v>
      </c>
      <c r="Q48" s="1088"/>
      <c r="R48" s="1088">
        <f t="shared" si="24"/>
        <v>924764.29500000004</v>
      </c>
      <c r="S48" s="1088">
        <f t="shared" si="25"/>
        <v>77064</v>
      </c>
      <c r="T48" s="1089">
        <f t="shared" si="26"/>
        <v>3199271.1355186594</v>
      </c>
      <c r="U48" s="1089">
        <f t="shared" si="27"/>
        <v>266606</v>
      </c>
    </row>
    <row r="49" spans="1:21">
      <c r="A49" s="1028">
        <v>43</v>
      </c>
      <c r="B49" s="1029" t="s">
        <v>144</v>
      </c>
      <c r="C49" s="1036">
        <f>'Table 8 2.1.12 MFP Funded'!O46</f>
        <v>0</v>
      </c>
      <c r="D49" s="1037">
        <f>'Table 3 Levels 1&amp;2'!AL50</f>
        <v>5587.3492327608728</v>
      </c>
      <c r="E49" s="1139">
        <f t="shared" si="28"/>
        <v>0</v>
      </c>
      <c r="F49" s="1139">
        <f t="shared" si="17"/>
        <v>0</v>
      </c>
      <c r="G49" s="1094">
        <f t="shared" si="29"/>
        <v>0</v>
      </c>
      <c r="H49" s="1149">
        <f t="shared" si="18"/>
        <v>0</v>
      </c>
      <c r="I49" s="1094">
        <f t="shared" si="19"/>
        <v>0</v>
      </c>
      <c r="J49" s="1094"/>
      <c r="K49" s="1094">
        <f t="shared" si="20"/>
        <v>0</v>
      </c>
      <c r="L49" s="1094">
        <f t="shared" si="21"/>
        <v>0</v>
      </c>
      <c r="M49" s="1086">
        <f>'[8]FY2012-13 Initial'!$K50</f>
        <v>5599</v>
      </c>
      <c r="N49" s="1088">
        <f t="shared" si="30"/>
        <v>0</v>
      </c>
      <c r="O49" s="1155">
        <f t="shared" si="22"/>
        <v>0</v>
      </c>
      <c r="P49" s="1088">
        <f t="shared" si="23"/>
        <v>0</v>
      </c>
      <c r="Q49" s="1088"/>
      <c r="R49" s="1088">
        <f t="shared" si="24"/>
        <v>0</v>
      </c>
      <c r="S49" s="1088">
        <f t="shared" si="25"/>
        <v>0</v>
      </c>
      <c r="T49" s="1089">
        <f t="shared" si="26"/>
        <v>0</v>
      </c>
      <c r="U49" s="1089">
        <f t="shared" si="27"/>
        <v>0</v>
      </c>
    </row>
    <row r="50" spans="1:21">
      <c r="A50" s="1028">
        <v>44</v>
      </c>
      <c r="B50" s="1029" t="s">
        <v>145</v>
      </c>
      <c r="C50" s="1036">
        <f>'Table 8 2.1.12 MFP Funded'!O47</f>
        <v>0</v>
      </c>
      <c r="D50" s="1037">
        <f>'Table 3 Levels 1&amp;2'!AL51</f>
        <v>4113.1787591918992</v>
      </c>
      <c r="E50" s="1139">
        <f t="shared" si="28"/>
        <v>0</v>
      </c>
      <c r="F50" s="1139">
        <f t="shared" si="17"/>
        <v>0</v>
      </c>
      <c r="G50" s="1094">
        <f t="shared" si="29"/>
        <v>0</v>
      </c>
      <c r="H50" s="1149">
        <f t="shared" si="18"/>
        <v>0</v>
      </c>
      <c r="I50" s="1094">
        <f t="shared" si="19"/>
        <v>0</v>
      </c>
      <c r="J50" s="1094"/>
      <c r="K50" s="1094">
        <f t="shared" si="20"/>
        <v>0</v>
      </c>
      <c r="L50" s="1094">
        <f t="shared" si="21"/>
        <v>0</v>
      </c>
      <c r="M50" s="1086">
        <f>'[8]FY2012-13 Initial'!$K51</f>
        <v>4661</v>
      </c>
      <c r="N50" s="1088">
        <f t="shared" si="30"/>
        <v>0</v>
      </c>
      <c r="O50" s="1155">
        <f t="shared" si="22"/>
        <v>0</v>
      </c>
      <c r="P50" s="1088">
        <f t="shared" si="23"/>
        <v>0</v>
      </c>
      <c r="Q50" s="1088"/>
      <c r="R50" s="1088">
        <f t="shared" si="24"/>
        <v>0</v>
      </c>
      <c r="S50" s="1088">
        <f t="shared" si="25"/>
        <v>0</v>
      </c>
      <c r="T50" s="1089">
        <f t="shared" si="26"/>
        <v>0</v>
      </c>
      <c r="U50" s="1089">
        <f t="shared" si="27"/>
        <v>0</v>
      </c>
    </row>
    <row r="51" spans="1:21">
      <c r="A51" s="1032">
        <v>45</v>
      </c>
      <c r="B51" s="1033" t="s">
        <v>146</v>
      </c>
      <c r="C51" s="1038">
        <f>'Table 8 2.1.12 MFP Funded'!O48</f>
        <v>0</v>
      </c>
      <c r="D51" s="1039">
        <f>'Table 3 Levels 1&amp;2'!AL52</f>
        <v>2414.8479898164846</v>
      </c>
      <c r="E51" s="1140">
        <f t="shared" si="28"/>
        <v>0</v>
      </c>
      <c r="F51" s="1140">
        <f t="shared" si="17"/>
        <v>0</v>
      </c>
      <c r="G51" s="1095">
        <f t="shared" si="29"/>
        <v>0</v>
      </c>
      <c r="H51" s="1150">
        <f t="shared" si="18"/>
        <v>0</v>
      </c>
      <c r="I51" s="1095">
        <f t="shared" si="19"/>
        <v>0</v>
      </c>
      <c r="J51" s="1095"/>
      <c r="K51" s="1095">
        <f t="shared" si="20"/>
        <v>0</v>
      </c>
      <c r="L51" s="1095">
        <f t="shared" si="21"/>
        <v>0</v>
      </c>
      <c r="M51" s="1091">
        <f>'[8]FY2012-13 Initial'!$K52</f>
        <v>11650</v>
      </c>
      <c r="N51" s="1092">
        <f t="shared" si="30"/>
        <v>0</v>
      </c>
      <c r="O51" s="1156">
        <f t="shared" si="22"/>
        <v>0</v>
      </c>
      <c r="P51" s="1092">
        <f t="shared" si="23"/>
        <v>0</v>
      </c>
      <c r="Q51" s="1092"/>
      <c r="R51" s="1092">
        <f t="shared" si="24"/>
        <v>0</v>
      </c>
      <c r="S51" s="1092">
        <f t="shared" si="25"/>
        <v>0</v>
      </c>
      <c r="T51" s="1093">
        <f t="shared" si="26"/>
        <v>0</v>
      </c>
      <c r="U51" s="1093">
        <f t="shared" si="27"/>
        <v>0</v>
      </c>
    </row>
    <row r="52" spans="1:21">
      <c r="A52" s="1021">
        <v>46</v>
      </c>
      <c r="B52" s="1022" t="s">
        <v>147</v>
      </c>
      <c r="C52" s="1040">
        <f>'Table 8 2.1.12 MFP Funded'!O49</f>
        <v>0</v>
      </c>
      <c r="D52" s="1041">
        <f>'Table 3 Levels 1&amp;2'!AL53</f>
        <v>5765.0314518803261</v>
      </c>
      <c r="E52" s="1141">
        <f t="shared" si="28"/>
        <v>0</v>
      </c>
      <c r="F52" s="1141">
        <f t="shared" si="17"/>
        <v>0</v>
      </c>
      <c r="G52" s="1096">
        <f t="shared" si="29"/>
        <v>0</v>
      </c>
      <c r="H52" s="1151">
        <f t="shared" si="18"/>
        <v>0</v>
      </c>
      <c r="I52" s="1096">
        <f t="shared" si="19"/>
        <v>0</v>
      </c>
      <c r="J52" s="1096"/>
      <c r="K52" s="1096">
        <f t="shared" si="20"/>
        <v>0</v>
      </c>
      <c r="L52" s="1096">
        <f t="shared" si="21"/>
        <v>0</v>
      </c>
      <c r="M52" s="1086">
        <f>'[8]FY2012-13 Initial'!$K53</f>
        <v>1789</v>
      </c>
      <c r="N52" s="1026">
        <f t="shared" si="30"/>
        <v>0</v>
      </c>
      <c r="O52" s="1154">
        <f t="shared" si="22"/>
        <v>0</v>
      </c>
      <c r="P52" s="1026">
        <f t="shared" si="23"/>
        <v>0</v>
      </c>
      <c r="Q52" s="1026"/>
      <c r="R52" s="1026">
        <f t="shared" si="24"/>
        <v>0</v>
      </c>
      <c r="S52" s="1026">
        <f t="shared" si="25"/>
        <v>0</v>
      </c>
      <c r="T52" s="1027">
        <f t="shared" si="26"/>
        <v>0</v>
      </c>
      <c r="U52" s="1027">
        <f t="shared" si="27"/>
        <v>0</v>
      </c>
    </row>
    <row r="53" spans="1:21">
      <c r="A53" s="1028">
        <v>47</v>
      </c>
      <c r="B53" s="1029" t="s">
        <v>148</v>
      </c>
      <c r="C53" s="1036">
        <f>'Table 8 2.1.12 MFP Funded'!O50</f>
        <v>0</v>
      </c>
      <c r="D53" s="1037">
        <f>'Table 3 Levels 1&amp;2'!AL54</f>
        <v>3186.1712081166847</v>
      </c>
      <c r="E53" s="1139">
        <f t="shared" si="28"/>
        <v>0</v>
      </c>
      <c r="F53" s="1139">
        <f t="shared" si="17"/>
        <v>0</v>
      </c>
      <c r="G53" s="1094">
        <f t="shared" si="29"/>
        <v>0</v>
      </c>
      <c r="H53" s="1149">
        <f t="shared" si="18"/>
        <v>0</v>
      </c>
      <c r="I53" s="1094">
        <f t="shared" si="19"/>
        <v>0</v>
      </c>
      <c r="J53" s="1094"/>
      <c r="K53" s="1094">
        <f t="shared" si="20"/>
        <v>0</v>
      </c>
      <c r="L53" s="1094">
        <f t="shared" si="21"/>
        <v>0</v>
      </c>
      <c r="M53" s="1086">
        <f>'[8]FY2012-13 Initial'!$K54</f>
        <v>9947</v>
      </c>
      <c r="N53" s="1088">
        <f t="shared" si="30"/>
        <v>0</v>
      </c>
      <c r="O53" s="1155">
        <f t="shared" si="22"/>
        <v>0</v>
      </c>
      <c r="P53" s="1088">
        <f t="shared" si="23"/>
        <v>0</v>
      </c>
      <c r="Q53" s="1088"/>
      <c r="R53" s="1088">
        <f t="shared" si="24"/>
        <v>0</v>
      </c>
      <c r="S53" s="1088">
        <f t="shared" si="25"/>
        <v>0</v>
      </c>
      <c r="T53" s="1089">
        <f t="shared" si="26"/>
        <v>0</v>
      </c>
      <c r="U53" s="1089">
        <f t="shared" si="27"/>
        <v>0</v>
      </c>
    </row>
    <row r="54" spans="1:21">
      <c r="A54" s="1028">
        <v>48</v>
      </c>
      <c r="B54" s="1029" t="s">
        <v>222</v>
      </c>
      <c r="C54" s="1036">
        <f>'Table 8 2.1.12 MFP Funded'!O51</f>
        <v>0</v>
      </c>
      <c r="D54" s="1037">
        <f>'Table 3 Levels 1&amp;2'!AL55</f>
        <v>4260.4872196136057</v>
      </c>
      <c r="E54" s="1139">
        <f t="shared" si="28"/>
        <v>0</v>
      </c>
      <c r="F54" s="1139">
        <f t="shared" si="17"/>
        <v>0</v>
      </c>
      <c r="G54" s="1094">
        <f t="shared" si="29"/>
        <v>0</v>
      </c>
      <c r="H54" s="1149">
        <f t="shared" si="18"/>
        <v>0</v>
      </c>
      <c r="I54" s="1094">
        <f t="shared" si="19"/>
        <v>0</v>
      </c>
      <c r="J54" s="1094"/>
      <c r="K54" s="1094">
        <f t="shared" si="20"/>
        <v>0</v>
      </c>
      <c r="L54" s="1094">
        <f t="shared" si="21"/>
        <v>0</v>
      </c>
      <c r="M54" s="1086">
        <f>'[8]FY2012-13 Initial'!$K55</f>
        <v>5325</v>
      </c>
      <c r="N54" s="1088">
        <f t="shared" si="30"/>
        <v>0</v>
      </c>
      <c r="O54" s="1155">
        <f t="shared" si="22"/>
        <v>0</v>
      </c>
      <c r="P54" s="1088">
        <f t="shared" si="23"/>
        <v>0</v>
      </c>
      <c r="Q54" s="1088"/>
      <c r="R54" s="1088">
        <f t="shared" si="24"/>
        <v>0</v>
      </c>
      <c r="S54" s="1088">
        <f t="shared" si="25"/>
        <v>0</v>
      </c>
      <c r="T54" s="1089">
        <f t="shared" si="26"/>
        <v>0</v>
      </c>
      <c r="U54" s="1089">
        <f t="shared" si="27"/>
        <v>0</v>
      </c>
    </row>
    <row r="55" spans="1:21">
      <c r="A55" s="1028">
        <v>49</v>
      </c>
      <c r="B55" s="1029" t="s">
        <v>149</v>
      </c>
      <c r="C55" s="1036">
        <f>'Table 8 2.1.12 MFP Funded'!O52</f>
        <v>0</v>
      </c>
      <c r="D55" s="1037">
        <f>'Table 3 Levels 1&amp;2'!AL56</f>
        <v>4800.2172145077111</v>
      </c>
      <c r="E55" s="1139">
        <f t="shared" si="28"/>
        <v>0</v>
      </c>
      <c r="F55" s="1139">
        <f t="shared" si="17"/>
        <v>0</v>
      </c>
      <c r="G55" s="1094">
        <f t="shared" si="29"/>
        <v>0</v>
      </c>
      <c r="H55" s="1149">
        <f t="shared" si="18"/>
        <v>0</v>
      </c>
      <c r="I55" s="1094">
        <f t="shared" si="19"/>
        <v>0</v>
      </c>
      <c r="J55" s="1094"/>
      <c r="K55" s="1094">
        <f t="shared" si="20"/>
        <v>0</v>
      </c>
      <c r="L55" s="1094">
        <f t="shared" si="21"/>
        <v>0</v>
      </c>
      <c r="M55" s="1086">
        <f>'[8]FY2012-13 Initial'!$K56</f>
        <v>2326</v>
      </c>
      <c r="N55" s="1088">
        <f t="shared" si="30"/>
        <v>0</v>
      </c>
      <c r="O55" s="1155">
        <f t="shared" si="22"/>
        <v>0</v>
      </c>
      <c r="P55" s="1088">
        <f t="shared" si="23"/>
        <v>0</v>
      </c>
      <c r="Q55" s="1088"/>
      <c r="R55" s="1088">
        <f t="shared" si="24"/>
        <v>0</v>
      </c>
      <c r="S55" s="1088">
        <f t="shared" si="25"/>
        <v>0</v>
      </c>
      <c r="T55" s="1089">
        <f t="shared" si="26"/>
        <v>0</v>
      </c>
      <c r="U55" s="1089">
        <f t="shared" si="27"/>
        <v>0</v>
      </c>
    </row>
    <row r="56" spans="1:21">
      <c r="A56" s="1032">
        <v>50</v>
      </c>
      <c r="B56" s="1033" t="s">
        <v>150</v>
      </c>
      <c r="C56" s="1038">
        <f>'Table 8 2.1.12 MFP Funded'!O53</f>
        <v>0</v>
      </c>
      <c r="D56" s="1039">
        <f>'Table 3 Levels 1&amp;2'!AL57</f>
        <v>5059.523754419537</v>
      </c>
      <c r="E56" s="1140">
        <f t="shared" si="28"/>
        <v>0</v>
      </c>
      <c r="F56" s="1140">
        <f t="shared" si="17"/>
        <v>0</v>
      </c>
      <c r="G56" s="1095">
        <f t="shared" si="29"/>
        <v>0</v>
      </c>
      <c r="H56" s="1150">
        <f t="shared" si="18"/>
        <v>0</v>
      </c>
      <c r="I56" s="1095">
        <f t="shared" si="19"/>
        <v>0</v>
      </c>
      <c r="J56" s="1095"/>
      <c r="K56" s="1095">
        <f t="shared" si="20"/>
        <v>0</v>
      </c>
      <c r="L56" s="1095">
        <f t="shared" si="21"/>
        <v>0</v>
      </c>
      <c r="M56" s="1091">
        <f>'[8]FY2012-13 Initial'!$K57</f>
        <v>2574</v>
      </c>
      <c r="N56" s="1092">
        <f t="shared" si="30"/>
        <v>0</v>
      </c>
      <c r="O56" s="1156">
        <f t="shared" si="22"/>
        <v>0</v>
      </c>
      <c r="P56" s="1092">
        <f t="shared" si="23"/>
        <v>0</v>
      </c>
      <c r="Q56" s="1092"/>
      <c r="R56" s="1092">
        <f t="shared" si="24"/>
        <v>0</v>
      </c>
      <c r="S56" s="1092">
        <f t="shared" si="25"/>
        <v>0</v>
      </c>
      <c r="T56" s="1093">
        <f t="shared" si="26"/>
        <v>0</v>
      </c>
      <c r="U56" s="1093">
        <f t="shared" si="27"/>
        <v>0</v>
      </c>
    </row>
    <row r="57" spans="1:21">
      <c r="A57" s="1021">
        <v>51</v>
      </c>
      <c r="B57" s="1022" t="s">
        <v>151</v>
      </c>
      <c r="C57" s="1040">
        <f>'Table 8 2.1.12 MFP Funded'!O54</f>
        <v>0</v>
      </c>
      <c r="D57" s="1041">
        <f>'Table 3 Levels 1&amp;2'!AL58</f>
        <v>4384.0477116019692</v>
      </c>
      <c r="E57" s="1141">
        <f t="shared" si="28"/>
        <v>0</v>
      </c>
      <c r="F57" s="1141">
        <f t="shared" si="17"/>
        <v>0</v>
      </c>
      <c r="G57" s="1096">
        <f t="shared" si="29"/>
        <v>0</v>
      </c>
      <c r="H57" s="1151">
        <f t="shared" si="18"/>
        <v>0</v>
      </c>
      <c r="I57" s="1096">
        <f t="shared" si="19"/>
        <v>0</v>
      </c>
      <c r="J57" s="1096"/>
      <c r="K57" s="1096">
        <f t="shared" si="20"/>
        <v>0</v>
      </c>
      <c r="L57" s="1096">
        <f t="shared" si="21"/>
        <v>0</v>
      </c>
      <c r="M57" s="1086">
        <f>'[8]FY2012-13 Initial'!$K58</f>
        <v>3943</v>
      </c>
      <c r="N57" s="1026">
        <f t="shared" si="30"/>
        <v>0</v>
      </c>
      <c r="O57" s="1154">
        <f t="shared" si="22"/>
        <v>0</v>
      </c>
      <c r="P57" s="1026">
        <f t="shared" si="23"/>
        <v>0</v>
      </c>
      <c r="Q57" s="1026"/>
      <c r="R57" s="1026">
        <f t="shared" si="24"/>
        <v>0</v>
      </c>
      <c r="S57" s="1026">
        <f t="shared" si="25"/>
        <v>0</v>
      </c>
      <c r="T57" s="1027">
        <f t="shared" si="26"/>
        <v>0</v>
      </c>
      <c r="U57" s="1027">
        <f t="shared" si="27"/>
        <v>0</v>
      </c>
    </row>
    <row r="58" spans="1:21">
      <c r="A58" s="1028">
        <v>52</v>
      </c>
      <c r="B58" s="1029" t="s">
        <v>152</v>
      </c>
      <c r="C58" s="1036">
        <f>'Table 8 2.1.12 MFP Funded'!O55</f>
        <v>0</v>
      </c>
      <c r="D58" s="1037">
        <f>'Table 3 Levels 1&amp;2'!AL59</f>
        <v>4920.0697942988754</v>
      </c>
      <c r="E58" s="1139">
        <f t="shared" si="28"/>
        <v>0</v>
      </c>
      <c r="F58" s="1139">
        <f t="shared" si="17"/>
        <v>0</v>
      </c>
      <c r="G58" s="1094">
        <f t="shared" si="29"/>
        <v>0</v>
      </c>
      <c r="H58" s="1149">
        <f t="shared" si="18"/>
        <v>0</v>
      </c>
      <c r="I58" s="1094">
        <f t="shared" si="19"/>
        <v>0</v>
      </c>
      <c r="J58" s="1094"/>
      <c r="K58" s="1094">
        <f t="shared" si="20"/>
        <v>0</v>
      </c>
      <c r="L58" s="1094">
        <f t="shared" si="21"/>
        <v>0</v>
      </c>
      <c r="M58" s="1086">
        <f>'[8]FY2012-13 Initial'!$K59</f>
        <v>4750</v>
      </c>
      <c r="N58" s="1088">
        <f t="shared" si="30"/>
        <v>0</v>
      </c>
      <c r="O58" s="1155">
        <f t="shared" si="22"/>
        <v>0</v>
      </c>
      <c r="P58" s="1088">
        <f t="shared" si="23"/>
        <v>0</v>
      </c>
      <c r="Q58" s="1088"/>
      <c r="R58" s="1088">
        <f t="shared" si="24"/>
        <v>0</v>
      </c>
      <c r="S58" s="1088">
        <f t="shared" si="25"/>
        <v>0</v>
      </c>
      <c r="T58" s="1089">
        <f t="shared" si="26"/>
        <v>0</v>
      </c>
      <c r="U58" s="1089">
        <f t="shared" si="27"/>
        <v>0</v>
      </c>
    </row>
    <row r="59" spans="1:21">
      <c r="A59" s="1028">
        <v>53</v>
      </c>
      <c r="B59" s="1029" t="s">
        <v>153</v>
      </c>
      <c r="C59" s="1036">
        <f>'Table 8 2.1.12 MFP Funded'!O56</f>
        <v>0</v>
      </c>
      <c r="D59" s="1037">
        <f>'Table 3 Levels 1&amp;2'!AL60</f>
        <v>4784.2719870767614</v>
      </c>
      <c r="E59" s="1139">
        <f t="shared" si="28"/>
        <v>0</v>
      </c>
      <c r="F59" s="1139">
        <f t="shared" si="17"/>
        <v>0</v>
      </c>
      <c r="G59" s="1094">
        <f t="shared" si="29"/>
        <v>0</v>
      </c>
      <c r="H59" s="1149">
        <f t="shared" si="18"/>
        <v>0</v>
      </c>
      <c r="I59" s="1094">
        <f t="shared" si="19"/>
        <v>0</v>
      </c>
      <c r="J59" s="1094"/>
      <c r="K59" s="1094">
        <f t="shared" si="20"/>
        <v>0</v>
      </c>
      <c r="L59" s="1094">
        <f t="shared" si="21"/>
        <v>0</v>
      </c>
      <c r="M59" s="1086">
        <f>'[8]FY2012-13 Initial'!$K60</f>
        <v>1913</v>
      </c>
      <c r="N59" s="1088">
        <f t="shared" si="30"/>
        <v>0</v>
      </c>
      <c r="O59" s="1155">
        <f t="shared" si="22"/>
        <v>0</v>
      </c>
      <c r="P59" s="1088">
        <f t="shared" si="23"/>
        <v>0</v>
      </c>
      <c r="Q59" s="1088"/>
      <c r="R59" s="1088">
        <f t="shared" si="24"/>
        <v>0</v>
      </c>
      <c r="S59" s="1088">
        <f t="shared" si="25"/>
        <v>0</v>
      </c>
      <c r="T59" s="1089">
        <f t="shared" si="26"/>
        <v>0</v>
      </c>
      <c r="U59" s="1089">
        <f t="shared" si="27"/>
        <v>0</v>
      </c>
    </row>
    <row r="60" spans="1:21">
      <c r="A60" s="1028">
        <v>54</v>
      </c>
      <c r="B60" s="1029" t="s">
        <v>154</v>
      </c>
      <c r="C60" s="1036">
        <f>'Table 8 2.1.12 MFP Funded'!O57</f>
        <v>2</v>
      </c>
      <c r="D60" s="1037">
        <f>'Table 3 Levels 1&amp;2'!AL61</f>
        <v>5982.5555386476462</v>
      </c>
      <c r="E60" s="1139">
        <f t="shared" si="28"/>
        <v>11965.111077295292</v>
      </c>
      <c r="F60" s="1139">
        <f t="shared" si="17"/>
        <v>1054.0470882830652</v>
      </c>
      <c r="G60" s="1094">
        <f t="shared" si="29"/>
        <v>13019.158165578358</v>
      </c>
      <c r="H60" s="1149">
        <f t="shared" si="18"/>
        <v>-32.547895413945895</v>
      </c>
      <c r="I60" s="1094">
        <f t="shared" si="19"/>
        <v>12986.610270164412</v>
      </c>
      <c r="J60" s="1094"/>
      <c r="K60" s="1094">
        <f t="shared" si="20"/>
        <v>12986.610270164412</v>
      </c>
      <c r="L60" s="1094">
        <f t="shared" si="21"/>
        <v>1082</v>
      </c>
      <c r="M60" s="1086">
        <f>'[8]FY2012-13 Initial'!$K61</f>
        <v>3264</v>
      </c>
      <c r="N60" s="1088">
        <f t="shared" si="30"/>
        <v>6528</v>
      </c>
      <c r="O60" s="1155">
        <f t="shared" si="22"/>
        <v>-16.32</v>
      </c>
      <c r="P60" s="1088">
        <f t="shared" si="23"/>
        <v>6511.68</v>
      </c>
      <c r="Q60" s="1088"/>
      <c r="R60" s="1088">
        <f t="shared" si="24"/>
        <v>6511.68</v>
      </c>
      <c r="S60" s="1088">
        <f t="shared" si="25"/>
        <v>543</v>
      </c>
      <c r="T60" s="1089">
        <f t="shared" si="26"/>
        <v>19498.290270164413</v>
      </c>
      <c r="U60" s="1089">
        <f t="shared" si="27"/>
        <v>1625</v>
      </c>
    </row>
    <row r="61" spans="1:21">
      <c r="A61" s="1032">
        <v>55</v>
      </c>
      <c r="B61" s="1033" t="s">
        <v>155</v>
      </c>
      <c r="C61" s="1038">
        <f>'Table 8 2.1.12 MFP Funded'!O58</f>
        <v>0</v>
      </c>
      <c r="D61" s="1039">
        <f>'Table 3 Levels 1&amp;2'!AL62</f>
        <v>4087.4017448818722</v>
      </c>
      <c r="E61" s="1140">
        <f t="shared" si="28"/>
        <v>0</v>
      </c>
      <c r="F61" s="1140">
        <f t="shared" si="17"/>
        <v>0</v>
      </c>
      <c r="G61" s="1095">
        <f t="shared" si="29"/>
        <v>0</v>
      </c>
      <c r="H61" s="1150">
        <f t="shared" si="18"/>
        <v>0</v>
      </c>
      <c r="I61" s="1095">
        <f t="shared" si="19"/>
        <v>0</v>
      </c>
      <c r="J61" s="1095"/>
      <c r="K61" s="1095">
        <f t="shared" si="20"/>
        <v>0</v>
      </c>
      <c r="L61" s="1095">
        <f t="shared" si="21"/>
        <v>0</v>
      </c>
      <c r="M61" s="1091">
        <f>'[8]FY2012-13 Initial'!$K62</f>
        <v>3071</v>
      </c>
      <c r="N61" s="1092">
        <f t="shared" si="30"/>
        <v>0</v>
      </c>
      <c r="O61" s="1156">
        <f t="shared" si="22"/>
        <v>0</v>
      </c>
      <c r="P61" s="1092">
        <f t="shared" si="23"/>
        <v>0</v>
      </c>
      <c r="Q61" s="1092"/>
      <c r="R61" s="1092">
        <f t="shared" si="24"/>
        <v>0</v>
      </c>
      <c r="S61" s="1092">
        <f t="shared" si="25"/>
        <v>0</v>
      </c>
      <c r="T61" s="1093">
        <f t="shared" si="26"/>
        <v>0</v>
      </c>
      <c r="U61" s="1093">
        <f t="shared" si="27"/>
        <v>0</v>
      </c>
    </row>
    <row r="62" spans="1:21">
      <c r="A62" s="1021">
        <v>56</v>
      </c>
      <c r="B62" s="1022" t="s">
        <v>156</v>
      </c>
      <c r="C62" s="1040">
        <f>'Table 8 2.1.12 MFP Funded'!O59</f>
        <v>0</v>
      </c>
      <c r="D62" s="1041">
        <f>'Table 3 Levels 1&amp;2'!AL63</f>
        <v>5052.2250942802684</v>
      </c>
      <c r="E62" s="1141">
        <f t="shared" si="28"/>
        <v>0</v>
      </c>
      <c r="F62" s="1141">
        <f t="shared" si="17"/>
        <v>0</v>
      </c>
      <c r="G62" s="1096">
        <f t="shared" si="29"/>
        <v>0</v>
      </c>
      <c r="H62" s="1151">
        <f t="shared" si="18"/>
        <v>0</v>
      </c>
      <c r="I62" s="1096">
        <f t="shared" si="19"/>
        <v>0</v>
      </c>
      <c r="J62" s="1096"/>
      <c r="K62" s="1096">
        <f t="shared" si="20"/>
        <v>0</v>
      </c>
      <c r="L62" s="1096">
        <f t="shared" si="21"/>
        <v>0</v>
      </c>
      <c r="M62" s="1086">
        <f>'[8]FY2012-13 Initial'!$K63</f>
        <v>2630</v>
      </c>
      <c r="N62" s="1026">
        <f t="shared" si="30"/>
        <v>0</v>
      </c>
      <c r="O62" s="1154">
        <f t="shared" si="22"/>
        <v>0</v>
      </c>
      <c r="P62" s="1026">
        <f t="shared" si="23"/>
        <v>0</v>
      </c>
      <c r="Q62" s="1026"/>
      <c r="R62" s="1026">
        <f t="shared" si="24"/>
        <v>0</v>
      </c>
      <c r="S62" s="1026">
        <f t="shared" si="25"/>
        <v>0</v>
      </c>
      <c r="T62" s="1027">
        <f t="shared" si="26"/>
        <v>0</v>
      </c>
      <c r="U62" s="1027">
        <f t="shared" si="27"/>
        <v>0</v>
      </c>
    </row>
    <row r="63" spans="1:21">
      <c r="A63" s="1028">
        <v>57</v>
      </c>
      <c r="B63" s="1029" t="s">
        <v>157</v>
      </c>
      <c r="C63" s="1036">
        <f>'Table 8 2.1.12 MFP Funded'!O60</f>
        <v>0</v>
      </c>
      <c r="D63" s="1037">
        <f>'Table 3 Levels 1&amp;2'!AL64</f>
        <v>4389.3863180380931</v>
      </c>
      <c r="E63" s="1139">
        <f t="shared" si="28"/>
        <v>0</v>
      </c>
      <c r="F63" s="1139">
        <f t="shared" si="17"/>
        <v>0</v>
      </c>
      <c r="G63" s="1094">
        <f t="shared" si="29"/>
        <v>0</v>
      </c>
      <c r="H63" s="1149">
        <f t="shared" si="18"/>
        <v>0</v>
      </c>
      <c r="I63" s="1094">
        <f t="shared" si="19"/>
        <v>0</v>
      </c>
      <c r="J63" s="1094"/>
      <c r="K63" s="1094">
        <f t="shared" si="20"/>
        <v>0</v>
      </c>
      <c r="L63" s="1094">
        <f t="shared" si="21"/>
        <v>0</v>
      </c>
      <c r="M63" s="1086">
        <f>'[8]FY2012-13 Initial'!$K64</f>
        <v>3053</v>
      </c>
      <c r="N63" s="1088">
        <f t="shared" si="30"/>
        <v>0</v>
      </c>
      <c r="O63" s="1155">
        <f t="shared" si="22"/>
        <v>0</v>
      </c>
      <c r="P63" s="1088">
        <f t="shared" si="23"/>
        <v>0</v>
      </c>
      <c r="Q63" s="1088"/>
      <c r="R63" s="1088">
        <f t="shared" si="24"/>
        <v>0</v>
      </c>
      <c r="S63" s="1088">
        <f t="shared" si="25"/>
        <v>0</v>
      </c>
      <c r="T63" s="1089">
        <f t="shared" si="26"/>
        <v>0</v>
      </c>
      <c r="U63" s="1089">
        <f t="shared" si="27"/>
        <v>0</v>
      </c>
    </row>
    <row r="64" spans="1:21">
      <c r="A64" s="1028">
        <v>58</v>
      </c>
      <c r="B64" s="1029" t="s">
        <v>158</v>
      </c>
      <c r="C64" s="1036">
        <f>'Table 8 2.1.12 MFP Funded'!O61</f>
        <v>0</v>
      </c>
      <c r="D64" s="1037">
        <f>'Table 3 Levels 1&amp;2'!AL65</f>
        <v>5325.8881107130073</v>
      </c>
      <c r="E64" s="1139">
        <f t="shared" si="28"/>
        <v>0</v>
      </c>
      <c r="F64" s="1139">
        <f t="shared" si="17"/>
        <v>0</v>
      </c>
      <c r="G64" s="1094">
        <f t="shared" si="29"/>
        <v>0</v>
      </c>
      <c r="H64" s="1149">
        <f t="shared" si="18"/>
        <v>0</v>
      </c>
      <c r="I64" s="1094">
        <f t="shared" si="19"/>
        <v>0</v>
      </c>
      <c r="J64" s="1094"/>
      <c r="K64" s="1094">
        <f t="shared" si="20"/>
        <v>0</v>
      </c>
      <c r="L64" s="1094">
        <f t="shared" si="21"/>
        <v>0</v>
      </c>
      <c r="M64" s="1086">
        <f>'[8]FY2012-13 Initial'!$K65</f>
        <v>1917</v>
      </c>
      <c r="N64" s="1088">
        <f t="shared" si="30"/>
        <v>0</v>
      </c>
      <c r="O64" s="1155">
        <f t="shared" si="22"/>
        <v>0</v>
      </c>
      <c r="P64" s="1088">
        <f t="shared" si="23"/>
        <v>0</v>
      </c>
      <c r="Q64" s="1088"/>
      <c r="R64" s="1088">
        <f t="shared" si="24"/>
        <v>0</v>
      </c>
      <c r="S64" s="1088">
        <f t="shared" si="25"/>
        <v>0</v>
      </c>
      <c r="T64" s="1089">
        <f t="shared" si="26"/>
        <v>0</v>
      </c>
      <c r="U64" s="1089">
        <f t="shared" si="27"/>
        <v>0</v>
      </c>
    </row>
    <row r="65" spans="1:21">
      <c r="A65" s="1028">
        <v>59</v>
      </c>
      <c r="B65" s="1029" t="s">
        <v>159</v>
      </c>
      <c r="C65" s="1036">
        <f>'Table 8 2.1.12 MFP Funded'!O62</f>
        <v>0</v>
      </c>
      <c r="D65" s="1037">
        <f>'Table 3 Levels 1&amp;2'!AL66</f>
        <v>6328.4963620482158</v>
      </c>
      <c r="E65" s="1139">
        <f t="shared" si="28"/>
        <v>0</v>
      </c>
      <c r="F65" s="1139">
        <f t="shared" si="17"/>
        <v>0</v>
      </c>
      <c r="G65" s="1094">
        <f t="shared" si="29"/>
        <v>0</v>
      </c>
      <c r="H65" s="1149">
        <f t="shared" si="18"/>
        <v>0</v>
      </c>
      <c r="I65" s="1094">
        <f t="shared" si="19"/>
        <v>0</v>
      </c>
      <c r="J65" s="1094"/>
      <c r="K65" s="1094">
        <f t="shared" si="20"/>
        <v>0</v>
      </c>
      <c r="L65" s="1094">
        <f t="shared" si="21"/>
        <v>0</v>
      </c>
      <c r="M65" s="1086">
        <f>'[8]FY2012-13 Initial'!$K66</f>
        <v>1553</v>
      </c>
      <c r="N65" s="1088">
        <f t="shared" si="30"/>
        <v>0</v>
      </c>
      <c r="O65" s="1155">
        <f t="shared" si="22"/>
        <v>0</v>
      </c>
      <c r="P65" s="1088">
        <f t="shared" si="23"/>
        <v>0</v>
      </c>
      <c r="Q65" s="1088"/>
      <c r="R65" s="1088">
        <f t="shared" si="24"/>
        <v>0</v>
      </c>
      <c r="S65" s="1088">
        <f t="shared" si="25"/>
        <v>0</v>
      </c>
      <c r="T65" s="1089">
        <f t="shared" si="26"/>
        <v>0</v>
      </c>
      <c r="U65" s="1089">
        <f t="shared" si="27"/>
        <v>0</v>
      </c>
    </row>
    <row r="66" spans="1:21">
      <c r="A66" s="1032">
        <v>60</v>
      </c>
      <c r="B66" s="1033" t="s">
        <v>160</v>
      </c>
      <c r="C66" s="1038">
        <f>'Table 8 2.1.12 MFP Funded'!O63</f>
        <v>0</v>
      </c>
      <c r="D66" s="1039">
        <f>'Table 3 Levels 1&amp;2'!AL67</f>
        <v>4825.1723230627122</v>
      </c>
      <c r="E66" s="1140">
        <f t="shared" si="28"/>
        <v>0</v>
      </c>
      <c r="F66" s="1140">
        <f t="shared" si="17"/>
        <v>0</v>
      </c>
      <c r="G66" s="1095">
        <f t="shared" si="29"/>
        <v>0</v>
      </c>
      <c r="H66" s="1150">
        <f t="shared" si="18"/>
        <v>0</v>
      </c>
      <c r="I66" s="1095">
        <f t="shared" si="19"/>
        <v>0</v>
      </c>
      <c r="J66" s="1095"/>
      <c r="K66" s="1095">
        <f t="shared" si="20"/>
        <v>0</v>
      </c>
      <c r="L66" s="1095">
        <f t="shared" si="21"/>
        <v>0</v>
      </c>
      <c r="M66" s="1091">
        <f>'[8]FY2012-13 Initial'!$K67</f>
        <v>3798</v>
      </c>
      <c r="N66" s="1092">
        <f t="shared" si="30"/>
        <v>0</v>
      </c>
      <c r="O66" s="1156">
        <f t="shared" si="22"/>
        <v>0</v>
      </c>
      <c r="P66" s="1092">
        <f t="shared" si="23"/>
        <v>0</v>
      </c>
      <c r="Q66" s="1092"/>
      <c r="R66" s="1092">
        <f t="shared" si="24"/>
        <v>0</v>
      </c>
      <c r="S66" s="1092">
        <f t="shared" si="25"/>
        <v>0</v>
      </c>
      <c r="T66" s="1093">
        <f t="shared" si="26"/>
        <v>0</v>
      </c>
      <c r="U66" s="1093">
        <f t="shared" si="27"/>
        <v>0</v>
      </c>
    </row>
    <row r="67" spans="1:21">
      <c r="A67" s="1021">
        <v>61</v>
      </c>
      <c r="B67" s="1022" t="s">
        <v>161</v>
      </c>
      <c r="C67" s="1040">
        <f>'Table 8 2.1.12 MFP Funded'!O64</f>
        <v>0</v>
      </c>
      <c r="D67" s="1041">
        <f>'Table 3 Levels 1&amp;2'!AL68</f>
        <v>3063.3110364585282</v>
      </c>
      <c r="E67" s="1141">
        <f t="shared" si="28"/>
        <v>0</v>
      </c>
      <c r="F67" s="1141">
        <f t="shared" si="17"/>
        <v>0</v>
      </c>
      <c r="G67" s="1096">
        <f t="shared" si="29"/>
        <v>0</v>
      </c>
      <c r="H67" s="1151">
        <f t="shared" si="18"/>
        <v>0</v>
      </c>
      <c r="I67" s="1096">
        <f t="shared" si="19"/>
        <v>0</v>
      </c>
      <c r="J67" s="1096"/>
      <c r="K67" s="1096">
        <f t="shared" si="20"/>
        <v>0</v>
      </c>
      <c r="L67" s="1096">
        <f t="shared" si="21"/>
        <v>0</v>
      </c>
      <c r="M67" s="1086">
        <f>'[8]FY2012-13 Initial'!$K68</f>
        <v>6727</v>
      </c>
      <c r="N67" s="1026">
        <f t="shared" si="30"/>
        <v>0</v>
      </c>
      <c r="O67" s="1154">
        <f t="shared" si="22"/>
        <v>0</v>
      </c>
      <c r="P67" s="1026">
        <f t="shared" si="23"/>
        <v>0</v>
      </c>
      <c r="Q67" s="1026"/>
      <c r="R67" s="1026">
        <f t="shared" si="24"/>
        <v>0</v>
      </c>
      <c r="S67" s="1026">
        <f t="shared" si="25"/>
        <v>0</v>
      </c>
      <c r="T67" s="1027">
        <f t="shared" si="26"/>
        <v>0</v>
      </c>
      <c r="U67" s="1027">
        <f t="shared" si="27"/>
        <v>0</v>
      </c>
    </row>
    <row r="68" spans="1:21">
      <c r="A68" s="1028">
        <v>62</v>
      </c>
      <c r="B68" s="1029" t="s">
        <v>162</v>
      </c>
      <c r="C68" s="1036">
        <f>'Table 8 2.1.12 MFP Funded'!O65</f>
        <v>31</v>
      </c>
      <c r="D68" s="1037">
        <f>'Table 3 Levels 1&amp;2'!AL69</f>
        <v>5564.645485869667</v>
      </c>
      <c r="E68" s="1139">
        <f t="shared" si="28"/>
        <v>172504.01006195968</v>
      </c>
      <c r="F68" s="1139">
        <f t="shared" si="17"/>
        <v>16337.729868387511</v>
      </c>
      <c r="G68" s="1094">
        <f t="shared" si="29"/>
        <v>188841.73993034719</v>
      </c>
      <c r="H68" s="1149">
        <f t="shared" si="18"/>
        <v>-472.10434982586798</v>
      </c>
      <c r="I68" s="1094">
        <f t="shared" si="19"/>
        <v>188369.63558052131</v>
      </c>
      <c r="J68" s="1094"/>
      <c r="K68" s="1094">
        <f t="shared" si="20"/>
        <v>188369.63558052131</v>
      </c>
      <c r="L68" s="1094">
        <f t="shared" si="21"/>
        <v>15697</v>
      </c>
      <c r="M68" s="1086">
        <f>'[8]FY2012-13 Initial'!$K69</f>
        <v>1678</v>
      </c>
      <c r="N68" s="1088">
        <f t="shared" si="30"/>
        <v>52018</v>
      </c>
      <c r="O68" s="1155">
        <f t="shared" si="22"/>
        <v>-130.04500000000002</v>
      </c>
      <c r="P68" s="1088">
        <f t="shared" si="23"/>
        <v>51887.955000000002</v>
      </c>
      <c r="Q68" s="1088"/>
      <c r="R68" s="1088">
        <f t="shared" si="24"/>
        <v>51887.955000000002</v>
      </c>
      <c r="S68" s="1088">
        <f t="shared" si="25"/>
        <v>4324</v>
      </c>
      <c r="T68" s="1089">
        <f t="shared" si="26"/>
        <v>240257.59058052133</v>
      </c>
      <c r="U68" s="1089">
        <f t="shared" si="27"/>
        <v>20021</v>
      </c>
    </row>
    <row r="69" spans="1:21">
      <c r="A69" s="1028">
        <v>63</v>
      </c>
      <c r="B69" s="1029" t="s">
        <v>163</v>
      </c>
      <c r="C69" s="1036">
        <f>'Table 8 2.1.12 MFP Funded'!O66</f>
        <v>0</v>
      </c>
      <c r="D69" s="1037">
        <f>'Table 3 Levels 1&amp;2'!AL70</f>
        <v>4414.1775336636538</v>
      </c>
      <c r="E69" s="1139">
        <f t="shared" si="28"/>
        <v>0</v>
      </c>
      <c r="F69" s="1139">
        <f t="shared" si="17"/>
        <v>0</v>
      </c>
      <c r="G69" s="1094">
        <f t="shared" si="29"/>
        <v>0</v>
      </c>
      <c r="H69" s="1149">
        <f t="shared" si="18"/>
        <v>0</v>
      </c>
      <c r="I69" s="1094">
        <f t="shared" si="19"/>
        <v>0</v>
      </c>
      <c r="J69" s="1094"/>
      <c r="K69" s="1094">
        <f t="shared" si="20"/>
        <v>0</v>
      </c>
      <c r="L69" s="1094">
        <f t="shared" si="21"/>
        <v>0</v>
      </c>
      <c r="M69" s="1086">
        <f>'[8]FY2012-13 Initial'!$K70</f>
        <v>6524</v>
      </c>
      <c r="N69" s="1088">
        <f t="shared" si="30"/>
        <v>0</v>
      </c>
      <c r="O69" s="1155">
        <f t="shared" si="22"/>
        <v>0</v>
      </c>
      <c r="P69" s="1088">
        <f t="shared" si="23"/>
        <v>0</v>
      </c>
      <c r="Q69" s="1088"/>
      <c r="R69" s="1088">
        <f t="shared" si="24"/>
        <v>0</v>
      </c>
      <c r="S69" s="1088">
        <f t="shared" si="25"/>
        <v>0</v>
      </c>
      <c r="T69" s="1089">
        <f t="shared" si="26"/>
        <v>0</v>
      </c>
      <c r="U69" s="1089">
        <f t="shared" si="27"/>
        <v>0</v>
      </c>
    </row>
    <row r="70" spans="1:21">
      <c r="A70" s="1028">
        <v>64</v>
      </c>
      <c r="B70" s="1029" t="s">
        <v>164</v>
      </c>
      <c r="C70" s="1036">
        <f>'Table 8 2.1.12 MFP Funded'!O67</f>
        <v>0</v>
      </c>
      <c r="D70" s="1037">
        <f>'Table 3 Levels 1&amp;2'!AL71</f>
        <v>5871.0485811924027</v>
      </c>
      <c r="E70" s="1139">
        <f t="shared" si="28"/>
        <v>0</v>
      </c>
      <c r="F70" s="1139">
        <f t="shared" si="17"/>
        <v>0</v>
      </c>
      <c r="G70" s="1094">
        <f t="shared" si="29"/>
        <v>0</v>
      </c>
      <c r="H70" s="1149">
        <f t="shared" si="18"/>
        <v>0</v>
      </c>
      <c r="I70" s="1094">
        <f t="shared" si="19"/>
        <v>0</v>
      </c>
      <c r="J70" s="1094"/>
      <c r="K70" s="1094">
        <f t="shared" si="20"/>
        <v>0</v>
      </c>
      <c r="L70" s="1094">
        <f t="shared" si="21"/>
        <v>0</v>
      </c>
      <c r="M70" s="1086">
        <f>'[8]FY2012-13 Initial'!$K71</f>
        <v>2658</v>
      </c>
      <c r="N70" s="1088">
        <f t="shared" si="30"/>
        <v>0</v>
      </c>
      <c r="O70" s="1155">
        <f t="shared" si="22"/>
        <v>0</v>
      </c>
      <c r="P70" s="1088">
        <f t="shared" si="23"/>
        <v>0</v>
      </c>
      <c r="Q70" s="1088"/>
      <c r="R70" s="1088">
        <f t="shared" si="24"/>
        <v>0</v>
      </c>
      <c r="S70" s="1088">
        <f t="shared" si="25"/>
        <v>0</v>
      </c>
      <c r="T70" s="1089">
        <f t="shared" si="26"/>
        <v>0</v>
      </c>
      <c r="U70" s="1089">
        <f t="shared" si="27"/>
        <v>0</v>
      </c>
    </row>
    <row r="71" spans="1:21">
      <c r="A71" s="1032">
        <v>65</v>
      </c>
      <c r="B71" s="1033" t="s">
        <v>165</v>
      </c>
      <c r="C71" s="1038">
        <f>'Table 8 2.1.12 MFP Funded'!O68</f>
        <v>0</v>
      </c>
      <c r="D71" s="1039">
        <f>'Table 3 Levels 1&amp;2'!AL72</f>
        <v>4602.2046951319899</v>
      </c>
      <c r="E71" s="1140">
        <f t="shared" ref="E71:E75" si="31">D71*C71</f>
        <v>0</v>
      </c>
      <c r="F71" s="1140">
        <f t="shared" si="17"/>
        <v>0</v>
      </c>
      <c r="G71" s="1095">
        <f t="shared" ref="G71:G75" si="32">E71+F71</f>
        <v>0</v>
      </c>
      <c r="H71" s="1150">
        <f t="shared" si="18"/>
        <v>0</v>
      </c>
      <c r="I71" s="1095">
        <f t="shared" si="19"/>
        <v>0</v>
      </c>
      <c r="J71" s="1095"/>
      <c r="K71" s="1095">
        <f t="shared" si="20"/>
        <v>0</v>
      </c>
      <c r="L71" s="1095">
        <f t="shared" si="21"/>
        <v>0</v>
      </c>
      <c r="M71" s="1091">
        <f>'[8]FY2012-13 Initial'!$K72</f>
        <v>4631</v>
      </c>
      <c r="N71" s="1092">
        <f t="shared" ref="N71:N75" si="33">M71*C71</f>
        <v>0</v>
      </c>
      <c r="O71" s="1156">
        <f t="shared" si="22"/>
        <v>0</v>
      </c>
      <c r="P71" s="1092">
        <f t="shared" si="23"/>
        <v>0</v>
      </c>
      <c r="Q71" s="1092"/>
      <c r="R71" s="1092">
        <f t="shared" si="24"/>
        <v>0</v>
      </c>
      <c r="S71" s="1092">
        <f t="shared" si="25"/>
        <v>0</v>
      </c>
      <c r="T71" s="1093">
        <f t="shared" si="26"/>
        <v>0</v>
      </c>
      <c r="U71" s="1093">
        <f t="shared" ref="U71:U75" si="34">L71+S71</f>
        <v>0</v>
      </c>
    </row>
    <row r="72" spans="1:21">
      <c r="A72" s="1021">
        <v>66</v>
      </c>
      <c r="B72" s="1022" t="s">
        <v>166</v>
      </c>
      <c r="C72" s="1040">
        <f>'Table 8 2.1.12 MFP Funded'!O69</f>
        <v>0</v>
      </c>
      <c r="D72" s="1041">
        <f>'Table 3 Levels 1&amp;2'!AL73</f>
        <v>6243.8912249150071</v>
      </c>
      <c r="E72" s="1141">
        <f t="shared" si="31"/>
        <v>0</v>
      </c>
      <c r="F72" s="1141">
        <f t="shared" ref="F72:F75" si="35">C72*$F$4</f>
        <v>0</v>
      </c>
      <c r="G72" s="1096">
        <f t="shared" si="32"/>
        <v>0</v>
      </c>
      <c r="H72" s="1151">
        <f t="shared" ref="H72:H75" si="36">-G72*$H$4</f>
        <v>0</v>
      </c>
      <c r="I72" s="1096">
        <f t="shared" ref="I72:I75" si="37">SUM(G72:H72)</f>
        <v>0</v>
      </c>
      <c r="J72" s="1096"/>
      <c r="K72" s="1096">
        <f t="shared" ref="K72:K75" si="38">SUM(I72:J72)</f>
        <v>0</v>
      </c>
      <c r="L72" s="1096">
        <f t="shared" ref="L72:L75" si="39">ROUND(K72/12,0)</f>
        <v>0</v>
      </c>
      <c r="M72" s="1086">
        <f>'[8]FY2012-13 Initial'!$K73</f>
        <v>3443</v>
      </c>
      <c r="N72" s="1026">
        <f t="shared" si="33"/>
        <v>0</v>
      </c>
      <c r="O72" s="1154">
        <f t="shared" ref="O72:O75" si="40">-N72*$O$4</f>
        <v>0</v>
      </c>
      <c r="P72" s="1026">
        <f t="shared" ref="P72:P75" si="41">SUM(N72:O72)</f>
        <v>0</v>
      </c>
      <c r="Q72" s="1026"/>
      <c r="R72" s="1026">
        <f t="shared" ref="R72:R75" si="42">SUM(P72:Q72)</f>
        <v>0</v>
      </c>
      <c r="S72" s="1026">
        <f t="shared" ref="S72:S75" si="43">ROUND(R72/12,0)</f>
        <v>0</v>
      </c>
      <c r="T72" s="1027">
        <f t="shared" ref="T72:T75" si="44">K72+R72</f>
        <v>0</v>
      </c>
      <c r="U72" s="1027">
        <f t="shared" si="34"/>
        <v>0</v>
      </c>
    </row>
    <row r="73" spans="1:21">
      <c r="A73" s="1028">
        <v>67</v>
      </c>
      <c r="B73" s="1029" t="s">
        <v>33</v>
      </c>
      <c r="C73" s="1036">
        <f>'Table 8 2.1.12 MFP Funded'!O70</f>
        <v>0</v>
      </c>
      <c r="D73" s="1037">
        <f>'Table 3 Levels 1&amp;2'!AL74</f>
        <v>5049.6489898847567</v>
      </c>
      <c r="E73" s="1139">
        <f t="shared" si="31"/>
        <v>0</v>
      </c>
      <c r="F73" s="1139">
        <f t="shared" si="35"/>
        <v>0</v>
      </c>
      <c r="G73" s="1094">
        <f t="shared" si="32"/>
        <v>0</v>
      </c>
      <c r="H73" s="1149">
        <f t="shared" si="36"/>
        <v>0</v>
      </c>
      <c r="I73" s="1094">
        <f t="shared" si="37"/>
        <v>0</v>
      </c>
      <c r="J73" s="1094"/>
      <c r="K73" s="1094">
        <f t="shared" si="38"/>
        <v>0</v>
      </c>
      <c r="L73" s="1094">
        <f t="shared" si="39"/>
        <v>0</v>
      </c>
      <c r="M73" s="1086">
        <f>'[8]FY2012-13 Initial'!$K74</f>
        <v>4502</v>
      </c>
      <c r="N73" s="1088">
        <f t="shared" si="33"/>
        <v>0</v>
      </c>
      <c r="O73" s="1155">
        <f t="shared" si="40"/>
        <v>0</v>
      </c>
      <c r="P73" s="1088">
        <f t="shared" si="41"/>
        <v>0</v>
      </c>
      <c r="Q73" s="1088"/>
      <c r="R73" s="1088">
        <f t="shared" si="42"/>
        <v>0</v>
      </c>
      <c r="S73" s="1088">
        <f t="shared" si="43"/>
        <v>0</v>
      </c>
      <c r="T73" s="1089">
        <f t="shared" si="44"/>
        <v>0</v>
      </c>
      <c r="U73" s="1089">
        <f t="shared" si="34"/>
        <v>0</v>
      </c>
    </row>
    <row r="74" spans="1:21">
      <c r="A74" s="1028">
        <v>68</v>
      </c>
      <c r="B74" s="1029" t="s">
        <v>31</v>
      </c>
      <c r="C74" s="1036">
        <f>'Table 8 2.1.12 MFP Funded'!O71</f>
        <v>0</v>
      </c>
      <c r="D74" s="1037">
        <f>'Table 3 Levels 1&amp;2'!AL75</f>
        <v>5861.7500805575619</v>
      </c>
      <c r="E74" s="1139">
        <f t="shared" si="31"/>
        <v>0</v>
      </c>
      <c r="F74" s="1139">
        <f t="shared" si="35"/>
        <v>0</v>
      </c>
      <c r="G74" s="1094">
        <f t="shared" si="32"/>
        <v>0</v>
      </c>
      <c r="H74" s="1149">
        <f t="shared" si="36"/>
        <v>0</v>
      </c>
      <c r="I74" s="1094">
        <f t="shared" si="37"/>
        <v>0</v>
      </c>
      <c r="J74" s="1094"/>
      <c r="K74" s="1094">
        <f t="shared" si="38"/>
        <v>0</v>
      </c>
      <c r="L74" s="1094">
        <f t="shared" si="39"/>
        <v>0</v>
      </c>
      <c r="M74" s="1086">
        <f>'[8]FY2012-13 Initial'!$K75</f>
        <v>2587</v>
      </c>
      <c r="N74" s="1088">
        <f t="shared" si="33"/>
        <v>0</v>
      </c>
      <c r="O74" s="1155">
        <f t="shared" si="40"/>
        <v>0</v>
      </c>
      <c r="P74" s="1088">
        <f t="shared" si="41"/>
        <v>0</v>
      </c>
      <c r="Q74" s="1088"/>
      <c r="R74" s="1088">
        <f t="shared" si="42"/>
        <v>0</v>
      </c>
      <c r="S74" s="1088">
        <f t="shared" si="43"/>
        <v>0</v>
      </c>
      <c r="T74" s="1089">
        <f t="shared" si="44"/>
        <v>0</v>
      </c>
      <c r="U74" s="1089">
        <f t="shared" si="34"/>
        <v>0</v>
      </c>
    </row>
    <row r="75" spans="1:21">
      <c r="A75" s="1042">
        <v>69</v>
      </c>
      <c r="B75" s="1043" t="s">
        <v>235</v>
      </c>
      <c r="C75" s="1044">
        <f>'Table 8 2.1.12 MFP Funded'!O72</f>
        <v>0</v>
      </c>
      <c r="D75" s="1045">
        <f>'Table 3 Levels 1&amp;2'!AL76</f>
        <v>5508.3397285189958</v>
      </c>
      <c r="E75" s="1142">
        <f t="shared" si="31"/>
        <v>0</v>
      </c>
      <c r="F75" s="1142">
        <f t="shared" si="35"/>
        <v>0</v>
      </c>
      <c r="G75" s="1097">
        <f t="shared" si="32"/>
        <v>0</v>
      </c>
      <c r="H75" s="1152">
        <f t="shared" si="36"/>
        <v>0</v>
      </c>
      <c r="I75" s="1097">
        <f t="shared" si="37"/>
        <v>0</v>
      </c>
      <c r="J75" s="1097"/>
      <c r="K75" s="1097">
        <f t="shared" si="38"/>
        <v>0</v>
      </c>
      <c r="L75" s="1097">
        <f t="shared" si="39"/>
        <v>0</v>
      </c>
      <c r="M75" s="1086">
        <f>'[8]FY2012-13 Initial'!$K76</f>
        <v>3233</v>
      </c>
      <c r="N75" s="1098">
        <f t="shared" si="33"/>
        <v>0</v>
      </c>
      <c r="O75" s="1157">
        <f t="shared" si="40"/>
        <v>0</v>
      </c>
      <c r="P75" s="1098">
        <f t="shared" si="41"/>
        <v>0</v>
      </c>
      <c r="Q75" s="1098"/>
      <c r="R75" s="1098">
        <f t="shared" si="42"/>
        <v>0</v>
      </c>
      <c r="S75" s="1098">
        <f t="shared" si="43"/>
        <v>0</v>
      </c>
      <c r="T75" s="1099">
        <f t="shared" si="44"/>
        <v>0</v>
      </c>
      <c r="U75" s="1099">
        <f t="shared" si="34"/>
        <v>0</v>
      </c>
    </row>
    <row r="76" spans="1:21" s="1053" customFormat="1" ht="13.5" thickBot="1">
      <c r="A76" s="1046"/>
      <c r="B76" s="1047" t="s">
        <v>167</v>
      </c>
      <c r="C76" s="1048">
        <f>SUM(C7:C75)</f>
        <v>652</v>
      </c>
      <c r="D76" s="1049">
        <f>'Table 3 Levels 1&amp;2'!AL77</f>
        <v>4325.8670725247357</v>
      </c>
      <c r="E76" s="1143">
        <f>SUM(E7:E75)</f>
        <v>3503432.3534646435</v>
      </c>
      <c r="F76" s="1143">
        <f>SUM(F7:F75)</f>
        <v>343619.35078027926</v>
      </c>
      <c r="G76" s="1050">
        <f>SUM(G7:G75)</f>
        <v>3847051.7042449228</v>
      </c>
      <c r="H76" s="1153">
        <f t="shared" ref="H76:J76" si="45">SUM(H7:H75)</f>
        <v>-9617.6292606123061</v>
      </c>
      <c r="I76" s="1050">
        <f t="shared" si="45"/>
        <v>3837434.0749843111</v>
      </c>
      <c r="J76" s="1050">
        <f t="shared" si="45"/>
        <v>0</v>
      </c>
      <c r="K76" s="1050">
        <f>SUM(K7:K75)</f>
        <v>3837434.0749843111</v>
      </c>
      <c r="L76" s="1050">
        <f>SUM(L7:L75)</f>
        <v>319786</v>
      </c>
      <c r="M76" s="1100"/>
      <c r="N76" s="1051">
        <f>SUM(N7:N75)</f>
        <v>1592863</v>
      </c>
      <c r="O76" s="1158">
        <f t="shared" ref="O76" si="46">SUM(O7:O75)</f>
        <v>-3982.1575000000003</v>
      </c>
      <c r="P76" s="1051">
        <f t="shared" ref="P76:U76" si="47">SUM(P7:P75)</f>
        <v>1588880.8425</v>
      </c>
      <c r="Q76" s="1051">
        <f t="shared" si="47"/>
        <v>0</v>
      </c>
      <c r="R76" s="1051">
        <f t="shared" si="47"/>
        <v>1588880.8425</v>
      </c>
      <c r="S76" s="1051">
        <f t="shared" si="47"/>
        <v>132408</v>
      </c>
      <c r="T76" s="1052">
        <f t="shared" si="47"/>
        <v>5426314.9174843105</v>
      </c>
      <c r="U76" s="1052">
        <f t="shared" si="47"/>
        <v>452194</v>
      </c>
    </row>
    <row r="77" spans="1:21" s="1053" customFormat="1" ht="13.5" thickTop="1">
      <c r="A77" s="1054"/>
      <c r="B77" s="1054"/>
      <c r="C77" s="1055"/>
      <c r="D77" s="1055"/>
      <c r="M77" s="1057"/>
      <c r="N77" s="1057"/>
      <c r="O77" s="1057"/>
      <c r="P77" s="1057"/>
      <c r="Q77" s="1057"/>
      <c r="R77" s="1057"/>
      <c r="S77" s="1057"/>
    </row>
    <row r="78" spans="1:21" ht="12.75" customHeight="1">
      <c r="A78" s="1059"/>
      <c r="C78" s="1060"/>
    </row>
    <row r="79" spans="1:21" ht="12.75" hidden="1" customHeight="1"/>
    <row r="80" spans="1:21" hidden="1"/>
    <row r="81" spans="3:12" hidden="1"/>
    <row r="82" spans="3:12" hidden="1"/>
    <row r="83" spans="3:12" hidden="1">
      <c r="E83" s="1061" t="s">
        <v>581</v>
      </c>
      <c r="F83" s="1061"/>
      <c r="G83" s="1061"/>
      <c r="H83" s="1061"/>
      <c r="I83" s="1061"/>
      <c r="J83" s="1061"/>
      <c r="K83" s="1061"/>
      <c r="L83" s="1061"/>
    </row>
    <row r="84" spans="3:12" ht="10.5" hidden="1" customHeight="1"/>
    <row r="85" spans="3:12" hidden="1"/>
    <row r="86" spans="3:12" hidden="1">
      <c r="C86" s="1063">
        <v>85661</v>
      </c>
      <c r="D86" s="1064" t="s">
        <v>582</v>
      </c>
    </row>
    <row r="87" spans="3:12" hidden="1">
      <c r="C87" s="1063">
        <v>650290</v>
      </c>
      <c r="D87" s="1064" t="s">
        <v>583</v>
      </c>
    </row>
    <row r="88" spans="3:12" hidden="1">
      <c r="C88" s="1065">
        <f>C86/C87</f>
        <v>0.13172738316750987</v>
      </c>
      <c r="D88" s="1064" t="s">
        <v>584</v>
      </c>
    </row>
    <row r="89" spans="3:12" hidden="1">
      <c r="C89" s="1063"/>
      <c r="D89" s="1064"/>
    </row>
    <row r="90" spans="3:12" hidden="1">
      <c r="C90" s="1063">
        <v>128510</v>
      </c>
      <c r="D90" s="1064" t="s">
        <v>585</v>
      </c>
    </row>
    <row r="91" spans="3:12" hidden="1">
      <c r="C91" s="1063">
        <v>911320</v>
      </c>
      <c r="D91" s="1064" t="s">
        <v>586</v>
      </c>
    </row>
    <row r="92" spans="3:12" hidden="1">
      <c r="C92" s="1065">
        <f>C90/C91</f>
        <v>0.14101523065443533</v>
      </c>
      <c r="D92" s="1064" t="s">
        <v>587</v>
      </c>
    </row>
    <row r="93" spans="3:12" hidden="1">
      <c r="C93" s="1063"/>
      <c r="D93" s="1064"/>
    </row>
    <row r="94" spans="3:12" hidden="1">
      <c r="C94" s="1066">
        <v>2663489616</v>
      </c>
      <c r="D94" s="1067" t="s">
        <v>588</v>
      </c>
    </row>
    <row r="95" spans="3:12" hidden="1">
      <c r="C95" s="1068">
        <f>C92</f>
        <v>0.14101523065443533</v>
      </c>
      <c r="D95" s="1067"/>
    </row>
    <row r="96" spans="3:12" hidden="1">
      <c r="C96" s="1069">
        <f>C94*C95</f>
        <v>375592602.54593337</v>
      </c>
      <c r="D96" s="1064" t="s">
        <v>589</v>
      </c>
    </row>
    <row r="97" spans="3:4" hidden="1">
      <c r="C97" s="1070">
        <f>50%/C92</f>
        <v>3.5457162866702978</v>
      </c>
      <c r="D97" s="1067" t="s">
        <v>590</v>
      </c>
    </row>
    <row r="98" spans="3:4" hidden="1">
      <c r="C98" s="1069">
        <f>C96*C97</f>
        <v>1331744808</v>
      </c>
      <c r="D98" s="1071" t="s">
        <v>591</v>
      </c>
    </row>
    <row r="99" spans="3:4" hidden="1">
      <c r="C99" s="1072">
        <f>C87</f>
        <v>650290</v>
      </c>
      <c r="D99" s="1067" t="s">
        <v>592</v>
      </c>
    </row>
    <row r="100" spans="3:4" hidden="1">
      <c r="C100" s="1069">
        <f>C98/C99</f>
        <v>2047.9244767719017</v>
      </c>
      <c r="D100" s="1067" t="s">
        <v>593</v>
      </c>
    </row>
    <row r="101" spans="3:4" hidden="1">
      <c r="C101" s="1073">
        <f>(C96/C99)*-1</f>
        <v>-577.57708490970697</v>
      </c>
      <c r="D101" s="1067" t="s">
        <v>594</v>
      </c>
    </row>
    <row r="102" spans="3:4" hidden="1">
      <c r="C102" s="1074">
        <f>SUM(C100:C101)</f>
        <v>1470.3473918621949</v>
      </c>
      <c r="D102" s="1067" t="s">
        <v>595</v>
      </c>
    </row>
    <row r="103" spans="3:4" hidden="1">
      <c r="C103" s="1074"/>
      <c r="D103" s="1067"/>
    </row>
    <row r="104" spans="3:4" hidden="1">
      <c r="C104" s="1074"/>
      <c r="D104" s="1067"/>
    </row>
    <row r="105" spans="3:4" hidden="1">
      <c r="D105" s="1067"/>
    </row>
    <row r="106" spans="3:4" hidden="1"/>
  </sheetData>
  <mergeCells count="18">
    <mergeCell ref="U2:U4"/>
    <mergeCell ref="C3:C4"/>
    <mergeCell ref="D3:D4"/>
    <mergeCell ref="E3:E4"/>
    <mergeCell ref="L3:L4"/>
    <mergeCell ref="M3:M4"/>
    <mergeCell ref="J3:J4"/>
    <mergeCell ref="K3:K4"/>
    <mergeCell ref="Q3:Q4"/>
    <mergeCell ref="R3:R4"/>
    <mergeCell ref="A2:B4"/>
    <mergeCell ref="C2:L2"/>
    <mergeCell ref="M2:S2"/>
    <mergeCell ref="T2:T4"/>
    <mergeCell ref="G3:G4"/>
    <mergeCell ref="N3:N4"/>
    <mergeCell ref="S3:S4"/>
    <mergeCell ref="I3:I4"/>
  </mergeCells>
  <printOptions horizontalCentered="1"/>
  <pageMargins left="0.27" right="0.25" top="0.87" bottom="0.2" header="0.25" footer="0.2"/>
  <pageSetup paperSize="5" scale="61" firstPageNumber="80" fitToWidth="3" orientation="portrait" useFirstPageNumber="1" r:id="rId1"/>
  <headerFooter alignWithMargins="0">
    <oddHeader xml:space="preserve">&amp;L&amp;"Arial,Bold"&amp;16Table 5D-5:  FY2012-13 MFP Budget Letter &amp;"Arial,Regular"&amp;10
&amp;"Arial,Bold"&amp;14Legacy Type 2 Charters &amp;R&amp;"Arial,Bold"&amp;12&amp;KFF0000
</oddHeader>
    <oddFooter>&amp;R&amp;P</oddFooter>
  </headerFooter>
  <colBreaks count="1" manualBreakCount="1">
    <brk id="12" min="1" max="78" man="1"/>
  </colBreaks>
</worksheet>
</file>

<file path=xl/worksheets/sheet32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106"/>
  <sheetViews>
    <sheetView view="pageBreakPreview" zoomScaleNormal="85" zoomScaleSheetLayoutView="10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85546875" style="1005" customWidth="1"/>
    <col min="2" max="2" width="23.7109375" style="1005" customWidth="1"/>
    <col min="3" max="3" width="11.85546875" style="1008" customWidth="1"/>
    <col min="4" max="4" width="15.28515625" style="1008" customWidth="1"/>
    <col min="5" max="5" width="11" style="1008" customWidth="1"/>
    <col min="6" max="6" width="12.5703125" style="1008" bestFit="1" customWidth="1"/>
    <col min="7" max="7" width="11.85546875" style="1008" customWidth="1"/>
    <col min="8" max="8" width="11" style="1008" customWidth="1"/>
    <col min="9" max="11" width="11.7109375" style="1008" customWidth="1"/>
    <col min="12" max="12" width="9.42578125" style="1008" bestFit="1" customWidth="1"/>
    <col min="13" max="13" width="17.7109375" style="1084" customWidth="1"/>
    <col min="14" max="14" width="13.7109375" style="1008" bestFit="1" customWidth="1"/>
    <col min="15" max="18" width="13.7109375" style="1008" customWidth="1"/>
    <col min="19" max="19" width="10.85546875" style="1008" bestFit="1" customWidth="1"/>
    <col min="20" max="21" width="12.5703125" style="1005" customWidth="1"/>
    <col min="22" max="16384" width="12.5703125" style="1005"/>
  </cols>
  <sheetData>
    <row r="1" spans="1:21" ht="9" customHeight="1">
      <c r="B1" s="1006"/>
      <c r="C1" s="1007"/>
      <c r="D1" s="1007"/>
    </row>
    <row r="2" spans="1:21" s="1010" customFormat="1" ht="37.5" customHeight="1">
      <c r="A2" s="1773" t="s">
        <v>777</v>
      </c>
      <c r="B2" s="1774"/>
      <c r="C2" s="1843" t="s">
        <v>759</v>
      </c>
      <c r="D2" s="1791"/>
      <c r="E2" s="1791"/>
      <c r="F2" s="1791"/>
      <c r="G2" s="1791"/>
      <c r="H2" s="1791"/>
      <c r="I2" s="1791"/>
      <c r="J2" s="1791"/>
      <c r="K2" s="1791"/>
      <c r="L2" s="1792"/>
      <c r="M2" s="1770" t="s">
        <v>772</v>
      </c>
      <c r="N2" s="1771"/>
      <c r="O2" s="1771"/>
      <c r="P2" s="1771"/>
      <c r="Q2" s="1771"/>
      <c r="R2" s="1771"/>
      <c r="S2" s="1772"/>
      <c r="T2" s="1764" t="s">
        <v>1425</v>
      </c>
      <c r="U2" s="1764" t="s">
        <v>1389</v>
      </c>
    </row>
    <row r="3" spans="1:21" ht="90" customHeight="1">
      <c r="A3" s="1775"/>
      <c r="B3" s="1776"/>
      <c r="C3" s="1779" t="s">
        <v>1192</v>
      </c>
      <c r="D3" s="1781" t="s">
        <v>819</v>
      </c>
      <c r="E3" s="1781" t="s">
        <v>1406</v>
      </c>
      <c r="F3" s="1011" t="s">
        <v>779</v>
      </c>
      <c r="G3" s="1779" t="s">
        <v>1407</v>
      </c>
      <c r="H3" s="1133" t="s">
        <v>813</v>
      </c>
      <c r="I3" s="1779" t="s">
        <v>1408</v>
      </c>
      <c r="J3" s="1779" t="s">
        <v>1197</v>
      </c>
      <c r="K3" s="1779" t="s">
        <v>1409</v>
      </c>
      <c r="L3" s="1781" t="s">
        <v>1410</v>
      </c>
      <c r="M3" s="1793" t="s">
        <v>1305</v>
      </c>
      <c r="N3" s="1795" t="s">
        <v>1411</v>
      </c>
      <c r="O3" s="1135" t="s">
        <v>815</v>
      </c>
      <c r="P3" s="1135" t="s">
        <v>818</v>
      </c>
      <c r="Q3" s="1795" t="s">
        <v>1197</v>
      </c>
      <c r="R3" s="1795" t="s">
        <v>1412</v>
      </c>
      <c r="S3" s="1795" t="s">
        <v>1413</v>
      </c>
      <c r="T3" s="1765"/>
      <c r="U3" s="1765"/>
    </row>
    <row r="4" spans="1:21" ht="30.75" customHeight="1">
      <c r="A4" s="1777"/>
      <c r="B4" s="1778"/>
      <c r="C4" s="1780"/>
      <c r="D4" s="1781"/>
      <c r="E4" s="1781"/>
      <c r="F4" s="1102">
        <v>705.7643831168831</v>
      </c>
      <c r="G4" s="1780"/>
      <c r="H4" s="1144">
        <v>2.5000000000000001E-3</v>
      </c>
      <c r="I4" s="1780"/>
      <c r="J4" s="1780"/>
      <c r="K4" s="1780"/>
      <c r="L4" s="1781"/>
      <c r="M4" s="1794"/>
      <c r="N4" s="1787"/>
      <c r="O4" s="1145">
        <v>2.5000000000000001E-3</v>
      </c>
      <c r="P4" s="1134"/>
      <c r="Q4" s="1787"/>
      <c r="R4" s="1787"/>
      <c r="S4" s="1787"/>
      <c r="T4" s="1766"/>
      <c r="U4" s="1766"/>
    </row>
    <row r="5" spans="1:21" s="1015" customFormat="1" ht="14.25" customHeight="1">
      <c r="A5" s="1012"/>
      <c r="B5" s="1013"/>
      <c r="C5" s="1014">
        <v>1</v>
      </c>
      <c r="D5" s="1014">
        <f t="shared" ref="D5:N5" si="0">C5+1</f>
        <v>2</v>
      </c>
      <c r="E5" s="1014">
        <f>D5+1</f>
        <v>3</v>
      </c>
      <c r="F5" s="1014">
        <f t="shared" ref="F5:G5" si="1">E5+1</f>
        <v>4</v>
      </c>
      <c r="G5" s="1014">
        <f t="shared" si="1"/>
        <v>5</v>
      </c>
      <c r="H5" s="1014">
        <f t="shared" ref="H5" si="2">G5+1</f>
        <v>6</v>
      </c>
      <c r="I5" s="1014">
        <f t="shared" ref="I5" si="3">H5+1</f>
        <v>7</v>
      </c>
      <c r="J5" s="1014">
        <f t="shared" ref="J5" si="4">I5+1</f>
        <v>8</v>
      </c>
      <c r="K5" s="1014">
        <f t="shared" ref="K5" si="5">J5+1</f>
        <v>9</v>
      </c>
      <c r="L5" s="1014">
        <f t="shared" ref="L5" si="6">K5+1</f>
        <v>10</v>
      </c>
      <c r="M5" s="1014">
        <f t="shared" si="0"/>
        <v>11</v>
      </c>
      <c r="N5" s="1014">
        <f t="shared" si="0"/>
        <v>12</v>
      </c>
      <c r="O5" s="1014">
        <f t="shared" ref="O5" si="7">N5+1</f>
        <v>13</v>
      </c>
      <c r="P5" s="1014">
        <f t="shared" ref="P5" si="8">O5+1</f>
        <v>14</v>
      </c>
      <c r="Q5" s="1014">
        <f t="shared" ref="Q5" si="9">P5+1</f>
        <v>15</v>
      </c>
      <c r="R5" s="1014">
        <f t="shared" ref="R5" si="10">Q5+1</f>
        <v>16</v>
      </c>
      <c r="S5" s="1014">
        <f t="shared" ref="S5" si="11">R5+1</f>
        <v>17</v>
      </c>
      <c r="T5" s="1014">
        <f t="shared" ref="T5" si="12">S5+1</f>
        <v>18</v>
      </c>
      <c r="U5" s="1014">
        <f t="shared" ref="U5" si="13">T5+1</f>
        <v>19</v>
      </c>
    </row>
    <row r="6" spans="1:21" s="1020" customFormat="1" ht="27" customHeight="1">
      <c r="A6" s="1016"/>
      <c r="B6" s="1017"/>
      <c r="C6" s="1018" t="s">
        <v>660</v>
      </c>
      <c r="D6" s="1019" t="s">
        <v>571</v>
      </c>
      <c r="E6" s="1018" t="s">
        <v>864</v>
      </c>
      <c r="F6" s="1019" t="s">
        <v>781</v>
      </c>
      <c r="G6" s="1018" t="s">
        <v>780</v>
      </c>
      <c r="H6" s="1018" t="s">
        <v>814</v>
      </c>
      <c r="I6" s="1018" t="s">
        <v>816</v>
      </c>
      <c r="J6" s="1018"/>
      <c r="K6" s="1018" t="s">
        <v>1217</v>
      </c>
      <c r="L6" s="1018" t="s">
        <v>869</v>
      </c>
      <c r="M6" s="1085" t="s">
        <v>571</v>
      </c>
      <c r="N6" s="1079" t="s">
        <v>870</v>
      </c>
      <c r="O6" s="1079" t="s">
        <v>1218</v>
      </c>
      <c r="P6" s="1079" t="s">
        <v>1215</v>
      </c>
      <c r="Q6" s="1019"/>
      <c r="R6" s="1079" t="s">
        <v>1216</v>
      </c>
      <c r="S6" s="1079" t="s">
        <v>872</v>
      </c>
      <c r="T6" s="1079" t="s">
        <v>873</v>
      </c>
      <c r="U6" s="1079" t="s">
        <v>874</v>
      </c>
    </row>
    <row r="7" spans="1:21">
      <c r="A7" s="1021">
        <v>1</v>
      </c>
      <c r="B7" s="1022" t="s">
        <v>102</v>
      </c>
      <c r="C7" s="1023">
        <f>'Table 8 2.1.12 MFP Funded'!Q4</f>
        <v>0</v>
      </c>
      <c r="D7" s="1024">
        <f>'Table 3 Levels 1&amp;2'!AL8</f>
        <v>4621.8175818834352</v>
      </c>
      <c r="E7" s="1136">
        <f t="shared" ref="E7:E38" si="14">D7*C7</f>
        <v>0</v>
      </c>
      <c r="F7" s="1136">
        <f>C7*$F$4</f>
        <v>0</v>
      </c>
      <c r="G7" s="1025">
        <f t="shared" ref="G7:G38" si="15">E7+F7</f>
        <v>0</v>
      </c>
      <c r="H7" s="1146">
        <f>-G7*$H$4</f>
        <v>0</v>
      </c>
      <c r="I7" s="1025">
        <f>SUM(G7:H7)</f>
        <v>0</v>
      </c>
      <c r="J7" s="1025"/>
      <c r="K7" s="1025">
        <f>SUM(I7:J7)</f>
        <v>0</v>
      </c>
      <c r="L7" s="1025">
        <f>ROUND(K7/12,0)</f>
        <v>0</v>
      </c>
      <c r="M7" s="1086">
        <f>'[8]FY2012-13 Initial'!$K8</f>
        <v>2094</v>
      </c>
      <c r="N7" s="1026">
        <f t="shared" ref="N7:N38" si="16">M7*C7</f>
        <v>0</v>
      </c>
      <c r="O7" s="1154">
        <f>-N7*$O$4</f>
        <v>0</v>
      </c>
      <c r="P7" s="1026">
        <f>SUM(N7:O7)</f>
        <v>0</v>
      </c>
      <c r="Q7" s="1026"/>
      <c r="R7" s="1026">
        <f>SUM(P7:Q7)</f>
        <v>0</v>
      </c>
      <c r="S7" s="1026">
        <f>ROUND(R7/12,0)</f>
        <v>0</v>
      </c>
      <c r="T7" s="1027">
        <f>K7+R7</f>
        <v>0</v>
      </c>
      <c r="U7" s="1027">
        <f>L7+S7</f>
        <v>0</v>
      </c>
    </row>
    <row r="8" spans="1:21">
      <c r="A8" s="1028">
        <v>2</v>
      </c>
      <c r="B8" s="1029" t="s">
        <v>103</v>
      </c>
      <c r="C8" s="1030">
        <f>'Table 8 2.1.12 MFP Funded'!Q5</f>
        <v>0</v>
      </c>
      <c r="D8" s="1031">
        <f>'Table 3 Levels 1&amp;2'!AL9</f>
        <v>6131.8351665660375</v>
      </c>
      <c r="E8" s="1137">
        <f t="shared" si="14"/>
        <v>0</v>
      </c>
      <c r="F8" s="1137">
        <f t="shared" ref="F8:F71" si="17">C8*$F$4</f>
        <v>0</v>
      </c>
      <c r="G8" s="1087">
        <f t="shared" si="15"/>
        <v>0</v>
      </c>
      <c r="H8" s="1147">
        <f t="shared" ref="H8:H71" si="18">-G8*$H$4</f>
        <v>0</v>
      </c>
      <c r="I8" s="1087">
        <f t="shared" ref="I8:I71" si="19">SUM(G8:H8)</f>
        <v>0</v>
      </c>
      <c r="J8" s="1087"/>
      <c r="K8" s="1087">
        <f t="shared" ref="K8:K71" si="20">SUM(I8:J8)</f>
        <v>0</v>
      </c>
      <c r="L8" s="1087">
        <f t="shared" ref="L8:L71" si="21">ROUND(K8/12,0)</f>
        <v>0</v>
      </c>
      <c r="M8" s="1086">
        <f>'[8]FY2012-13 Initial'!$K9</f>
        <v>2554</v>
      </c>
      <c r="N8" s="1088">
        <f t="shared" si="16"/>
        <v>0</v>
      </c>
      <c r="O8" s="1155">
        <f t="shared" ref="O8:O71" si="22">-N8*$O$4</f>
        <v>0</v>
      </c>
      <c r="P8" s="1088">
        <f t="shared" ref="P8:P71" si="23">SUM(N8:O8)</f>
        <v>0</v>
      </c>
      <c r="Q8" s="1088"/>
      <c r="R8" s="1088">
        <f t="shared" ref="R8:R71" si="24">SUM(P8:Q8)</f>
        <v>0</v>
      </c>
      <c r="S8" s="1088">
        <f t="shared" ref="S8:S71" si="25">ROUND(R8/12,0)</f>
        <v>0</v>
      </c>
      <c r="T8" s="1089">
        <f t="shared" ref="T8:T71" si="26">K8+R8</f>
        <v>0</v>
      </c>
      <c r="U8" s="1089">
        <f t="shared" ref="U8:U70" si="27">L8+S8</f>
        <v>0</v>
      </c>
    </row>
    <row r="9" spans="1:21" ht="12.75" customHeight="1">
      <c r="A9" s="1028">
        <v>3</v>
      </c>
      <c r="B9" s="1029" t="s">
        <v>104</v>
      </c>
      <c r="C9" s="1030">
        <f>'Table 8 2.1.12 MFP Funded'!Q6</f>
        <v>0</v>
      </c>
      <c r="D9" s="1031">
        <f>'Table 3 Levels 1&amp;2'!AL10</f>
        <v>4326.5384352059973</v>
      </c>
      <c r="E9" s="1137">
        <f t="shared" si="14"/>
        <v>0</v>
      </c>
      <c r="F9" s="1137">
        <f t="shared" si="17"/>
        <v>0</v>
      </c>
      <c r="G9" s="1087">
        <f t="shared" si="15"/>
        <v>0</v>
      </c>
      <c r="H9" s="1147">
        <f t="shared" si="18"/>
        <v>0</v>
      </c>
      <c r="I9" s="1087">
        <f t="shared" si="19"/>
        <v>0</v>
      </c>
      <c r="J9" s="1087"/>
      <c r="K9" s="1087">
        <f t="shared" si="20"/>
        <v>0</v>
      </c>
      <c r="L9" s="1087">
        <f t="shared" si="21"/>
        <v>0</v>
      </c>
      <c r="M9" s="1086">
        <f>'[8]FY2012-13 Initial'!$K10</f>
        <v>4995</v>
      </c>
      <c r="N9" s="1088">
        <f t="shared" si="16"/>
        <v>0</v>
      </c>
      <c r="O9" s="1155">
        <f t="shared" si="22"/>
        <v>0</v>
      </c>
      <c r="P9" s="1088">
        <f t="shared" si="23"/>
        <v>0</v>
      </c>
      <c r="Q9" s="1088"/>
      <c r="R9" s="1088">
        <f t="shared" si="24"/>
        <v>0</v>
      </c>
      <c r="S9" s="1088">
        <f t="shared" si="25"/>
        <v>0</v>
      </c>
      <c r="T9" s="1089">
        <f t="shared" si="26"/>
        <v>0</v>
      </c>
      <c r="U9" s="1089">
        <f t="shared" si="27"/>
        <v>0</v>
      </c>
    </row>
    <row r="10" spans="1:21" ht="12.75" customHeight="1">
      <c r="A10" s="1028">
        <v>4</v>
      </c>
      <c r="B10" s="1029" t="s">
        <v>105</v>
      </c>
      <c r="C10" s="1030">
        <f>'Table 8 2.1.12 MFP Funded'!Q7</f>
        <v>0</v>
      </c>
      <c r="D10" s="1031">
        <f>'Table 3 Levels 1&amp;2'!AL11</f>
        <v>6066.2659652331004</v>
      </c>
      <c r="E10" s="1137">
        <f t="shared" si="14"/>
        <v>0</v>
      </c>
      <c r="F10" s="1137">
        <f t="shared" si="17"/>
        <v>0</v>
      </c>
      <c r="G10" s="1087">
        <f t="shared" si="15"/>
        <v>0</v>
      </c>
      <c r="H10" s="1147">
        <f t="shared" si="18"/>
        <v>0</v>
      </c>
      <c r="I10" s="1087">
        <f t="shared" si="19"/>
        <v>0</v>
      </c>
      <c r="J10" s="1087"/>
      <c r="K10" s="1087">
        <f t="shared" si="20"/>
        <v>0</v>
      </c>
      <c r="L10" s="1087">
        <f t="shared" si="21"/>
        <v>0</v>
      </c>
      <c r="M10" s="1086">
        <f>'[8]FY2012-13 Initial'!$K11</f>
        <v>3361</v>
      </c>
      <c r="N10" s="1088">
        <f t="shared" si="16"/>
        <v>0</v>
      </c>
      <c r="O10" s="1155">
        <f t="shared" si="22"/>
        <v>0</v>
      </c>
      <c r="P10" s="1088">
        <f t="shared" si="23"/>
        <v>0</v>
      </c>
      <c r="Q10" s="1088"/>
      <c r="R10" s="1088">
        <f t="shared" si="24"/>
        <v>0</v>
      </c>
      <c r="S10" s="1088">
        <f t="shared" si="25"/>
        <v>0</v>
      </c>
      <c r="T10" s="1089">
        <f t="shared" si="26"/>
        <v>0</v>
      </c>
      <c r="U10" s="1089">
        <f t="shared" si="27"/>
        <v>0</v>
      </c>
    </row>
    <row r="11" spans="1:21">
      <c r="A11" s="1032">
        <v>5</v>
      </c>
      <c r="B11" s="1033" t="s">
        <v>106</v>
      </c>
      <c r="C11" s="1034">
        <f>'Table 8 2.1.12 MFP Funded'!Q8</f>
        <v>0</v>
      </c>
      <c r="D11" s="1035">
        <f>'Table 3 Levels 1&amp;2'!AL12</f>
        <v>4806.2126132223084</v>
      </c>
      <c r="E11" s="1138">
        <f t="shared" si="14"/>
        <v>0</v>
      </c>
      <c r="F11" s="1138">
        <f t="shared" si="17"/>
        <v>0</v>
      </c>
      <c r="G11" s="1090">
        <f t="shared" si="15"/>
        <v>0</v>
      </c>
      <c r="H11" s="1148">
        <f t="shared" si="18"/>
        <v>0</v>
      </c>
      <c r="I11" s="1090">
        <f t="shared" si="19"/>
        <v>0</v>
      </c>
      <c r="J11" s="1090"/>
      <c r="K11" s="1090">
        <f t="shared" si="20"/>
        <v>0</v>
      </c>
      <c r="L11" s="1090">
        <f t="shared" si="21"/>
        <v>0</v>
      </c>
      <c r="M11" s="1091">
        <f>'[8]FY2012-13 Initial'!$K12</f>
        <v>1146</v>
      </c>
      <c r="N11" s="1092">
        <f t="shared" si="16"/>
        <v>0</v>
      </c>
      <c r="O11" s="1156">
        <f t="shared" si="22"/>
        <v>0</v>
      </c>
      <c r="P11" s="1092">
        <f t="shared" si="23"/>
        <v>0</v>
      </c>
      <c r="Q11" s="1092"/>
      <c r="R11" s="1092">
        <f t="shared" si="24"/>
        <v>0</v>
      </c>
      <c r="S11" s="1092">
        <f t="shared" si="25"/>
        <v>0</v>
      </c>
      <c r="T11" s="1093">
        <f t="shared" si="26"/>
        <v>0</v>
      </c>
      <c r="U11" s="1093">
        <f t="shared" si="27"/>
        <v>0</v>
      </c>
    </row>
    <row r="12" spans="1:21" ht="12.75" customHeight="1">
      <c r="A12" s="1021">
        <v>6</v>
      </c>
      <c r="B12" s="1022" t="s">
        <v>107</v>
      </c>
      <c r="C12" s="1023">
        <f>'Table 8 2.1.12 MFP Funded'!Q9</f>
        <v>0</v>
      </c>
      <c r="D12" s="1024">
        <f>'Table 3 Levels 1&amp;2'!AL13</f>
        <v>5538.0879878550813</v>
      </c>
      <c r="E12" s="1136">
        <f t="shared" si="14"/>
        <v>0</v>
      </c>
      <c r="F12" s="1136">
        <f t="shared" si="17"/>
        <v>0</v>
      </c>
      <c r="G12" s="1025">
        <f t="shared" si="15"/>
        <v>0</v>
      </c>
      <c r="H12" s="1146">
        <f t="shared" si="18"/>
        <v>0</v>
      </c>
      <c r="I12" s="1025">
        <f t="shared" si="19"/>
        <v>0</v>
      </c>
      <c r="J12" s="1025"/>
      <c r="K12" s="1025">
        <f t="shared" si="20"/>
        <v>0</v>
      </c>
      <c r="L12" s="1025">
        <f t="shared" si="21"/>
        <v>0</v>
      </c>
      <c r="M12" s="1086">
        <f>'[8]FY2012-13 Initial'!$K13</f>
        <v>3431</v>
      </c>
      <c r="N12" s="1026">
        <f t="shared" si="16"/>
        <v>0</v>
      </c>
      <c r="O12" s="1154">
        <f t="shared" si="22"/>
        <v>0</v>
      </c>
      <c r="P12" s="1026">
        <f t="shared" si="23"/>
        <v>0</v>
      </c>
      <c r="Q12" s="1026"/>
      <c r="R12" s="1026">
        <f t="shared" si="24"/>
        <v>0</v>
      </c>
      <c r="S12" s="1026">
        <f t="shared" si="25"/>
        <v>0</v>
      </c>
      <c r="T12" s="1027">
        <f t="shared" si="26"/>
        <v>0</v>
      </c>
      <c r="U12" s="1027">
        <f t="shared" si="27"/>
        <v>0</v>
      </c>
    </row>
    <row r="13" spans="1:21">
      <c r="A13" s="1028">
        <v>7</v>
      </c>
      <c r="B13" s="1029" t="s">
        <v>108</v>
      </c>
      <c r="C13" s="1030">
        <f>'Table 8 2.1.12 MFP Funded'!Q10</f>
        <v>0</v>
      </c>
      <c r="D13" s="1031">
        <f>'Table 3 Levels 1&amp;2'!AL14</f>
        <v>1543.5712353471597</v>
      </c>
      <c r="E13" s="1137">
        <f t="shared" si="14"/>
        <v>0</v>
      </c>
      <c r="F13" s="1137">
        <f t="shared" si="17"/>
        <v>0</v>
      </c>
      <c r="G13" s="1087">
        <f t="shared" si="15"/>
        <v>0</v>
      </c>
      <c r="H13" s="1147">
        <f t="shared" si="18"/>
        <v>0</v>
      </c>
      <c r="I13" s="1087">
        <f t="shared" si="19"/>
        <v>0</v>
      </c>
      <c r="J13" s="1087"/>
      <c r="K13" s="1087">
        <f t="shared" si="20"/>
        <v>0</v>
      </c>
      <c r="L13" s="1087">
        <f t="shared" si="21"/>
        <v>0</v>
      </c>
      <c r="M13" s="1086">
        <f>'[8]FY2012-13 Initial'!$K14</f>
        <v>12974</v>
      </c>
      <c r="N13" s="1088">
        <f t="shared" si="16"/>
        <v>0</v>
      </c>
      <c r="O13" s="1155">
        <f t="shared" si="22"/>
        <v>0</v>
      </c>
      <c r="P13" s="1088">
        <f t="shared" si="23"/>
        <v>0</v>
      </c>
      <c r="Q13" s="1088"/>
      <c r="R13" s="1088">
        <f t="shared" si="24"/>
        <v>0</v>
      </c>
      <c r="S13" s="1088">
        <f t="shared" si="25"/>
        <v>0</v>
      </c>
      <c r="T13" s="1089">
        <f t="shared" si="26"/>
        <v>0</v>
      </c>
      <c r="U13" s="1089">
        <f t="shared" si="27"/>
        <v>0</v>
      </c>
    </row>
    <row r="14" spans="1:21">
      <c r="A14" s="1028">
        <v>8</v>
      </c>
      <c r="B14" s="1029" t="s">
        <v>109</v>
      </c>
      <c r="C14" s="1030">
        <f>'Table 8 2.1.12 MFP Funded'!Q11</f>
        <v>0</v>
      </c>
      <c r="D14" s="1031">
        <f>'Table 3 Levels 1&amp;2'!AL15</f>
        <v>4033.4866571910334</v>
      </c>
      <c r="E14" s="1137">
        <f t="shared" si="14"/>
        <v>0</v>
      </c>
      <c r="F14" s="1137">
        <f t="shared" si="17"/>
        <v>0</v>
      </c>
      <c r="G14" s="1087">
        <f t="shared" si="15"/>
        <v>0</v>
      </c>
      <c r="H14" s="1147">
        <f t="shared" si="18"/>
        <v>0</v>
      </c>
      <c r="I14" s="1087">
        <f t="shared" si="19"/>
        <v>0</v>
      </c>
      <c r="J14" s="1087"/>
      <c r="K14" s="1087">
        <f t="shared" si="20"/>
        <v>0</v>
      </c>
      <c r="L14" s="1087">
        <f t="shared" si="21"/>
        <v>0</v>
      </c>
      <c r="M14" s="1086">
        <f>'[8]FY2012-13 Initial'!$K15</f>
        <v>4234</v>
      </c>
      <c r="N14" s="1088">
        <f t="shared" si="16"/>
        <v>0</v>
      </c>
      <c r="O14" s="1155">
        <f t="shared" si="22"/>
        <v>0</v>
      </c>
      <c r="P14" s="1088">
        <f t="shared" si="23"/>
        <v>0</v>
      </c>
      <c r="Q14" s="1088"/>
      <c r="R14" s="1088">
        <f t="shared" si="24"/>
        <v>0</v>
      </c>
      <c r="S14" s="1088">
        <f t="shared" si="25"/>
        <v>0</v>
      </c>
      <c r="T14" s="1089">
        <f t="shared" si="26"/>
        <v>0</v>
      </c>
      <c r="U14" s="1089">
        <f t="shared" si="27"/>
        <v>0</v>
      </c>
    </row>
    <row r="15" spans="1:21">
      <c r="A15" s="1028">
        <v>9</v>
      </c>
      <c r="B15" s="1029" t="s">
        <v>110</v>
      </c>
      <c r="C15" s="1030">
        <f>'Table 8 2.1.12 MFP Funded'!Q12</f>
        <v>0</v>
      </c>
      <c r="D15" s="1031">
        <f>'Table 3 Levels 1&amp;2'!AL16</f>
        <v>4268.3217271902904</v>
      </c>
      <c r="E15" s="1137">
        <f t="shared" si="14"/>
        <v>0</v>
      </c>
      <c r="F15" s="1137">
        <f t="shared" si="17"/>
        <v>0</v>
      </c>
      <c r="G15" s="1087">
        <f t="shared" si="15"/>
        <v>0</v>
      </c>
      <c r="H15" s="1147">
        <f t="shared" si="18"/>
        <v>0</v>
      </c>
      <c r="I15" s="1087">
        <f t="shared" si="19"/>
        <v>0</v>
      </c>
      <c r="J15" s="1087"/>
      <c r="K15" s="1087">
        <f t="shared" si="20"/>
        <v>0</v>
      </c>
      <c r="L15" s="1087">
        <f t="shared" si="21"/>
        <v>0</v>
      </c>
      <c r="M15" s="1086">
        <f>'[8]FY2012-13 Initial'!$K16</f>
        <v>4539</v>
      </c>
      <c r="N15" s="1088">
        <f t="shared" si="16"/>
        <v>0</v>
      </c>
      <c r="O15" s="1155">
        <f t="shared" si="22"/>
        <v>0</v>
      </c>
      <c r="P15" s="1088">
        <f t="shared" si="23"/>
        <v>0</v>
      </c>
      <c r="Q15" s="1088"/>
      <c r="R15" s="1088">
        <f t="shared" si="24"/>
        <v>0</v>
      </c>
      <c r="S15" s="1088">
        <f t="shared" si="25"/>
        <v>0</v>
      </c>
      <c r="T15" s="1089">
        <f t="shared" si="26"/>
        <v>0</v>
      </c>
      <c r="U15" s="1089">
        <f t="shared" si="27"/>
        <v>0</v>
      </c>
    </row>
    <row r="16" spans="1:21">
      <c r="A16" s="1032">
        <v>10</v>
      </c>
      <c r="B16" s="1033" t="s">
        <v>111</v>
      </c>
      <c r="C16" s="1034">
        <f>'Table 8 2.1.12 MFP Funded'!Q13</f>
        <v>0</v>
      </c>
      <c r="D16" s="1035">
        <f>'Table 3 Levels 1&amp;2'!AL17</f>
        <v>4300.0681374076885</v>
      </c>
      <c r="E16" s="1138">
        <f t="shared" si="14"/>
        <v>0</v>
      </c>
      <c r="F16" s="1138">
        <f t="shared" si="17"/>
        <v>0</v>
      </c>
      <c r="G16" s="1090">
        <f t="shared" si="15"/>
        <v>0</v>
      </c>
      <c r="H16" s="1148">
        <f t="shared" si="18"/>
        <v>0</v>
      </c>
      <c r="I16" s="1090">
        <f t="shared" si="19"/>
        <v>0</v>
      </c>
      <c r="J16" s="1090"/>
      <c r="K16" s="1090">
        <f t="shared" si="20"/>
        <v>0</v>
      </c>
      <c r="L16" s="1090">
        <f t="shared" si="21"/>
        <v>0</v>
      </c>
      <c r="M16" s="1091">
        <f>'[8]FY2012-13 Initial'!$K17</f>
        <v>4312</v>
      </c>
      <c r="N16" s="1092">
        <f t="shared" si="16"/>
        <v>0</v>
      </c>
      <c r="O16" s="1156">
        <f t="shared" si="22"/>
        <v>0</v>
      </c>
      <c r="P16" s="1092">
        <f t="shared" si="23"/>
        <v>0</v>
      </c>
      <c r="Q16" s="1092"/>
      <c r="R16" s="1092">
        <f t="shared" si="24"/>
        <v>0</v>
      </c>
      <c r="S16" s="1092">
        <f t="shared" si="25"/>
        <v>0</v>
      </c>
      <c r="T16" s="1093">
        <f t="shared" si="26"/>
        <v>0</v>
      </c>
      <c r="U16" s="1093">
        <f t="shared" si="27"/>
        <v>0</v>
      </c>
    </row>
    <row r="17" spans="1:21">
      <c r="A17" s="1021">
        <v>11</v>
      </c>
      <c r="B17" s="1022" t="s">
        <v>112</v>
      </c>
      <c r="C17" s="1023">
        <f>'Table 8 2.1.12 MFP Funded'!Q14</f>
        <v>0</v>
      </c>
      <c r="D17" s="1024">
        <f>'Table 3 Levels 1&amp;2'!AL18</f>
        <v>6740.2393955908683</v>
      </c>
      <c r="E17" s="1136">
        <f t="shared" si="14"/>
        <v>0</v>
      </c>
      <c r="F17" s="1136">
        <f t="shared" si="17"/>
        <v>0</v>
      </c>
      <c r="G17" s="1025">
        <f t="shared" si="15"/>
        <v>0</v>
      </c>
      <c r="H17" s="1146">
        <f t="shared" si="18"/>
        <v>0</v>
      </c>
      <c r="I17" s="1025">
        <f t="shared" si="19"/>
        <v>0</v>
      </c>
      <c r="J17" s="1025"/>
      <c r="K17" s="1025">
        <f t="shared" si="20"/>
        <v>0</v>
      </c>
      <c r="L17" s="1025">
        <f t="shared" si="21"/>
        <v>0</v>
      </c>
      <c r="M17" s="1086">
        <f>'[8]FY2012-13 Initial'!$K18</f>
        <v>3004</v>
      </c>
      <c r="N17" s="1026">
        <f t="shared" si="16"/>
        <v>0</v>
      </c>
      <c r="O17" s="1154">
        <f t="shared" si="22"/>
        <v>0</v>
      </c>
      <c r="P17" s="1026">
        <f t="shared" si="23"/>
        <v>0</v>
      </c>
      <c r="Q17" s="1026"/>
      <c r="R17" s="1026">
        <f t="shared" si="24"/>
        <v>0</v>
      </c>
      <c r="S17" s="1026">
        <f t="shared" si="25"/>
        <v>0</v>
      </c>
      <c r="T17" s="1027">
        <f t="shared" si="26"/>
        <v>0</v>
      </c>
      <c r="U17" s="1027">
        <f t="shared" si="27"/>
        <v>0</v>
      </c>
    </row>
    <row r="18" spans="1:21">
      <c r="A18" s="1028">
        <v>12</v>
      </c>
      <c r="B18" s="1029" t="s">
        <v>113</v>
      </c>
      <c r="C18" s="1030">
        <f>'Table 8 2.1.12 MFP Funded'!Q15</f>
        <v>0</v>
      </c>
      <c r="D18" s="1031">
        <f>'Table 3 Levels 1&amp;2'!AL19</f>
        <v>1781.2877551020408</v>
      </c>
      <c r="E18" s="1137">
        <f t="shared" si="14"/>
        <v>0</v>
      </c>
      <c r="F18" s="1137">
        <f t="shared" si="17"/>
        <v>0</v>
      </c>
      <c r="G18" s="1087">
        <f t="shared" si="15"/>
        <v>0</v>
      </c>
      <c r="H18" s="1147">
        <f t="shared" si="18"/>
        <v>0</v>
      </c>
      <c r="I18" s="1087">
        <f t="shared" si="19"/>
        <v>0</v>
      </c>
      <c r="J18" s="1087"/>
      <c r="K18" s="1087">
        <f t="shared" si="20"/>
        <v>0</v>
      </c>
      <c r="L18" s="1087">
        <f t="shared" si="21"/>
        <v>0</v>
      </c>
      <c r="M18" s="1086">
        <f>'[8]FY2012-13 Initial'!$K19</f>
        <v>12439</v>
      </c>
      <c r="N18" s="1088">
        <f t="shared" si="16"/>
        <v>0</v>
      </c>
      <c r="O18" s="1155">
        <f t="shared" si="22"/>
        <v>0</v>
      </c>
      <c r="P18" s="1088">
        <f t="shared" si="23"/>
        <v>0</v>
      </c>
      <c r="Q18" s="1088"/>
      <c r="R18" s="1088">
        <f t="shared" si="24"/>
        <v>0</v>
      </c>
      <c r="S18" s="1088">
        <f t="shared" si="25"/>
        <v>0</v>
      </c>
      <c r="T18" s="1089">
        <f t="shared" si="26"/>
        <v>0</v>
      </c>
      <c r="U18" s="1089">
        <f t="shared" si="27"/>
        <v>0</v>
      </c>
    </row>
    <row r="19" spans="1:21">
      <c r="A19" s="1028">
        <v>13</v>
      </c>
      <c r="B19" s="1029" t="s">
        <v>114</v>
      </c>
      <c r="C19" s="1030">
        <f>'Table 8 2.1.12 MFP Funded'!Q16</f>
        <v>0</v>
      </c>
      <c r="D19" s="1031">
        <f>'Table 3 Levels 1&amp;2'!AL20</f>
        <v>6125.5331903699798</v>
      </c>
      <c r="E19" s="1137">
        <f t="shared" si="14"/>
        <v>0</v>
      </c>
      <c r="F19" s="1137">
        <f t="shared" si="17"/>
        <v>0</v>
      </c>
      <c r="G19" s="1087">
        <f t="shared" si="15"/>
        <v>0</v>
      </c>
      <c r="H19" s="1147">
        <f t="shared" si="18"/>
        <v>0</v>
      </c>
      <c r="I19" s="1087">
        <f t="shared" si="19"/>
        <v>0</v>
      </c>
      <c r="J19" s="1087"/>
      <c r="K19" s="1087">
        <f t="shared" si="20"/>
        <v>0</v>
      </c>
      <c r="L19" s="1087">
        <f t="shared" si="21"/>
        <v>0</v>
      </c>
      <c r="M19" s="1086">
        <f>'[8]FY2012-13 Initial'!$K20</f>
        <v>2518</v>
      </c>
      <c r="N19" s="1088">
        <f t="shared" si="16"/>
        <v>0</v>
      </c>
      <c r="O19" s="1155">
        <f t="shared" si="22"/>
        <v>0</v>
      </c>
      <c r="P19" s="1088">
        <f t="shared" si="23"/>
        <v>0</v>
      </c>
      <c r="Q19" s="1088"/>
      <c r="R19" s="1088">
        <f t="shared" si="24"/>
        <v>0</v>
      </c>
      <c r="S19" s="1088">
        <f t="shared" si="25"/>
        <v>0</v>
      </c>
      <c r="T19" s="1089">
        <f t="shared" si="26"/>
        <v>0</v>
      </c>
      <c r="U19" s="1089">
        <f t="shared" si="27"/>
        <v>0</v>
      </c>
    </row>
    <row r="20" spans="1:21" ht="12.75" customHeight="1">
      <c r="A20" s="1028">
        <v>14</v>
      </c>
      <c r="B20" s="1029" t="s">
        <v>115</v>
      </c>
      <c r="C20" s="1030">
        <f>'Table 8 2.1.12 MFP Funded'!Q17</f>
        <v>0</v>
      </c>
      <c r="D20" s="1031">
        <f>'Table 3 Levels 1&amp;2'!AL21</f>
        <v>5278.0936993421856</v>
      </c>
      <c r="E20" s="1137">
        <f t="shared" si="14"/>
        <v>0</v>
      </c>
      <c r="F20" s="1137">
        <f t="shared" si="17"/>
        <v>0</v>
      </c>
      <c r="G20" s="1087">
        <f t="shared" si="15"/>
        <v>0</v>
      </c>
      <c r="H20" s="1147">
        <f t="shared" si="18"/>
        <v>0</v>
      </c>
      <c r="I20" s="1087">
        <f t="shared" si="19"/>
        <v>0</v>
      </c>
      <c r="J20" s="1087"/>
      <c r="K20" s="1087">
        <f t="shared" si="20"/>
        <v>0</v>
      </c>
      <c r="L20" s="1087">
        <f t="shared" si="21"/>
        <v>0</v>
      </c>
      <c r="M20" s="1086">
        <f>'[8]FY2012-13 Initial'!$K21</f>
        <v>3605</v>
      </c>
      <c r="N20" s="1088">
        <f t="shared" si="16"/>
        <v>0</v>
      </c>
      <c r="O20" s="1155">
        <f t="shared" si="22"/>
        <v>0</v>
      </c>
      <c r="P20" s="1088">
        <f t="shared" si="23"/>
        <v>0</v>
      </c>
      <c r="Q20" s="1088"/>
      <c r="R20" s="1088">
        <f t="shared" si="24"/>
        <v>0</v>
      </c>
      <c r="S20" s="1088">
        <f t="shared" si="25"/>
        <v>0</v>
      </c>
      <c r="T20" s="1089">
        <f t="shared" si="26"/>
        <v>0</v>
      </c>
      <c r="U20" s="1089">
        <f t="shared" si="27"/>
        <v>0</v>
      </c>
    </row>
    <row r="21" spans="1:21">
      <c r="A21" s="1032">
        <v>15</v>
      </c>
      <c r="B21" s="1033" t="s">
        <v>116</v>
      </c>
      <c r="C21" s="1034">
        <f>'Table 8 2.1.12 MFP Funded'!Q18</f>
        <v>0</v>
      </c>
      <c r="D21" s="1035">
        <f>'Table 3 Levels 1&amp;2'!AL22</f>
        <v>5428.9842692179664</v>
      </c>
      <c r="E21" s="1138">
        <f t="shared" si="14"/>
        <v>0</v>
      </c>
      <c r="F21" s="1138">
        <f t="shared" si="17"/>
        <v>0</v>
      </c>
      <c r="G21" s="1090">
        <f t="shared" si="15"/>
        <v>0</v>
      </c>
      <c r="H21" s="1148">
        <f t="shared" si="18"/>
        <v>0</v>
      </c>
      <c r="I21" s="1090">
        <f t="shared" si="19"/>
        <v>0</v>
      </c>
      <c r="J21" s="1090"/>
      <c r="K21" s="1090">
        <f t="shared" si="20"/>
        <v>0</v>
      </c>
      <c r="L21" s="1090">
        <f t="shared" si="21"/>
        <v>0</v>
      </c>
      <c r="M21" s="1091">
        <f>'[8]FY2012-13 Initial'!$K22</f>
        <v>2614</v>
      </c>
      <c r="N21" s="1092">
        <f t="shared" si="16"/>
        <v>0</v>
      </c>
      <c r="O21" s="1156">
        <f t="shared" si="22"/>
        <v>0</v>
      </c>
      <c r="P21" s="1092">
        <f t="shared" si="23"/>
        <v>0</v>
      </c>
      <c r="Q21" s="1092"/>
      <c r="R21" s="1092">
        <f t="shared" si="24"/>
        <v>0</v>
      </c>
      <c r="S21" s="1092">
        <f t="shared" si="25"/>
        <v>0</v>
      </c>
      <c r="T21" s="1093">
        <f t="shared" si="26"/>
        <v>0</v>
      </c>
      <c r="U21" s="1093">
        <f t="shared" si="27"/>
        <v>0</v>
      </c>
    </row>
    <row r="22" spans="1:21">
      <c r="A22" s="1021">
        <v>16</v>
      </c>
      <c r="B22" s="1022" t="s">
        <v>117</v>
      </c>
      <c r="C22" s="1023">
        <f>'Table 8 2.1.12 MFP Funded'!Q19</f>
        <v>0</v>
      </c>
      <c r="D22" s="1024">
        <f>'Table 3 Levels 1&amp;2'!AL23</f>
        <v>1501.2470754125757</v>
      </c>
      <c r="E22" s="1136">
        <f t="shared" si="14"/>
        <v>0</v>
      </c>
      <c r="F22" s="1136">
        <f t="shared" si="17"/>
        <v>0</v>
      </c>
      <c r="G22" s="1025">
        <f t="shared" si="15"/>
        <v>0</v>
      </c>
      <c r="H22" s="1146">
        <f t="shared" si="18"/>
        <v>0</v>
      </c>
      <c r="I22" s="1025">
        <f t="shared" si="19"/>
        <v>0</v>
      </c>
      <c r="J22" s="1025"/>
      <c r="K22" s="1025">
        <f t="shared" si="20"/>
        <v>0</v>
      </c>
      <c r="L22" s="1025">
        <f t="shared" si="21"/>
        <v>0</v>
      </c>
      <c r="M22" s="1086">
        <f>'[8]FY2012-13 Initial'!$K23</f>
        <v>16006</v>
      </c>
      <c r="N22" s="1026">
        <f t="shared" si="16"/>
        <v>0</v>
      </c>
      <c r="O22" s="1154">
        <f t="shared" si="22"/>
        <v>0</v>
      </c>
      <c r="P22" s="1026">
        <f t="shared" si="23"/>
        <v>0</v>
      </c>
      <c r="Q22" s="1026"/>
      <c r="R22" s="1026">
        <f t="shared" si="24"/>
        <v>0</v>
      </c>
      <c r="S22" s="1026">
        <f t="shared" si="25"/>
        <v>0</v>
      </c>
      <c r="T22" s="1027">
        <f t="shared" si="26"/>
        <v>0</v>
      </c>
      <c r="U22" s="1027">
        <f t="shared" si="27"/>
        <v>0</v>
      </c>
    </row>
    <row r="23" spans="1:21">
      <c r="A23" s="1028">
        <v>17</v>
      </c>
      <c r="B23" s="1029" t="s">
        <v>118</v>
      </c>
      <c r="C23" s="1030">
        <f>'Table 8 2.1.12 MFP Funded'!Q20</f>
        <v>0</v>
      </c>
      <c r="D23" s="1031">
        <f>'Table 3 Levels 1&amp;2'!AL24</f>
        <v>3386.5716964570697</v>
      </c>
      <c r="E23" s="1137">
        <f t="shared" si="14"/>
        <v>0</v>
      </c>
      <c r="F23" s="1137">
        <f t="shared" si="17"/>
        <v>0</v>
      </c>
      <c r="G23" s="1087">
        <f t="shared" si="15"/>
        <v>0</v>
      </c>
      <c r="H23" s="1147">
        <f t="shared" si="18"/>
        <v>0</v>
      </c>
      <c r="I23" s="1087">
        <f t="shared" si="19"/>
        <v>0</v>
      </c>
      <c r="J23" s="1087"/>
      <c r="K23" s="1087">
        <f t="shared" si="20"/>
        <v>0</v>
      </c>
      <c r="L23" s="1087">
        <f t="shared" si="21"/>
        <v>0</v>
      </c>
      <c r="M23" s="1086">
        <f>'[8]FY2012-13 Initial'!$K24</f>
        <v>6493</v>
      </c>
      <c r="N23" s="1088">
        <f t="shared" si="16"/>
        <v>0</v>
      </c>
      <c r="O23" s="1155">
        <f t="shared" si="22"/>
        <v>0</v>
      </c>
      <c r="P23" s="1088">
        <f t="shared" si="23"/>
        <v>0</v>
      </c>
      <c r="Q23" s="1088"/>
      <c r="R23" s="1088">
        <f t="shared" si="24"/>
        <v>0</v>
      </c>
      <c r="S23" s="1088">
        <f t="shared" si="25"/>
        <v>0</v>
      </c>
      <c r="T23" s="1089">
        <f t="shared" si="26"/>
        <v>0</v>
      </c>
      <c r="U23" s="1089">
        <f t="shared" si="27"/>
        <v>0</v>
      </c>
    </row>
    <row r="24" spans="1:21">
      <c r="A24" s="1028">
        <v>18</v>
      </c>
      <c r="B24" s="1029" t="s">
        <v>119</v>
      </c>
      <c r="C24" s="1030">
        <f>'Table 8 2.1.12 MFP Funded'!Q21</f>
        <v>0</v>
      </c>
      <c r="D24" s="1031">
        <f>'Table 3 Levels 1&amp;2'!AL25</f>
        <v>5798.0598063231446</v>
      </c>
      <c r="E24" s="1137">
        <f t="shared" si="14"/>
        <v>0</v>
      </c>
      <c r="F24" s="1137">
        <f t="shared" si="17"/>
        <v>0</v>
      </c>
      <c r="G24" s="1087">
        <f t="shared" si="15"/>
        <v>0</v>
      </c>
      <c r="H24" s="1147">
        <f t="shared" si="18"/>
        <v>0</v>
      </c>
      <c r="I24" s="1087">
        <f t="shared" si="19"/>
        <v>0</v>
      </c>
      <c r="J24" s="1087"/>
      <c r="K24" s="1087">
        <f t="shared" si="20"/>
        <v>0</v>
      </c>
      <c r="L24" s="1087">
        <f t="shared" si="21"/>
        <v>0</v>
      </c>
      <c r="M24" s="1086">
        <f>'[8]FY2012-13 Initial'!$K25</f>
        <v>2088</v>
      </c>
      <c r="N24" s="1088">
        <f t="shared" si="16"/>
        <v>0</v>
      </c>
      <c r="O24" s="1155">
        <f t="shared" si="22"/>
        <v>0</v>
      </c>
      <c r="P24" s="1088">
        <f t="shared" si="23"/>
        <v>0</v>
      </c>
      <c r="Q24" s="1088"/>
      <c r="R24" s="1088">
        <f t="shared" si="24"/>
        <v>0</v>
      </c>
      <c r="S24" s="1088">
        <f t="shared" si="25"/>
        <v>0</v>
      </c>
      <c r="T24" s="1089">
        <f t="shared" si="26"/>
        <v>0</v>
      </c>
      <c r="U24" s="1089">
        <f t="shared" si="27"/>
        <v>0</v>
      </c>
    </row>
    <row r="25" spans="1:21">
      <c r="A25" s="1028">
        <v>19</v>
      </c>
      <c r="B25" s="1029" t="s">
        <v>120</v>
      </c>
      <c r="C25" s="1030">
        <f>'Table 8 2.1.12 MFP Funded'!Q22</f>
        <v>0</v>
      </c>
      <c r="D25" s="1031">
        <f>'Table 3 Levels 1&amp;2'!AL26</f>
        <v>5219.1012787873206</v>
      </c>
      <c r="E25" s="1137">
        <f t="shared" si="14"/>
        <v>0</v>
      </c>
      <c r="F25" s="1137">
        <f t="shared" si="17"/>
        <v>0</v>
      </c>
      <c r="G25" s="1087">
        <f t="shared" si="15"/>
        <v>0</v>
      </c>
      <c r="H25" s="1147">
        <f t="shared" si="18"/>
        <v>0</v>
      </c>
      <c r="I25" s="1087">
        <f t="shared" si="19"/>
        <v>0</v>
      </c>
      <c r="J25" s="1087"/>
      <c r="K25" s="1087">
        <f t="shared" si="20"/>
        <v>0</v>
      </c>
      <c r="L25" s="1087">
        <f t="shared" si="21"/>
        <v>0</v>
      </c>
      <c r="M25" s="1086">
        <f>'[8]FY2012-13 Initial'!$K26</f>
        <v>2275</v>
      </c>
      <c r="N25" s="1088">
        <f t="shared" si="16"/>
        <v>0</v>
      </c>
      <c r="O25" s="1155">
        <f t="shared" si="22"/>
        <v>0</v>
      </c>
      <c r="P25" s="1088">
        <f t="shared" si="23"/>
        <v>0</v>
      </c>
      <c r="Q25" s="1088"/>
      <c r="R25" s="1088">
        <f t="shared" si="24"/>
        <v>0</v>
      </c>
      <c r="S25" s="1088">
        <f t="shared" si="25"/>
        <v>0</v>
      </c>
      <c r="T25" s="1089">
        <f t="shared" si="26"/>
        <v>0</v>
      </c>
      <c r="U25" s="1089">
        <f t="shared" si="27"/>
        <v>0</v>
      </c>
    </row>
    <row r="26" spans="1:21">
      <c r="A26" s="1032">
        <v>20</v>
      </c>
      <c r="B26" s="1033" t="s">
        <v>121</v>
      </c>
      <c r="C26" s="1034">
        <f>'Table 8 2.1.12 MFP Funded'!Q23</f>
        <v>0</v>
      </c>
      <c r="D26" s="1035">
        <f>'Table 3 Levels 1&amp;2'!AL27</f>
        <v>5441.7799844976798</v>
      </c>
      <c r="E26" s="1138">
        <f t="shared" si="14"/>
        <v>0</v>
      </c>
      <c r="F26" s="1138">
        <f t="shared" si="17"/>
        <v>0</v>
      </c>
      <c r="G26" s="1090">
        <f t="shared" si="15"/>
        <v>0</v>
      </c>
      <c r="H26" s="1148">
        <f t="shared" si="18"/>
        <v>0</v>
      </c>
      <c r="I26" s="1090">
        <f t="shared" si="19"/>
        <v>0</v>
      </c>
      <c r="J26" s="1090"/>
      <c r="K26" s="1090">
        <f t="shared" si="20"/>
        <v>0</v>
      </c>
      <c r="L26" s="1090">
        <f t="shared" si="21"/>
        <v>0</v>
      </c>
      <c r="M26" s="1091">
        <f>'[8]FY2012-13 Initial'!$K27</f>
        <v>2308</v>
      </c>
      <c r="N26" s="1092">
        <f t="shared" si="16"/>
        <v>0</v>
      </c>
      <c r="O26" s="1156">
        <f t="shared" si="22"/>
        <v>0</v>
      </c>
      <c r="P26" s="1092">
        <f t="shared" si="23"/>
        <v>0</v>
      </c>
      <c r="Q26" s="1092"/>
      <c r="R26" s="1092">
        <f t="shared" si="24"/>
        <v>0</v>
      </c>
      <c r="S26" s="1092">
        <f t="shared" si="25"/>
        <v>0</v>
      </c>
      <c r="T26" s="1093">
        <f t="shared" si="26"/>
        <v>0</v>
      </c>
      <c r="U26" s="1093">
        <f t="shared" si="27"/>
        <v>0</v>
      </c>
    </row>
    <row r="27" spans="1:21">
      <c r="A27" s="1021">
        <v>21</v>
      </c>
      <c r="B27" s="1022" t="s">
        <v>122</v>
      </c>
      <c r="C27" s="1023">
        <f>'Table 8 2.1.12 MFP Funded'!Q24</f>
        <v>0</v>
      </c>
      <c r="D27" s="1024">
        <f>'Table 3 Levels 1&amp;2'!AL28</f>
        <v>5718.7800910915075</v>
      </c>
      <c r="E27" s="1136">
        <f t="shared" si="14"/>
        <v>0</v>
      </c>
      <c r="F27" s="1136">
        <f t="shared" si="17"/>
        <v>0</v>
      </c>
      <c r="G27" s="1025">
        <f t="shared" si="15"/>
        <v>0</v>
      </c>
      <c r="H27" s="1146">
        <f t="shared" si="18"/>
        <v>0</v>
      </c>
      <c r="I27" s="1025">
        <f t="shared" si="19"/>
        <v>0</v>
      </c>
      <c r="J27" s="1025"/>
      <c r="K27" s="1025">
        <f t="shared" si="20"/>
        <v>0</v>
      </c>
      <c r="L27" s="1025">
        <f t="shared" si="21"/>
        <v>0</v>
      </c>
      <c r="M27" s="1086">
        <f>'[8]FY2012-13 Initial'!$K28</f>
        <v>2245</v>
      </c>
      <c r="N27" s="1026">
        <f t="shared" si="16"/>
        <v>0</v>
      </c>
      <c r="O27" s="1154">
        <f t="shared" si="22"/>
        <v>0</v>
      </c>
      <c r="P27" s="1026">
        <f t="shared" si="23"/>
        <v>0</v>
      </c>
      <c r="Q27" s="1026"/>
      <c r="R27" s="1026">
        <f t="shared" si="24"/>
        <v>0</v>
      </c>
      <c r="S27" s="1026">
        <f t="shared" si="25"/>
        <v>0</v>
      </c>
      <c r="T27" s="1027">
        <f t="shared" si="26"/>
        <v>0</v>
      </c>
      <c r="U27" s="1027">
        <f t="shared" si="27"/>
        <v>0</v>
      </c>
    </row>
    <row r="28" spans="1:21">
      <c r="A28" s="1028">
        <v>22</v>
      </c>
      <c r="B28" s="1029" t="s">
        <v>123</v>
      </c>
      <c r="C28" s="1030">
        <f>'Table 8 2.1.12 MFP Funded'!Q25</f>
        <v>0</v>
      </c>
      <c r="D28" s="1031">
        <f>'Table 3 Levels 1&amp;2'!AL29</f>
        <v>6198.830003500153</v>
      </c>
      <c r="E28" s="1137">
        <f t="shared" si="14"/>
        <v>0</v>
      </c>
      <c r="F28" s="1137">
        <f t="shared" si="17"/>
        <v>0</v>
      </c>
      <c r="G28" s="1087">
        <f t="shared" si="15"/>
        <v>0</v>
      </c>
      <c r="H28" s="1147">
        <f t="shared" si="18"/>
        <v>0</v>
      </c>
      <c r="I28" s="1087">
        <f t="shared" si="19"/>
        <v>0</v>
      </c>
      <c r="J28" s="1087"/>
      <c r="K28" s="1087">
        <f t="shared" si="20"/>
        <v>0</v>
      </c>
      <c r="L28" s="1087">
        <f t="shared" si="21"/>
        <v>0</v>
      </c>
      <c r="M28" s="1086">
        <f>'[8]FY2012-13 Initial'!$K29</f>
        <v>1445</v>
      </c>
      <c r="N28" s="1088">
        <f t="shared" si="16"/>
        <v>0</v>
      </c>
      <c r="O28" s="1155">
        <f t="shared" si="22"/>
        <v>0</v>
      </c>
      <c r="P28" s="1088">
        <f t="shared" si="23"/>
        <v>0</v>
      </c>
      <c r="Q28" s="1088"/>
      <c r="R28" s="1088">
        <f t="shared" si="24"/>
        <v>0</v>
      </c>
      <c r="S28" s="1088">
        <f t="shared" si="25"/>
        <v>0</v>
      </c>
      <c r="T28" s="1089">
        <f t="shared" si="26"/>
        <v>0</v>
      </c>
      <c r="U28" s="1089">
        <f t="shared" si="27"/>
        <v>0</v>
      </c>
    </row>
    <row r="29" spans="1:21">
      <c r="A29" s="1028">
        <v>23</v>
      </c>
      <c r="B29" s="1029" t="s">
        <v>124</v>
      </c>
      <c r="C29" s="1030">
        <f>'Table 8 2.1.12 MFP Funded'!Q26</f>
        <v>0</v>
      </c>
      <c r="D29" s="1031">
        <f>'Table 3 Levels 1&amp;2'!AL30</f>
        <v>4809.0299298140199</v>
      </c>
      <c r="E29" s="1137">
        <f t="shared" si="14"/>
        <v>0</v>
      </c>
      <c r="F29" s="1137">
        <f t="shared" si="17"/>
        <v>0</v>
      </c>
      <c r="G29" s="1087">
        <f t="shared" si="15"/>
        <v>0</v>
      </c>
      <c r="H29" s="1147">
        <f t="shared" si="18"/>
        <v>0</v>
      </c>
      <c r="I29" s="1087">
        <f t="shared" si="19"/>
        <v>0</v>
      </c>
      <c r="J29" s="1087"/>
      <c r="K29" s="1087">
        <f t="shared" si="20"/>
        <v>0</v>
      </c>
      <c r="L29" s="1087">
        <f t="shared" si="21"/>
        <v>0</v>
      </c>
      <c r="M29" s="1086">
        <f>'[8]FY2012-13 Initial'!$K30</f>
        <v>3295</v>
      </c>
      <c r="N29" s="1088">
        <f t="shared" si="16"/>
        <v>0</v>
      </c>
      <c r="O29" s="1155">
        <f t="shared" si="22"/>
        <v>0</v>
      </c>
      <c r="P29" s="1088">
        <f t="shared" si="23"/>
        <v>0</v>
      </c>
      <c r="Q29" s="1088"/>
      <c r="R29" s="1088">
        <f t="shared" si="24"/>
        <v>0</v>
      </c>
      <c r="S29" s="1088">
        <f t="shared" si="25"/>
        <v>0</v>
      </c>
      <c r="T29" s="1089">
        <f t="shared" si="26"/>
        <v>0</v>
      </c>
      <c r="U29" s="1089">
        <f t="shared" si="27"/>
        <v>0</v>
      </c>
    </row>
    <row r="30" spans="1:21">
      <c r="A30" s="1028">
        <v>24</v>
      </c>
      <c r="B30" s="1029" t="s">
        <v>125</v>
      </c>
      <c r="C30" s="1030">
        <f>'Table 8 2.1.12 MFP Funded'!Q27</f>
        <v>0</v>
      </c>
      <c r="D30" s="1031">
        <f>'Table 3 Levels 1&amp;2'!AL31</f>
        <v>2649.7787452556372</v>
      </c>
      <c r="E30" s="1137">
        <f t="shared" si="14"/>
        <v>0</v>
      </c>
      <c r="F30" s="1137">
        <f t="shared" si="17"/>
        <v>0</v>
      </c>
      <c r="G30" s="1087">
        <f t="shared" si="15"/>
        <v>0</v>
      </c>
      <c r="H30" s="1147">
        <f t="shared" si="18"/>
        <v>0</v>
      </c>
      <c r="I30" s="1087">
        <f t="shared" si="19"/>
        <v>0</v>
      </c>
      <c r="J30" s="1087"/>
      <c r="K30" s="1087">
        <f t="shared" si="20"/>
        <v>0</v>
      </c>
      <c r="L30" s="1087">
        <f t="shared" si="21"/>
        <v>0</v>
      </c>
      <c r="M30" s="1086">
        <f>'[8]FY2012-13 Initial'!$K31</f>
        <v>8769</v>
      </c>
      <c r="N30" s="1088">
        <f t="shared" si="16"/>
        <v>0</v>
      </c>
      <c r="O30" s="1155">
        <f t="shared" si="22"/>
        <v>0</v>
      </c>
      <c r="P30" s="1088">
        <f t="shared" si="23"/>
        <v>0</v>
      </c>
      <c r="Q30" s="1088"/>
      <c r="R30" s="1088">
        <f t="shared" si="24"/>
        <v>0</v>
      </c>
      <c r="S30" s="1088">
        <f t="shared" si="25"/>
        <v>0</v>
      </c>
      <c r="T30" s="1089">
        <f t="shared" si="26"/>
        <v>0</v>
      </c>
      <c r="U30" s="1089">
        <f t="shared" si="27"/>
        <v>0</v>
      </c>
    </row>
    <row r="31" spans="1:21">
      <c r="A31" s="1032">
        <v>25</v>
      </c>
      <c r="B31" s="1033" t="s">
        <v>126</v>
      </c>
      <c r="C31" s="1034">
        <f>'Table 8 2.1.12 MFP Funded'!Q28</f>
        <v>0</v>
      </c>
      <c r="D31" s="1035">
        <f>'Table 3 Levels 1&amp;2'!AL32</f>
        <v>3848.3923674564248</v>
      </c>
      <c r="E31" s="1138">
        <f t="shared" si="14"/>
        <v>0</v>
      </c>
      <c r="F31" s="1138">
        <f t="shared" si="17"/>
        <v>0</v>
      </c>
      <c r="G31" s="1090">
        <f t="shared" si="15"/>
        <v>0</v>
      </c>
      <c r="H31" s="1148">
        <f t="shared" si="18"/>
        <v>0</v>
      </c>
      <c r="I31" s="1090">
        <f t="shared" si="19"/>
        <v>0</v>
      </c>
      <c r="J31" s="1090"/>
      <c r="K31" s="1090">
        <f t="shared" si="20"/>
        <v>0</v>
      </c>
      <c r="L31" s="1090">
        <f t="shared" si="21"/>
        <v>0</v>
      </c>
      <c r="M31" s="1091">
        <f>'[8]FY2012-13 Initial'!$K32</f>
        <v>5187</v>
      </c>
      <c r="N31" s="1092">
        <f t="shared" si="16"/>
        <v>0</v>
      </c>
      <c r="O31" s="1156">
        <f t="shared" si="22"/>
        <v>0</v>
      </c>
      <c r="P31" s="1092">
        <f t="shared" si="23"/>
        <v>0</v>
      </c>
      <c r="Q31" s="1092"/>
      <c r="R31" s="1092">
        <f t="shared" si="24"/>
        <v>0</v>
      </c>
      <c r="S31" s="1092">
        <f t="shared" si="25"/>
        <v>0</v>
      </c>
      <c r="T31" s="1093">
        <f t="shared" si="26"/>
        <v>0</v>
      </c>
      <c r="U31" s="1093">
        <f t="shared" si="27"/>
        <v>0</v>
      </c>
    </row>
    <row r="32" spans="1:21">
      <c r="A32" s="1021">
        <v>26</v>
      </c>
      <c r="B32" s="1022" t="s">
        <v>127</v>
      </c>
      <c r="C32" s="1023">
        <f>'Table 8 2.1.12 MFP Funded'!Q29</f>
        <v>67</v>
      </c>
      <c r="D32" s="1024">
        <f>'Table 3 Levels 1&amp;2'!AL33</f>
        <v>3145.9192082835102</v>
      </c>
      <c r="E32" s="1136">
        <f t="shared" si="14"/>
        <v>210776.58695499517</v>
      </c>
      <c r="F32" s="1136">
        <f t="shared" si="17"/>
        <v>47286.213668831166</v>
      </c>
      <c r="G32" s="1025">
        <f t="shared" si="15"/>
        <v>258062.80062382633</v>
      </c>
      <c r="H32" s="1146">
        <f t="shared" si="18"/>
        <v>-645.15700155956586</v>
      </c>
      <c r="I32" s="1025">
        <f t="shared" si="19"/>
        <v>257417.64362226677</v>
      </c>
      <c r="J32" s="1025"/>
      <c r="K32" s="1025">
        <f t="shared" si="20"/>
        <v>257417.64362226677</v>
      </c>
      <c r="L32" s="1025">
        <f t="shared" si="21"/>
        <v>21451</v>
      </c>
      <c r="M32" s="1086">
        <f>'[8]FY2012-13 Initial'!$K33</f>
        <v>5197</v>
      </c>
      <c r="N32" s="1026">
        <f t="shared" si="16"/>
        <v>348199</v>
      </c>
      <c r="O32" s="1154">
        <f t="shared" si="22"/>
        <v>-870.49750000000006</v>
      </c>
      <c r="P32" s="1026">
        <f t="shared" si="23"/>
        <v>347328.5025</v>
      </c>
      <c r="Q32" s="1026"/>
      <c r="R32" s="1026">
        <f t="shared" si="24"/>
        <v>347328.5025</v>
      </c>
      <c r="S32" s="1026">
        <f t="shared" si="25"/>
        <v>28944</v>
      </c>
      <c r="T32" s="1027">
        <f t="shared" si="26"/>
        <v>604746.14612226677</v>
      </c>
      <c r="U32" s="1027">
        <f t="shared" si="27"/>
        <v>50395</v>
      </c>
    </row>
    <row r="33" spans="1:21">
      <c r="A33" s="1028">
        <v>27</v>
      </c>
      <c r="B33" s="1029" t="s">
        <v>128</v>
      </c>
      <c r="C33" s="1036">
        <f>'Table 8 2.1.12 MFP Funded'!Q30</f>
        <v>0</v>
      </c>
      <c r="D33" s="1037">
        <f>'Table 3 Levels 1&amp;2'!AL34</f>
        <v>5653.5502977926608</v>
      </c>
      <c r="E33" s="1139">
        <f t="shared" si="14"/>
        <v>0</v>
      </c>
      <c r="F33" s="1139">
        <f t="shared" si="17"/>
        <v>0</v>
      </c>
      <c r="G33" s="1094">
        <f t="shared" si="15"/>
        <v>0</v>
      </c>
      <c r="H33" s="1149">
        <f t="shared" si="18"/>
        <v>0</v>
      </c>
      <c r="I33" s="1094">
        <f t="shared" si="19"/>
        <v>0</v>
      </c>
      <c r="J33" s="1094"/>
      <c r="K33" s="1094">
        <f t="shared" si="20"/>
        <v>0</v>
      </c>
      <c r="L33" s="1094">
        <f t="shared" si="21"/>
        <v>0</v>
      </c>
      <c r="M33" s="1086">
        <f>'[8]FY2012-13 Initial'!$K34</f>
        <v>3073</v>
      </c>
      <c r="N33" s="1088">
        <f t="shared" si="16"/>
        <v>0</v>
      </c>
      <c r="O33" s="1155">
        <f t="shared" si="22"/>
        <v>0</v>
      </c>
      <c r="P33" s="1088">
        <f t="shared" si="23"/>
        <v>0</v>
      </c>
      <c r="Q33" s="1088"/>
      <c r="R33" s="1088">
        <f t="shared" si="24"/>
        <v>0</v>
      </c>
      <c r="S33" s="1088">
        <f t="shared" si="25"/>
        <v>0</v>
      </c>
      <c r="T33" s="1089">
        <f t="shared" si="26"/>
        <v>0</v>
      </c>
      <c r="U33" s="1089">
        <f t="shared" si="27"/>
        <v>0</v>
      </c>
    </row>
    <row r="34" spans="1:21">
      <c r="A34" s="1028">
        <v>28</v>
      </c>
      <c r="B34" s="1029" t="s">
        <v>129</v>
      </c>
      <c r="C34" s="1036">
        <f>'Table 8 2.1.12 MFP Funded'!Q31</f>
        <v>0</v>
      </c>
      <c r="D34" s="1037">
        <f>'Table 3 Levels 1&amp;2'!AL35</f>
        <v>3200.5356505169011</v>
      </c>
      <c r="E34" s="1139">
        <f t="shared" si="14"/>
        <v>0</v>
      </c>
      <c r="F34" s="1139">
        <f t="shared" si="17"/>
        <v>0</v>
      </c>
      <c r="G34" s="1094">
        <f t="shared" si="15"/>
        <v>0</v>
      </c>
      <c r="H34" s="1149">
        <f t="shared" si="18"/>
        <v>0</v>
      </c>
      <c r="I34" s="1094">
        <f t="shared" si="19"/>
        <v>0</v>
      </c>
      <c r="J34" s="1094"/>
      <c r="K34" s="1094">
        <f t="shared" si="20"/>
        <v>0</v>
      </c>
      <c r="L34" s="1094">
        <f t="shared" si="21"/>
        <v>0</v>
      </c>
      <c r="M34" s="1086">
        <f>'[8]FY2012-13 Initial'!$K35</f>
        <v>5082</v>
      </c>
      <c r="N34" s="1088">
        <f t="shared" si="16"/>
        <v>0</v>
      </c>
      <c r="O34" s="1155">
        <f t="shared" si="22"/>
        <v>0</v>
      </c>
      <c r="P34" s="1088">
        <f t="shared" si="23"/>
        <v>0</v>
      </c>
      <c r="Q34" s="1088"/>
      <c r="R34" s="1088">
        <f t="shared" si="24"/>
        <v>0</v>
      </c>
      <c r="S34" s="1088">
        <f t="shared" si="25"/>
        <v>0</v>
      </c>
      <c r="T34" s="1089">
        <f t="shared" si="26"/>
        <v>0</v>
      </c>
      <c r="U34" s="1089">
        <f t="shared" si="27"/>
        <v>0</v>
      </c>
    </row>
    <row r="35" spans="1:21">
      <c r="A35" s="1028">
        <v>29</v>
      </c>
      <c r="B35" s="1029" t="s">
        <v>130</v>
      </c>
      <c r="C35" s="1036">
        <f>'Table 8 2.1.12 MFP Funded'!Q32</f>
        <v>0</v>
      </c>
      <c r="D35" s="1037">
        <f>'Table 3 Levels 1&amp;2'!AL36</f>
        <v>3945.0399545376122</v>
      </c>
      <c r="E35" s="1139">
        <f t="shared" si="14"/>
        <v>0</v>
      </c>
      <c r="F35" s="1139">
        <f t="shared" si="17"/>
        <v>0</v>
      </c>
      <c r="G35" s="1094">
        <f t="shared" si="15"/>
        <v>0</v>
      </c>
      <c r="H35" s="1149">
        <f t="shared" si="18"/>
        <v>0</v>
      </c>
      <c r="I35" s="1094">
        <f t="shared" si="19"/>
        <v>0</v>
      </c>
      <c r="J35" s="1094"/>
      <c r="K35" s="1094">
        <f t="shared" si="20"/>
        <v>0</v>
      </c>
      <c r="L35" s="1094">
        <f t="shared" si="21"/>
        <v>0</v>
      </c>
      <c r="M35" s="1086">
        <f>'[8]FY2012-13 Initial'!$K36</f>
        <v>4295</v>
      </c>
      <c r="N35" s="1088">
        <f t="shared" si="16"/>
        <v>0</v>
      </c>
      <c r="O35" s="1155">
        <f t="shared" si="22"/>
        <v>0</v>
      </c>
      <c r="P35" s="1088">
        <f t="shared" si="23"/>
        <v>0</v>
      </c>
      <c r="Q35" s="1088"/>
      <c r="R35" s="1088">
        <f t="shared" si="24"/>
        <v>0</v>
      </c>
      <c r="S35" s="1088">
        <f t="shared" si="25"/>
        <v>0</v>
      </c>
      <c r="T35" s="1089">
        <f t="shared" si="26"/>
        <v>0</v>
      </c>
      <c r="U35" s="1089">
        <f t="shared" si="27"/>
        <v>0</v>
      </c>
    </row>
    <row r="36" spans="1:21">
      <c r="A36" s="1032">
        <v>30</v>
      </c>
      <c r="B36" s="1033" t="s">
        <v>131</v>
      </c>
      <c r="C36" s="1038">
        <f>'Table 8 2.1.12 MFP Funded'!Q33</f>
        <v>0</v>
      </c>
      <c r="D36" s="1039">
        <f>'Table 3 Levels 1&amp;2'!AL37</f>
        <v>5594.8916667625617</v>
      </c>
      <c r="E36" s="1140">
        <f t="shared" si="14"/>
        <v>0</v>
      </c>
      <c r="F36" s="1140">
        <f t="shared" si="17"/>
        <v>0</v>
      </c>
      <c r="G36" s="1095">
        <f t="shared" si="15"/>
        <v>0</v>
      </c>
      <c r="H36" s="1150">
        <f t="shared" si="18"/>
        <v>0</v>
      </c>
      <c r="I36" s="1095">
        <f t="shared" si="19"/>
        <v>0</v>
      </c>
      <c r="J36" s="1095"/>
      <c r="K36" s="1095">
        <f t="shared" si="20"/>
        <v>0</v>
      </c>
      <c r="L36" s="1095">
        <f t="shared" si="21"/>
        <v>0</v>
      </c>
      <c r="M36" s="1091">
        <f>'[8]FY2012-13 Initial'!$K37</f>
        <v>3553</v>
      </c>
      <c r="N36" s="1092">
        <f t="shared" si="16"/>
        <v>0</v>
      </c>
      <c r="O36" s="1156">
        <f t="shared" si="22"/>
        <v>0</v>
      </c>
      <c r="P36" s="1092">
        <f t="shared" si="23"/>
        <v>0</v>
      </c>
      <c r="Q36" s="1092"/>
      <c r="R36" s="1092">
        <f t="shared" si="24"/>
        <v>0</v>
      </c>
      <c r="S36" s="1092">
        <f t="shared" si="25"/>
        <v>0</v>
      </c>
      <c r="T36" s="1093">
        <f t="shared" si="26"/>
        <v>0</v>
      </c>
      <c r="U36" s="1093">
        <f t="shared" si="27"/>
        <v>0</v>
      </c>
    </row>
    <row r="37" spans="1:21">
      <c r="A37" s="1021">
        <v>31</v>
      </c>
      <c r="B37" s="1022" t="s">
        <v>132</v>
      </c>
      <c r="C37" s="1040">
        <f>'Table 8 2.1.12 MFP Funded'!Q34</f>
        <v>0</v>
      </c>
      <c r="D37" s="1041">
        <f>'Table 3 Levels 1&amp;2'!AL38</f>
        <v>4159.5846806435638</v>
      </c>
      <c r="E37" s="1141">
        <f t="shared" si="14"/>
        <v>0</v>
      </c>
      <c r="F37" s="1141">
        <f t="shared" si="17"/>
        <v>0</v>
      </c>
      <c r="G37" s="1096">
        <f t="shared" si="15"/>
        <v>0</v>
      </c>
      <c r="H37" s="1151">
        <f t="shared" si="18"/>
        <v>0</v>
      </c>
      <c r="I37" s="1096">
        <f t="shared" si="19"/>
        <v>0</v>
      </c>
      <c r="J37" s="1096"/>
      <c r="K37" s="1096">
        <f t="shared" si="20"/>
        <v>0</v>
      </c>
      <c r="L37" s="1096">
        <f t="shared" si="21"/>
        <v>0</v>
      </c>
      <c r="M37" s="1086">
        <f>'[8]FY2012-13 Initial'!$K38</f>
        <v>4719</v>
      </c>
      <c r="N37" s="1026">
        <f t="shared" si="16"/>
        <v>0</v>
      </c>
      <c r="O37" s="1154">
        <f t="shared" si="22"/>
        <v>0</v>
      </c>
      <c r="P37" s="1026">
        <f t="shared" si="23"/>
        <v>0</v>
      </c>
      <c r="Q37" s="1026"/>
      <c r="R37" s="1026">
        <f t="shared" si="24"/>
        <v>0</v>
      </c>
      <c r="S37" s="1026">
        <f t="shared" si="25"/>
        <v>0</v>
      </c>
      <c r="T37" s="1027">
        <f t="shared" si="26"/>
        <v>0</v>
      </c>
      <c r="U37" s="1027">
        <f t="shared" si="27"/>
        <v>0</v>
      </c>
    </row>
    <row r="38" spans="1:21">
      <c r="A38" s="1028">
        <v>32</v>
      </c>
      <c r="B38" s="1029" t="s">
        <v>133</v>
      </c>
      <c r="C38" s="1036">
        <f>'Table 8 2.1.12 MFP Funded'!Q35</f>
        <v>0</v>
      </c>
      <c r="D38" s="1037">
        <f>'Table 3 Levels 1&amp;2'!AL39</f>
        <v>5475.1436637248598</v>
      </c>
      <c r="E38" s="1139">
        <f t="shared" si="14"/>
        <v>0</v>
      </c>
      <c r="F38" s="1139">
        <f t="shared" si="17"/>
        <v>0</v>
      </c>
      <c r="G38" s="1094">
        <f t="shared" si="15"/>
        <v>0</v>
      </c>
      <c r="H38" s="1149">
        <f t="shared" si="18"/>
        <v>0</v>
      </c>
      <c r="I38" s="1094">
        <f t="shared" si="19"/>
        <v>0</v>
      </c>
      <c r="J38" s="1094"/>
      <c r="K38" s="1094">
        <f t="shared" si="20"/>
        <v>0</v>
      </c>
      <c r="L38" s="1094">
        <f t="shared" si="21"/>
        <v>0</v>
      </c>
      <c r="M38" s="1086">
        <f>'[8]FY2012-13 Initial'!$K39</f>
        <v>1979</v>
      </c>
      <c r="N38" s="1088">
        <f t="shared" si="16"/>
        <v>0</v>
      </c>
      <c r="O38" s="1155">
        <f t="shared" si="22"/>
        <v>0</v>
      </c>
      <c r="P38" s="1088">
        <f t="shared" si="23"/>
        <v>0</v>
      </c>
      <c r="Q38" s="1088"/>
      <c r="R38" s="1088">
        <f t="shared" si="24"/>
        <v>0</v>
      </c>
      <c r="S38" s="1088">
        <f t="shared" si="25"/>
        <v>0</v>
      </c>
      <c r="T38" s="1089">
        <f t="shared" si="26"/>
        <v>0</v>
      </c>
      <c r="U38" s="1089">
        <f t="shared" si="27"/>
        <v>0</v>
      </c>
    </row>
    <row r="39" spans="1:21">
      <c r="A39" s="1028">
        <v>33</v>
      </c>
      <c r="B39" s="1029" t="s">
        <v>134</v>
      </c>
      <c r="C39" s="1036">
        <f>'Table 8 2.1.12 MFP Funded'!Q36</f>
        <v>0</v>
      </c>
      <c r="D39" s="1037">
        <f>'Table 3 Levels 1&amp;2'!AL40</f>
        <v>5397.5678422891451</v>
      </c>
      <c r="E39" s="1139">
        <f t="shared" ref="E39:E70" si="28">D39*C39</f>
        <v>0</v>
      </c>
      <c r="F39" s="1139">
        <f t="shared" si="17"/>
        <v>0</v>
      </c>
      <c r="G39" s="1094">
        <f t="shared" ref="G39:G70" si="29">E39+F39</f>
        <v>0</v>
      </c>
      <c r="H39" s="1149">
        <f t="shared" si="18"/>
        <v>0</v>
      </c>
      <c r="I39" s="1094">
        <f t="shared" si="19"/>
        <v>0</v>
      </c>
      <c r="J39" s="1094"/>
      <c r="K39" s="1094">
        <f t="shared" si="20"/>
        <v>0</v>
      </c>
      <c r="L39" s="1094">
        <f t="shared" si="21"/>
        <v>0</v>
      </c>
      <c r="M39" s="1086">
        <f>'[8]FY2012-13 Initial'!$K40</f>
        <v>3055</v>
      </c>
      <c r="N39" s="1088">
        <f t="shared" ref="N39:N70" si="30">M39*C39</f>
        <v>0</v>
      </c>
      <c r="O39" s="1155">
        <f t="shared" si="22"/>
        <v>0</v>
      </c>
      <c r="P39" s="1088">
        <f t="shared" si="23"/>
        <v>0</v>
      </c>
      <c r="Q39" s="1088"/>
      <c r="R39" s="1088">
        <f t="shared" si="24"/>
        <v>0</v>
      </c>
      <c r="S39" s="1088">
        <f t="shared" si="25"/>
        <v>0</v>
      </c>
      <c r="T39" s="1089">
        <f t="shared" si="26"/>
        <v>0</v>
      </c>
      <c r="U39" s="1089">
        <f t="shared" si="27"/>
        <v>0</v>
      </c>
    </row>
    <row r="40" spans="1:21">
      <c r="A40" s="1028">
        <v>34</v>
      </c>
      <c r="B40" s="1029" t="s">
        <v>135</v>
      </c>
      <c r="C40" s="1036">
        <f>'Table 8 2.1.12 MFP Funded'!Q37</f>
        <v>0</v>
      </c>
      <c r="D40" s="1037">
        <f>'Table 3 Levels 1&amp;2'!AL41</f>
        <v>5843.9642210290731</v>
      </c>
      <c r="E40" s="1139">
        <f t="shared" si="28"/>
        <v>0</v>
      </c>
      <c r="F40" s="1139">
        <f t="shared" si="17"/>
        <v>0</v>
      </c>
      <c r="G40" s="1094">
        <f t="shared" si="29"/>
        <v>0</v>
      </c>
      <c r="H40" s="1149">
        <f t="shared" si="18"/>
        <v>0</v>
      </c>
      <c r="I40" s="1094">
        <f t="shared" si="19"/>
        <v>0</v>
      </c>
      <c r="J40" s="1094"/>
      <c r="K40" s="1094">
        <f t="shared" si="20"/>
        <v>0</v>
      </c>
      <c r="L40" s="1094">
        <f t="shared" si="21"/>
        <v>0</v>
      </c>
      <c r="M40" s="1086">
        <f>'[8]FY2012-13 Initial'!$K41</f>
        <v>2782</v>
      </c>
      <c r="N40" s="1088">
        <f t="shared" si="30"/>
        <v>0</v>
      </c>
      <c r="O40" s="1155">
        <f t="shared" si="22"/>
        <v>0</v>
      </c>
      <c r="P40" s="1088">
        <f t="shared" si="23"/>
        <v>0</v>
      </c>
      <c r="Q40" s="1088"/>
      <c r="R40" s="1088">
        <f t="shared" si="24"/>
        <v>0</v>
      </c>
      <c r="S40" s="1088">
        <f t="shared" si="25"/>
        <v>0</v>
      </c>
      <c r="T40" s="1089">
        <f t="shared" si="26"/>
        <v>0</v>
      </c>
      <c r="U40" s="1089">
        <f t="shared" si="27"/>
        <v>0</v>
      </c>
    </row>
    <row r="41" spans="1:21">
      <c r="A41" s="1032">
        <v>35</v>
      </c>
      <c r="B41" s="1033" t="s">
        <v>136</v>
      </c>
      <c r="C41" s="1038">
        <f>'Table 8 2.1.12 MFP Funded'!Q38</f>
        <v>0</v>
      </c>
      <c r="D41" s="1039">
        <f>'Table 3 Levels 1&amp;2'!AL42</f>
        <v>4830.9633412658623</v>
      </c>
      <c r="E41" s="1140">
        <f t="shared" si="28"/>
        <v>0</v>
      </c>
      <c r="F41" s="1140">
        <f t="shared" si="17"/>
        <v>0</v>
      </c>
      <c r="G41" s="1095">
        <f t="shared" si="29"/>
        <v>0</v>
      </c>
      <c r="H41" s="1150">
        <f t="shared" si="18"/>
        <v>0</v>
      </c>
      <c r="I41" s="1095">
        <f t="shared" si="19"/>
        <v>0</v>
      </c>
      <c r="J41" s="1095"/>
      <c r="K41" s="1095">
        <f t="shared" si="20"/>
        <v>0</v>
      </c>
      <c r="L41" s="1095">
        <f t="shared" si="21"/>
        <v>0</v>
      </c>
      <c r="M41" s="1091">
        <f>'[8]FY2012-13 Initial'!$K42</f>
        <v>3175</v>
      </c>
      <c r="N41" s="1092">
        <f t="shared" si="30"/>
        <v>0</v>
      </c>
      <c r="O41" s="1156">
        <f t="shared" si="22"/>
        <v>0</v>
      </c>
      <c r="P41" s="1092">
        <f t="shared" si="23"/>
        <v>0</v>
      </c>
      <c r="Q41" s="1092"/>
      <c r="R41" s="1092">
        <f t="shared" si="24"/>
        <v>0</v>
      </c>
      <c r="S41" s="1092">
        <f t="shared" si="25"/>
        <v>0</v>
      </c>
      <c r="T41" s="1093">
        <f t="shared" si="26"/>
        <v>0</v>
      </c>
      <c r="U41" s="1093">
        <f t="shared" si="27"/>
        <v>0</v>
      </c>
    </row>
    <row r="42" spans="1:21">
      <c r="A42" s="1021">
        <v>36</v>
      </c>
      <c r="B42" s="1022" t="s">
        <v>137</v>
      </c>
      <c r="C42" s="1040">
        <f>'Table 8 2.1.12 MFP Funded'!Q39</f>
        <v>329</v>
      </c>
      <c r="D42" s="1041">
        <f>'Table 3 Levels 1&amp;2'!AL43</f>
        <v>3493.4615493208294</v>
      </c>
      <c r="E42" s="1141">
        <f t="shared" si="28"/>
        <v>1149348.8497265528</v>
      </c>
      <c r="F42" s="1141">
        <f t="shared" si="17"/>
        <v>232196.48204545453</v>
      </c>
      <c r="G42" s="1096">
        <f t="shared" si="29"/>
        <v>1381545.3317720073</v>
      </c>
      <c r="H42" s="1151">
        <f t="shared" si="18"/>
        <v>-3453.8633294300184</v>
      </c>
      <c r="I42" s="1096">
        <f t="shared" si="19"/>
        <v>1378091.4684425772</v>
      </c>
      <c r="J42" s="1096"/>
      <c r="K42" s="1096">
        <f t="shared" si="20"/>
        <v>1378091.4684425772</v>
      </c>
      <c r="L42" s="1096">
        <f t="shared" si="21"/>
        <v>114841</v>
      </c>
      <c r="M42" s="1086">
        <f>'[8]FY2012-13 Initial'!$K43</f>
        <v>4785</v>
      </c>
      <c r="N42" s="1026">
        <f t="shared" si="30"/>
        <v>1574265</v>
      </c>
      <c r="O42" s="1154">
        <f t="shared" si="22"/>
        <v>-3935.6624999999999</v>
      </c>
      <c r="P42" s="1026">
        <f t="shared" si="23"/>
        <v>1570329.3374999999</v>
      </c>
      <c r="Q42" s="1026"/>
      <c r="R42" s="1026">
        <f t="shared" si="24"/>
        <v>1570329.3374999999</v>
      </c>
      <c r="S42" s="1026">
        <f t="shared" si="25"/>
        <v>130861</v>
      </c>
      <c r="T42" s="1027">
        <f t="shared" si="26"/>
        <v>2948420.8059425773</v>
      </c>
      <c r="U42" s="1027">
        <f t="shared" si="27"/>
        <v>245702</v>
      </c>
    </row>
    <row r="43" spans="1:21">
      <c r="A43" s="1028">
        <v>37</v>
      </c>
      <c r="B43" s="1029" t="s">
        <v>138</v>
      </c>
      <c r="C43" s="1036">
        <f>'Table 8 2.1.12 MFP Funded'!Q40</f>
        <v>0</v>
      </c>
      <c r="D43" s="1037">
        <f>'Table 3 Levels 1&amp;2'!AL44</f>
        <v>5484.3026094077886</v>
      </c>
      <c r="E43" s="1139">
        <f t="shared" si="28"/>
        <v>0</v>
      </c>
      <c r="F43" s="1139">
        <f t="shared" si="17"/>
        <v>0</v>
      </c>
      <c r="G43" s="1094">
        <f t="shared" si="29"/>
        <v>0</v>
      </c>
      <c r="H43" s="1149">
        <f t="shared" si="18"/>
        <v>0</v>
      </c>
      <c r="I43" s="1094">
        <f t="shared" si="19"/>
        <v>0</v>
      </c>
      <c r="J43" s="1094"/>
      <c r="K43" s="1094">
        <f t="shared" si="20"/>
        <v>0</v>
      </c>
      <c r="L43" s="1094">
        <f t="shared" si="21"/>
        <v>0</v>
      </c>
      <c r="M43" s="1086">
        <f>'[8]FY2012-13 Initial'!$K44</f>
        <v>3112</v>
      </c>
      <c r="N43" s="1088">
        <f t="shared" si="30"/>
        <v>0</v>
      </c>
      <c r="O43" s="1155">
        <f t="shared" si="22"/>
        <v>0</v>
      </c>
      <c r="P43" s="1088">
        <f t="shared" si="23"/>
        <v>0</v>
      </c>
      <c r="Q43" s="1088"/>
      <c r="R43" s="1088">
        <f t="shared" si="24"/>
        <v>0</v>
      </c>
      <c r="S43" s="1088">
        <f t="shared" si="25"/>
        <v>0</v>
      </c>
      <c r="T43" s="1089">
        <f t="shared" si="26"/>
        <v>0</v>
      </c>
      <c r="U43" s="1089">
        <f t="shared" si="27"/>
        <v>0</v>
      </c>
    </row>
    <row r="44" spans="1:21">
      <c r="A44" s="1028">
        <v>38</v>
      </c>
      <c r="B44" s="1029" t="s">
        <v>139</v>
      </c>
      <c r="C44" s="1036">
        <f>'Table 8 2.1.12 MFP Funded'!Q41</f>
        <v>0</v>
      </c>
      <c r="D44" s="1037">
        <f>'Table 3 Levels 1&amp;2'!AL45</f>
        <v>2191.7415364583335</v>
      </c>
      <c r="E44" s="1139">
        <f t="shared" si="28"/>
        <v>0</v>
      </c>
      <c r="F44" s="1139">
        <f t="shared" si="17"/>
        <v>0</v>
      </c>
      <c r="G44" s="1094">
        <f t="shared" si="29"/>
        <v>0</v>
      </c>
      <c r="H44" s="1149">
        <f t="shared" si="18"/>
        <v>0</v>
      </c>
      <c r="I44" s="1094">
        <f t="shared" si="19"/>
        <v>0</v>
      </c>
      <c r="J44" s="1094"/>
      <c r="K44" s="1094">
        <f t="shared" si="20"/>
        <v>0</v>
      </c>
      <c r="L44" s="1094">
        <f t="shared" si="21"/>
        <v>0</v>
      </c>
      <c r="M44" s="1086">
        <f>'[8]FY2012-13 Initial'!$K45</f>
        <v>9771</v>
      </c>
      <c r="N44" s="1088">
        <f t="shared" si="30"/>
        <v>0</v>
      </c>
      <c r="O44" s="1155">
        <f t="shared" si="22"/>
        <v>0</v>
      </c>
      <c r="P44" s="1088">
        <f t="shared" si="23"/>
        <v>0</v>
      </c>
      <c r="Q44" s="1088"/>
      <c r="R44" s="1088">
        <f t="shared" si="24"/>
        <v>0</v>
      </c>
      <c r="S44" s="1088">
        <f t="shared" si="25"/>
        <v>0</v>
      </c>
      <c r="T44" s="1089">
        <f t="shared" si="26"/>
        <v>0</v>
      </c>
      <c r="U44" s="1089">
        <f t="shared" si="27"/>
        <v>0</v>
      </c>
    </row>
    <row r="45" spans="1:21">
      <c r="A45" s="1028">
        <v>39</v>
      </c>
      <c r="B45" s="1029" t="s">
        <v>140</v>
      </c>
      <c r="C45" s="1036">
        <f>'Table 8 2.1.12 MFP Funded'!Q42</f>
        <v>0</v>
      </c>
      <c r="D45" s="1037">
        <f>'Table 3 Levels 1&amp;2'!AL46</f>
        <v>3686.1886996918806</v>
      </c>
      <c r="E45" s="1139">
        <f t="shared" si="28"/>
        <v>0</v>
      </c>
      <c r="F45" s="1139">
        <f t="shared" si="17"/>
        <v>0</v>
      </c>
      <c r="G45" s="1094">
        <f t="shared" si="29"/>
        <v>0</v>
      </c>
      <c r="H45" s="1149">
        <f t="shared" si="18"/>
        <v>0</v>
      </c>
      <c r="I45" s="1094">
        <f t="shared" si="19"/>
        <v>0</v>
      </c>
      <c r="J45" s="1094"/>
      <c r="K45" s="1094">
        <f t="shared" si="20"/>
        <v>0</v>
      </c>
      <c r="L45" s="1094">
        <f t="shared" si="21"/>
        <v>0</v>
      </c>
      <c r="M45" s="1086">
        <f>'[8]FY2012-13 Initial'!$K46</f>
        <v>4190</v>
      </c>
      <c r="N45" s="1088">
        <f t="shared" si="30"/>
        <v>0</v>
      </c>
      <c r="O45" s="1155">
        <f t="shared" si="22"/>
        <v>0</v>
      </c>
      <c r="P45" s="1088">
        <f t="shared" si="23"/>
        <v>0</v>
      </c>
      <c r="Q45" s="1088"/>
      <c r="R45" s="1088">
        <f t="shared" si="24"/>
        <v>0</v>
      </c>
      <c r="S45" s="1088">
        <f t="shared" si="25"/>
        <v>0</v>
      </c>
      <c r="T45" s="1089">
        <f t="shared" si="26"/>
        <v>0</v>
      </c>
      <c r="U45" s="1089">
        <f t="shared" si="27"/>
        <v>0</v>
      </c>
    </row>
    <row r="46" spans="1:21">
      <c r="A46" s="1032">
        <v>40</v>
      </c>
      <c r="B46" s="1033" t="s">
        <v>141</v>
      </c>
      <c r="C46" s="1038">
        <f>'Table 8 2.1.12 MFP Funded'!Q43</f>
        <v>0</v>
      </c>
      <c r="D46" s="1039">
        <f>'Table 3 Levels 1&amp;2'!AL47</f>
        <v>4879.0185326187402</v>
      </c>
      <c r="E46" s="1140">
        <f t="shared" si="28"/>
        <v>0</v>
      </c>
      <c r="F46" s="1140">
        <f t="shared" si="17"/>
        <v>0</v>
      </c>
      <c r="G46" s="1095">
        <f t="shared" si="29"/>
        <v>0</v>
      </c>
      <c r="H46" s="1150">
        <f t="shared" si="18"/>
        <v>0</v>
      </c>
      <c r="I46" s="1095">
        <f t="shared" si="19"/>
        <v>0</v>
      </c>
      <c r="J46" s="1095"/>
      <c r="K46" s="1095">
        <f t="shared" si="20"/>
        <v>0</v>
      </c>
      <c r="L46" s="1095">
        <f t="shared" si="21"/>
        <v>0</v>
      </c>
      <c r="M46" s="1091">
        <f>'[8]FY2012-13 Initial'!$K47</f>
        <v>2887</v>
      </c>
      <c r="N46" s="1092">
        <f t="shared" si="30"/>
        <v>0</v>
      </c>
      <c r="O46" s="1156">
        <f t="shared" si="22"/>
        <v>0</v>
      </c>
      <c r="P46" s="1092">
        <f t="shared" si="23"/>
        <v>0</v>
      </c>
      <c r="Q46" s="1092"/>
      <c r="R46" s="1092">
        <f t="shared" si="24"/>
        <v>0</v>
      </c>
      <c r="S46" s="1092">
        <f t="shared" si="25"/>
        <v>0</v>
      </c>
      <c r="T46" s="1093">
        <f t="shared" si="26"/>
        <v>0</v>
      </c>
      <c r="U46" s="1093">
        <f t="shared" si="27"/>
        <v>0</v>
      </c>
    </row>
    <row r="47" spans="1:21">
      <c r="A47" s="1021">
        <v>41</v>
      </c>
      <c r="B47" s="1022" t="s">
        <v>142</v>
      </c>
      <c r="C47" s="1040">
        <f>'Table 8 2.1.12 MFP Funded'!Q44</f>
        <v>0</v>
      </c>
      <c r="D47" s="1041">
        <f>'Table 3 Levels 1&amp;2'!AL48</f>
        <v>1608.4303482587065</v>
      </c>
      <c r="E47" s="1141">
        <f t="shared" si="28"/>
        <v>0</v>
      </c>
      <c r="F47" s="1141">
        <f t="shared" si="17"/>
        <v>0</v>
      </c>
      <c r="G47" s="1096">
        <f t="shared" si="29"/>
        <v>0</v>
      </c>
      <c r="H47" s="1151">
        <f t="shared" si="18"/>
        <v>0</v>
      </c>
      <c r="I47" s="1096">
        <f t="shared" si="19"/>
        <v>0</v>
      </c>
      <c r="J47" s="1096"/>
      <c r="K47" s="1096">
        <f t="shared" si="20"/>
        <v>0</v>
      </c>
      <c r="L47" s="1096">
        <f t="shared" si="21"/>
        <v>0</v>
      </c>
      <c r="M47" s="1086">
        <f>'[8]FY2012-13 Initial'!$K48</f>
        <v>12470</v>
      </c>
      <c r="N47" s="1026">
        <f t="shared" si="30"/>
        <v>0</v>
      </c>
      <c r="O47" s="1154">
        <f t="shared" si="22"/>
        <v>0</v>
      </c>
      <c r="P47" s="1026">
        <f t="shared" si="23"/>
        <v>0</v>
      </c>
      <c r="Q47" s="1026"/>
      <c r="R47" s="1026">
        <f t="shared" si="24"/>
        <v>0</v>
      </c>
      <c r="S47" s="1026">
        <f t="shared" si="25"/>
        <v>0</v>
      </c>
      <c r="T47" s="1027">
        <f t="shared" si="26"/>
        <v>0</v>
      </c>
      <c r="U47" s="1027">
        <f t="shared" si="27"/>
        <v>0</v>
      </c>
    </row>
    <row r="48" spans="1:21">
      <c r="A48" s="1028">
        <v>42</v>
      </c>
      <c r="B48" s="1029" t="s">
        <v>143</v>
      </c>
      <c r="C48" s="1036">
        <f>'Table 8 2.1.12 MFP Funded'!Q45</f>
        <v>0</v>
      </c>
      <c r="D48" s="1037">
        <f>'Table 3 Levels 1&amp;2'!AL49</f>
        <v>5260.3047779801664</v>
      </c>
      <c r="E48" s="1139">
        <f t="shared" si="28"/>
        <v>0</v>
      </c>
      <c r="F48" s="1139">
        <f t="shared" si="17"/>
        <v>0</v>
      </c>
      <c r="G48" s="1094">
        <f t="shared" si="29"/>
        <v>0</v>
      </c>
      <c r="H48" s="1149">
        <f t="shared" si="18"/>
        <v>0</v>
      </c>
      <c r="I48" s="1094">
        <f t="shared" si="19"/>
        <v>0</v>
      </c>
      <c r="J48" s="1094"/>
      <c r="K48" s="1094">
        <f t="shared" si="20"/>
        <v>0</v>
      </c>
      <c r="L48" s="1094">
        <f t="shared" si="21"/>
        <v>0</v>
      </c>
      <c r="M48" s="1086">
        <f>'[8]FY2012-13 Initial'!$K49</f>
        <v>2353</v>
      </c>
      <c r="N48" s="1088">
        <f t="shared" si="30"/>
        <v>0</v>
      </c>
      <c r="O48" s="1155">
        <f t="shared" si="22"/>
        <v>0</v>
      </c>
      <c r="P48" s="1088">
        <f t="shared" si="23"/>
        <v>0</v>
      </c>
      <c r="Q48" s="1088"/>
      <c r="R48" s="1088">
        <f t="shared" si="24"/>
        <v>0</v>
      </c>
      <c r="S48" s="1088">
        <f t="shared" si="25"/>
        <v>0</v>
      </c>
      <c r="T48" s="1089">
        <f t="shared" si="26"/>
        <v>0</v>
      </c>
      <c r="U48" s="1089">
        <f t="shared" si="27"/>
        <v>0</v>
      </c>
    </row>
    <row r="49" spans="1:21">
      <c r="A49" s="1028">
        <v>43</v>
      </c>
      <c r="B49" s="1029" t="s">
        <v>144</v>
      </c>
      <c r="C49" s="1036">
        <f>'Table 8 2.1.12 MFP Funded'!Q46</f>
        <v>0</v>
      </c>
      <c r="D49" s="1037">
        <f>'Table 3 Levels 1&amp;2'!AL50</f>
        <v>5587.3492327608728</v>
      </c>
      <c r="E49" s="1139">
        <f t="shared" si="28"/>
        <v>0</v>
      </c>
      <c r="F49" s="1139">
        <f t="shared" si="17"/>
        <v>0</v>
      </c>
      <c r="G49" s="1094">
        <f t="shared" si="29"/>
        <v>0</v>
      </c>
      <c r="H49" s="1149">
        <f t="shared" si="18"/>
        <v>0</v>
      </c>
      <c r="I49" s="1094">
        <f t="shared" si="19"/>
        <v>0</v>
      </c>
      <c r="J49" s="1094"/>
      <c r="K49" s="1094">
        <f t="shared" si="20"/>
        <v>0</v>
      </c>
      <c r="L49" s="1094">
        <f t="shared" si="21"/>
        <v>0</v>
      </c>
      <c r="M49" s="1086">
        <f>'[8]FY2012-13 Initial'!$K50</f>
        <v>5599</v>
      </c>
      <c r="N49" s="1088">
        <f t="shared" si="30"/>
        <v>0</v>
      </c>
      <c r="O49" s="1155">
        <f t="shared" si="22"/>
        <v>0</v>
      </c>
      <c r="P49" s="1088">
        <f t="shared" si="23"/>
        <v>0</v>
      </c>
      <c r="Q49" s="1088"/>
      <c r="R49" s="1088">
        <f t="shared" si="24"/>
        <v>0</v>
      </c>
      <c r="S49" s="1088">
        <f t="shared" si="25"/>
        <v>0</v>
      </c>
      <c r="T49" s="1089">
        <f t="shared" si="26"/>
        <v>0</v>
      </c>
      <c r="U49" s="1089">
        <f t="shared" si="27"/>
        <v>0</v>
      </c>
    </row>
    <row r="50" spans="1:21">
      <c r="A50" s="1028">
        <v>44</v>
      </c>
      <c r="B50" s="1029" t="s">
        <v>145</v>
      </c>
      <c r="C50" s="1036">
        <f>'Table 8 2.1.12 MFP Funded'!Q47</f>
        <v>1</v>
      </c>
      <c r="D50" s="1037">
        <f>'Table 3 Levels 1&amp;2'!AL51</f>
        <v>4113.1787591918992</v>
      </c>
      <c r="E50" s="1139">
        <f t="shared" si="28"/>
        <v>4113.1787591918992</v>
      </c>
      <c r="F50" s="1139">
        <f t="shared" si="17"/>
        <v>705.7643831168831</v>
      </c>
      <c r="G50" s="1094">
        <f t="shared" si="29"/>
        <v>4818.9431423087826</v>
      </c>
      <c r="H50" s="1149">
        <f t="shared" si="18"/>
        <v>-12.047357855771956</v>
      </c>
      <c r="I50" s="1094">
        <f t="shared" si="19"/>
        <v>4806.8957844530105</v>
      </c>
      <c r="J50" s="1094"/>
      <c r="K50" s="1094">
        <f t="shared" si="20"/>
        <v>4806.8957844530105</v>
      </c>
      <c r="L50" s="1094">
        <f t="shared" si="21"/>
        <v>401</v>
      </c>
      <c r="M50" s="1086">
        <f>'[8]FY2012-13 Initial'!$K51</f>
        <v>4661</v>
      </c>
      <c r="N50" s="1088">
        <f t="shared" si="30"/>
        <v>4661</v>
      </c>
      <c r="O50" s="1155">
        <f t="shared" si="22"/>
        <v>-11.6525</v>
      </c>
      <c r="P50" s="1088">
        <f t="shared" si="23"/>
        <v>4649.3474999999999</v>
      </c>
      <c r="Q50" s="1088"/>
      <c r="R50" s="1088">
        <f t="shared" si="24"/>
        <v>4649.3474999999999</v>
      </c>
      <c r="S50" s="1088">
        <f t="shared" si="25"/>
        <v>387</v>
      </c>
      <c r="T50" s="1089">
        <f t="shared" si="26"/>
        <v>9456.2432844530103</v>
      </c>
      <c r="U50" s="1089">
        <f t="shared" si="27"/>
        <v>788</v>
      </c>
    </row>
    <row r="51" spans="1:21">
      <c r="A51" s="1032">
        <v>45</v>
      </c>
      <c r="B51" s="1033" t="s">
        <v>146</v>
      </c>
      <c r="C51" s="1038">
        <f>'Table 8 2.1.12 MFP Funded'!Q48</f>
        <v>0</v>
      </c>
      <c r="D51" s="1039">
        <f>'Table 3 Levels 1&amp;2'!AL52</f>
        <v>2414.8479898164846</v>
      </c>
      <c r="E51" s="1140">
        <f t="shared" si="28"/>
        <v>0</v>
      </c>
      <c r="F51" s="1140">
        <f t="shared" si="17"/>
        <v>0</v>
      </c>
      <c r="G51" s="1095">
        <f t="shared" si="29"/>
        <v>0</v>
      </c>
      <c r="H51" s="1150">
        <f t="shared" si="18"/>
        <v>0</v>
      </c>
      <c r="I51" s="1095">
        <f t="shared" si="19"/>
        <v>0</v>
      </c>
      <c r="J51" s="1095"/>
      <c r="K51" s="1095">
        <f t="shared" si="20"/>
        <v>0</v>
      </c>
      <c r="L51" s="1095">
        <f t="shared" si="21"/>
        <v>0</v>
      </c>
      <c r="M51" s="1091">
        <f>'[8]FY2012-13 Initial'!$K52</f>
        <v>11650</v>
      </c>
      <c r="N51" s="1092">
        <f t="shared" si="30"/>
        <v>0</v>
      </c>
      <c r="O51" s="1156">
        <f t="shared" si="22"/>
        <v>0</v>
      </c>
      <c r="P51" s="1092">
        <f t="shared" si="23"/>
        <v>0</v>
      </c>
      <c r="Q51" s="1092"/>
      <c r="R51" s="1092">
        <f t="shared" si="24"/>
        <v>0</v>
      </c>
      <c r="S51" s="1092">
        <f t="shared" si="25"/>
        <v>0</v>
      </c>
      <c r="T51" s="1093">
        <f t="shared" si="26"/>
        <v>0</v>
      </c>
      <c r="U51" s="1093">
        <f t="shared" si="27"/>
        <v>0</v>
      </c>
    </row>
    <row r="52" spans="1:21">
      <c r="A52" s="1021">
        <v>46</v>
      </c>
      <c r="B52" s="1022" t="s">
        <v>147</v>
      </c>
      <c r="C52" s="1040">
        <f>'Table 8 2.1.12 MFP Funded'!Q49</f>
        <v>0</v>
      </c>
      <c r="D52" s="1041">
        <f>'Table 3 Levels 1&amp;2'!AL53</f>
        <v>5765.0314518803261</v>
      </c>
      <c r="E52" s="1141">
        <f t="shared" si="28"/>
        <v>0</v>
      </c>
      <c r="F52" s="1141">
        <f t="shared" si="17"/>
        <v>0</v>
      </c>
      <c r="G52" s="1096">
        <f t="shared" si="29"/>
        <v>0</v>
      </c>
      <c r="H52" s="1151">
        <f t="shared" si="18"/>
        <v>0</v>
      </c>
      <c r="I52" s="1096">
        <f t="shared" si="19"/>
        <v>0</v>
      </c>
      <c r="J52" s="1096"/>
      <c r="K52" s="1096">
        <f t="shared" si="20"/>
        <v>0</v>
      </c>
      <c r="L52" s="1096">
        <f t="shared" si="21"/>
        <v>0</v>
      </c>
      <c r="M52" s="1086">
        <f>'[8]FY2012-13 Initial'!$K53</f>
        <v>1789</v>
      </c>
      <c r="N52" s="1026">
        <f t="shared" si="30"/>
        <v>0</v>
      </c>
      <c r="O52" s="1154">
        <f t="shared" si="22"/>
        <v>0</v>
      </c>
      <c r="P52" s="1026">
        <f t="shared" si="23"/>
        <v>0</v>
      </c>
      <c r="Q52" s="1026"/>
      <c r="R52" s="1026">
        <f t="shared" si="24"/>
        <v>0</v>
      </c>
      <c r="S52" s="1026">
        <f t="shared" si="25"/>
        <v>0</v>
      </c>
      <c r="T52" s="1027">
        <f t="shared" si="26"/>
        <v>0</v>
      </c>
      <c r="U52" s="1027">
        <f t="shared" si="27"/>
        <v>0</v>
      </c>
    </row>
    <row r="53" spans="1:21">
      <c r="A53" s="1028">
        <v>47</v>
      </c>
      <c r="B53" s="1029" t="s">
        <v>148</v>
      </c>
      <c r="C53" s="1036">
        <f>'Table 8 2.1.12 MFP Funded'!Q50</f>
        <v>0</v>
      </c>
      <c r="D53" s="1037">
        <f>'Table 3 Levels 1&amp;2'!AL54</f>
        <v>3186.1712081166847</v>
      </c>
      <c r="E53" s="1139">
        <f t="shared" si="28"/>
        <v>0</v>
      </c>
      <c r="F53" s="1139">
        <f t="shared" si="17"/>
        <v>0</v>
      </c>
      <c r="G53" s="1094">
        <f t="shared" si="29"/>
        <v>0</v>
      </c>
      <c r="H53" s="1149">
        <f t="shared" si="18"/>
        <v>0</v>
      </c>
      <c r="I53" s="1094">
        <f t="shared" si="19"/>
        <v>0</v>
      </c>
      <c r="J53" s="1094"/>
      <c r="K53" s="1094">
        <f t="shared" si="20"/>
        <v>0</v>
      </c>
      <c r="L53" s="1094">
        <f t="shared" si="21"/>
        <v>0</v>
      </c>
      <c r="M53" s="1086">
        <f>'[8]FY2012-13 Initial'!$K54</f>
        <v>9947</v>
      </c>
      <c r="N53" s="1088">
        <f t="shared" si="30"/>
        <v>0</v>
      </c>
      <c r="O53" s="1155">
        <f t="shared" si="22"/>
        <v>0</v>
      </c>
      <c r="P53" s="1088">
        <f t="shared" si="23"/>
        <v>0</v>
      </c>
      <c r="Q53" s="1088"/>
      <c r="R53" s="1088">
        <f t="shared" si="24"/>
        <v>0</v>
      </c>
      <c r="S53" s="1088">
        <f t="shared" si="25"/>
        <v>0</v>
      </c>
      <c r="T53" s="1089">
        <f t="shared" si="26"/>
        <v>0</v>
      </c>
      <c r="U53" s="1089">
        <f t="shared" si="27"/>
        <v>0</v>
      </c>
    </row>
    <row r="54" spans="1:21">
      <c r="A54" s="1028">
        <v>48</v>
      </c>
      <c r="B54" s="1029" t="s">
        <v>222</v>
      </c>
      <c r="C54" s="1036">
        <f>'Table 8 2.1.12 MFP Funded'!Q51</f>
        <v>2</v>
      </c>
      <c r="D54" s="1037">
        <f>'Table 3 Levels 1&amp;2'!AL55</f>
        <v>4260.4872196136057</v>
      </c>
      <c r="E54" s="1139">
        <f t="shared" si="28"/>
        <v>8520.9744392272114</v>
      </c>
      <c r="F54" s="1139">
        <f t="shared" si="17"/>
        <v>1411.5287662337662</v>
      </c>
      <c r="G54" s="1094">
        <f t="shared" si="29"/>
        <v>9932.5032054609783</v>
      </c>
      <c r="H54" s="1149">
        <f t="shared" si="18"/>
        <v>-24.831258013652445</v>
      </c>
      <c r="I54" s="1094">
        <f t="shared" si="19"/>
        <v>9907.6719474473266</v>
      </c>
      <c r="J54" s="1094"/>
      <c r="K54" s="1094">
        <f t="shared" si="20"/>
        <v>9907.6719474473266</v>
      </c>
      <c r="L54" s="1094">
        <f t="shared" si="21"/>
        <v>826</v>
      </c>
      <c r="M54" s="1086">
        <f>'[8]FY2012-13 Initial'!$K55</f>
        <v>5325</v>
      </c>
      <c r="N54" s="1088">
        <f t="shared" si="30"/>
        <v>10650</v>
      </c>
      <c r="O54" s="1155">
        <f t="shared" si="22"/>
        <v>-26.625</v>
      </c>
      <c r="P54" s="1088">
        <f t="shared" si="23"/>
        <v>10623.375</v>
      </c>
      <c r="Q54" s="1088"/>
      <c r="R54" s="1088">
        <f t="shared" si="24"/>
        <v>10623.375</v>
      </c>
      <c r="S54" s="1088">
        <f t="shared" si="25"/>
        <v>885</v>
      </c>
      <c r="T54" s="1089">
        <f t="shared" si="26"/>
        <v>20531.046947447328</v>
      </c>
      <c r="U54" s="1089">
        <f t="shared" si="27"/>
        <v>1711</v>
      </c>
    </row>
    <row r="55" spans="1:21">
      <c r="A55" s="1028">
        <v>49</v>
      </c>
      <c r="B55" s="1029" t="s">
        <v>149</v>
      </c>
      <c r="C55" s="1036">
        <f>'Table 8 2.1.12 MFP Funded'!Q52</f>
        <v>0</v>
      </c>
      <c r="D55" s="1037">
        <f>'Table 3 Levels 1&amp;2'!AL56</f>
        <v>4800.2172145077111</v>
      </c>
      <c r="E55" s="1139">
        <f t="shared" si="28"/>
        <v>0</v>
      </c>
      <c r="F55" s="1139">
        <f t="shared" si="17"/>
        <v>0</v>
      </c>
      <c r="G55" s="1094">
        <f t="shared" si="29"/>
        <v>0</v>
      </c>
      <c r="H55" s="1149">
        <f t="shared" si="18"/>
        <v>0</v>
      </c>
      <c r="I55" s="1094">
        <f t="shared" si="19"/>
        <v>0</v>
      </c>
      <c r="J55" s="1094"/>
      <c r="K55" s="1094">
        <f t="shared" si="20"/>
        <v>0</v>
      </c>
      <c r="L55" s="1094">
        <f t="shared" si="21"/>
        <v>0</v>
      </c>
      <c r="M55" s="1086">
        <f>'[8]FY2012-13 Initial'!$K56</f>
        <v>2326</v>
      </c>
      <c r="N55" s="1088">
        <f t="shared" si="30"/>
        <v>0</v>
      </c>
      <c r="O55" s="1155">
        <f t="shared" si="22"/>
        <v>0</v>
      </c>
      <c r="P55" s="1088">
        <f t="shared" si="23"/>
        <v>0</v>
      </c>
      <c r="Q55" s="1088"/>
      <c r="R55" s="1088">
        <f t="shared" si="24"/>
        <v>0</v>
      </c>
      <c r="S55" s="1088">
        <f t="shared" si="25"/>
        <v>0</v>
      </c>
      <c r="T55" s="1089">
        <f t="shared" si="26"/>
        <v>0</v>
      </c>
      <c r="U55" s="1089">
        <f t="shared" si="27"/>
        <v>0</v>
      </c>
    </row>
    <row r="56" spans="1:21">
      <c r="A56" s="1032">
        <v>50</v>
      </c>
      <c r="B56" s="1033" t="s">
        <v>150</v>
      </c>
      <c r="C56" s="1038">
        <f>'Table 8 2.1.12 MFP Funded'!Q53</f>
        <v>0</v>
      </c>
      <c r="D56" s="1039">
        <f>'Table 3 Levels 1&amp;2'!AL57</f>
        <v>5059.523754419537</v>
      </c>
      <c r="E56" s="1140">
        <f t="shared" si="28"/>
        <v>0</v>
      </c>
      <c r="F56" s="1140">
        <f t="shared" si="17"/>
        <v>0</v>
      </c>
      <c r="G56" s="1095">
        <f t="shared" si="29"/>
        <v>0</v>
      </c>
      <c r="H56" s="1150">
        <f t="shared" si="18"/>
        <v>0</v>
      </c>
      <c r="I56" s="1095">
        <f t="shared" si="19"/>
        <v>0</v>
      </c>
      <c r="J56" s="1095"/>
      <c r="K56" s="1095">
        <f t="shared" si="20"/>
        <v>0</v>
      </c>
      <c r="L56" s="1095">
        <f t="shared" si="21"/>
        <v>0</v>
      </c>
      <c r="M56" s="1091">
        <f>'[8]FY2012-13 Initial'!$K57</f>
        <v>2574</v>
      </c>
      <c r="N56" s="1092">
        <f t="shared" si="30"/>
        <v>0</v>
      </c>
      <c r="O56" s="1156">
        <f t="shared" si="22"/>
        <v>0</v>
      </c>
      <c r="P56" s="1092">
        <f t="shared" si="23"/>
        <v>0</v>
      </c>
      <c r="Q56" s="1092"/>
      <c r="R56" s="1092">
        <f t="shared" si="24"/>
        <v>0</v>
      </c>
      <c r="S56" s="1092">
        <f t="shared" si="25"/>
        <v>0</v>
      </c>
      <c r="T56" s="1093">
        <f t="shared" si="26"/>
        <v>0</v>
      </c>
      <c r="U56" s="1093">
        <f t="shared" si="27"/>
        <v>0</v>
      </c>
    </row>
    <row r="57" spans="1:21">
      <c r="A57" s="1021">
        <v>51</v>
      </c>
      <c r="B57" s="1022" t="s">
        <v>151</v>
      </c>
      <c r="C57" s="1040">
        <f>'Table 8 2.1.12 MFP Funded'!Q54</f>
        <v>0</v>
      </c>
      <c r="D57" s="1041">
        <f>'Table 3 Levels 1&amp;2'!AL58</f>
        <v>4384.0477116019692</v>
      </c>
      <c r="E57" s="1141">
        <f t="shared" si="28"/>
        <v>0</v>
      </c>
      <c r="F57" s="1141">
        <f t="shared" si="17"/>
        <v>0</v>
      </c>
      <c r="G57" s="1096">
        <f t="shared" si="29"/>
        <v>0</v>
      </c>
      <c r="H57" s="1151">
        <f t="shared" si="18"/>
        <v>0</v>
      </c>
      <c r="I57" s="1096">
        <f t="shared" si="19"/>
        <v>0</v>
      </c>
      <c r="J57" s="1096"/>
      <c r="K57" s="1096">
        <f t="shared" si="20"/>
        <v>0</v>
      </c>
      <c r="L57" s="1096">
        <f t="shared" si="21"/>
        <v>0</v>
      </c>
      <c r="M57" s="1086">
        <f>'[8]FY2012-13 Initial'!$K58</f>
        <v>3943</v>
      </c>
      <c r="N57" s="1026">
        <f t="shared" si="30"/>
        <v>0</v>
      </c>
      <c r="O57" s="1154">
        <f t="shared" si="22"/>
        <v>0</v>
      </c>
      <c r="P57" s="1026">
        <f t="shared" si="23"/>
        <v>0</v>
      </c>
      <c r="Q57" s="1026"/>
      <c r="R57" s="1026">
        <f t="shared" si="24"/>
        <v>0</v>
      </c>
      <c r="S57" s="1026">
        <f t="shared" si="25"/>
        <v>0</v>
      </c>
      <c r="T57" s="1027">
        <f t="shared" si="26"/>
        <v>0</v>
      </c>
      <c r="U57" s="1027">
        <f t="shared" si="27"/>
        <v>0</v>
      </c>
    </row>
    <row r="58" spans="1:21">
      <c r="A58" s="1028">
        <v>52</v>
      </c>
      <c r="B58" s="1029" t="s">
        <v>152</v>
      </c>
      <c r="C58" s="1036">
        <f>'Table 8 2.1.12 MFP Funded'!Q55</f>
        <v>0</v>
      </c>
      <c r="D58" s="1037">
        <f>'Table 3 Levels 1&amp;2'!AL59</f>
        <v>4920.0697942988754</v>
      </c>
      <c r="E58" s="1139">
        <f t="shared" si="28"/>
        <v>0</v>
      </c>
      <c r="F58" s="1139">
        <f t="shared" si="17"/>
        <v>0</v>
      </c>
      <c r="G58" s="1094">
        <f t="shared" si="29"/>
        <v>0</v>
      </c>
      <c r="H58" s="1149">
        <f t="shared" si="18"/>
        <v>0</v>
      </c>
      <c r="I58" s="1094">
        <f t="shared" si="19"/>
        <v>0</v>
      </c>
      <c r="J58" s="1094"/>
      <c r="K58" s="1094">
        <f t="shared" si="20"/>
        <v>0</v>
      </c>
      <c r="L58" s="1094">
        <f t="shared" si="21"/>
        <v>0</v>
      </c>
      <c r="M58" s="1086">
        <f>'[8]FY2012-13 Initial'!$K59</f>
        <v>4750</v>
      </c>
      <c r="N58" s="1088">
        <f t="shared" si="30"/>
        <v>0</v>
      </c>
      <c r="O58" s="1155">
        <f t="shared" si="22"/>
        <v>0</v>
      </c>
      <c r="P58" s="1088">
        <f t="shared" si="23"/>
        <v>0</v>
      </c>
      <c r="Q58" s="1088"/>
      <c r="R58" s="1088">
        <f t="shared" si="24"/>
        <v>0</v>
      </c>
      <c r="S58" s="1088">
        <f t="shared" si="25"/>
        <v>0</v>
      </c>
      <c r="T58" s="1089">
        <f t="shared" si="26"/>
        <v>0</v>
      </c>
      <c r="U58" s="1089">
        <f t="shared" si="27"/>
        <v>0</v>
      </c>
    </row>
    <row r="59" spans="1:21">
      <c r="A59" s="1028">
        <v>53</v>
      </c>
      <c r="B59" s="1029" t="s">
        <v>153</v>
      </c>
      <c r="C59" s="1036">
        <f>'Table 8 2.1.12 MFP Funded'!Q56</f>
        <v>0</v>
      </c>
      <c r="D59" s="1037">
        <f>'Table 3 Levels 1&amp;2'!AL60</f>
        <v>4784.2719870767614</v>
      </c>
      <c r="E59" s="1139">
        <f t="shared" si="28"/>
        <v>0</v>
      </c>
      <c r="F59" s="1139">
        <f t="shared" si="17"/>
        <v>0</v>
      </c>
      <c r="G59" s="1094">
        <f t="shared" si="29"/>
        <v>0</v>
      </c>
      <c r="H59" s="1149">
        <f t="shared" si="18"/>
        <v>0</v>
      </c>
      <c r="I59" s="1094">
        <f t="shared" si="19"/>
        <v>0</v>
      </c>
      <c r="J59" s="1094"/>
      <c r="K59" s="1094">
        <f t="shared" si="20"/>
        <v>0</v>
      </c>
      <c r="L59" s="1094">
        <f t="shared" si="21"/>
        <v>0</v>
      </c>
      <c r="M59" s="1086">
        <f>'[8]FY2012-13 Initial'!$K60</f>
        <v>1913</v>
      </c>
      <c r="N59" s="1088">
        <f t="shared" si="30"/>
        <v>0</v>
      </c>
      <c r="O59" s="1155">
        <f t="shared" si="22"/>
        <v>0</v>
      </c>
      <c r="P59" s="1088">
        <f t="shared" si="23"/>
        <v>0</v>
      </c>
      <c r="Q59" s="1088"/>
      <c r="R59" s="1088">
        <f t="shared" si="24"/>
        <v>0</v>
      </c>
      <c r="S59" s="1088">
        <f t="shared" si="25"/>
        <v>0</v>
      </c>
      <c r="T59" s="1089">
        <f t="shared" si="26"/>
        <v>0</v>
      </c>
      <c r="U59" s="1089">
        <f t="shared" si="27"/>
        <v>0</v>
      </c>
    </row>
    <row r="60" spans="1:21">
      <c r="A60" s="1028">
        <v>54</v>
      </c>
      <c r="B60" s="1029" t="s">
        <v>154</v>
      </c>
      <c r="C60" s="1036">
        <f>'Table 8 2.1.12 MFP Funded'!Q57</f>
        <v>0</v>
      </c>
      <c r="D60" s="1037">
        <f>'Table 3 Levels 1&amp;2'!AL61</f>
        <v>5982.5555386476462</v>
      </c>
      <c r="E60" s="1139">
        <f t="shared" si="28"/>
        <v>0</v>
      </c>
      <c r="F60" s="1139">
        <f t="shared" si="17"/>
        <v>0</v>
      </c>
      <c r="G60" s="1094">
        <f t="shared" si="29"/>
        <v>0</v>
      </c>
      <c r="H60" s="1149">
        <f t="shared" si="18"/>
        <v>0</v>
      </c>
      <c r="I60" s="1094">
        <f t="shared" si="19"/>
        <v>0</v>
      </c>
      <c r="J60" s="1094"/>
      <c r="K60" s="1094">
        <f t="shared" si="20"/>
        <v>0</v>
      </c>
      <c r="L60" s="1094">
        <f t="shared" si="21"/>
        <v>0</v>
      </c>
      <c r="M60" s="1086">
        <f>'[8]FY2012-13 Initial'!$K61</f>
        <v>3264</v>
      </c>
      <c r="N60" s="1088">
        <f t="shared" si="30"/>
        <v>0</v>
      </c>
      <c r="O60" s="1155">
        <f t="shared" si="22"/>
        <v>0</v>
      </c>
      <c r="P60" s="1088">
        <f t="shared" si="23"/>
        <v>0</v>
      </c>
      <c r="Q60" s="1088"/>
      <c r="R60" s="1088">
        <f t="shared" si="24"/>
        <v>0</v>
      </c>
      <c r="S60" s="1088">
        <f t="shared" si="25"/>
        <v>0</v>
      </c>
      <c r="T60" s="1089">
        <f t="shared" si="26"/>
        <v>0</v>
      </c>
      <c r="U60" s="1089">
        <f t="shared" si="27"/>
        <v>0</v>
      </c>
    </row>
    <row r="61" spans="1:21">
      <c r="A61" s="1032">
        <v>55</v>
      </c>
      <c r="B61" s="1033" t="s">
        <v>155</v>
      </c>
      <c r="C61" s="1038">
        <f>'Table 8 2.1.12 MFP Funded'!Q58</f>
        <v>0</v>
      </c>
      <c r="D61" s="1039">
        <f>'Table 3 Levels 1&amp;2'!AL62</f>
        <v>4087.4017448818722</v>
      </c>
      <c r="E61" s="1140">
        <f t="shared" si="28"/>
        <v>0</v>
      </c>
      <c r="F61" s="1140">
        <f t="shared" si="17"/>
        <v>0</v>
      </c>
      <c r="G61" s="1095">
        <f t="shared" si="29"/>
        <v>0</v>
      </c>
      <c r="H61" s="1150">
        <f t="shared" si="18"/>
        <v>0</v>
      </c>
      <c r="I61" s="1095">
        <f t="shared" si="19"/>
        <v>0</v>
      </c>
      <c r="J61" s="1095"/>
      <c r="K61" s="1095">
        <f t="shared" si="20"/>
        <v>0</v>
      </c>
      <c r="L61" s="1095">
        <f t="shared" si="21"/>
        <v>0</v>
      </c>
      <c r="M61" s="1091">
        <f>'[8]FY2012-13 Initial'!$K62</f>
        <v>3071</v>
      </c>
      <c r="N61" s="1092">
        <f t="shared" si="30"/>
        <v>0</v>
      </c>
      <c r="O61" s="1156">
        <f t="shared" si="22"/>
        <v>0</v>
      </c>
      <c r="P61" s="1092">
        <f t="shared" si="23"/>
        <v>0</v>
      </c>
      <c r="Q61" s="1092"/>
      <c r="R61" s="1092">
        <f t="shared" si="24"/>
        <v>0</v>
      </c>
      <c r="S61" s="1092">
        <f t="shared" si="25"/>
        <v>0</v>
      </c>
      <c r="T61" s="1093">
        <f t="shared" si="26"/>
        <v>0</v>
      </c>
      <c r="U61" s="1093">
        <f t="shared" si="27"/>
        <v>0</v>
      </c>
    </row>
    <row r="62" spans="1:21">
      <c r="A62" s="1021">
        <v>56</v>
      </c>
      <c r="B62" s="1022" t="s">
        <v>156</v>
      </c>
      <c r="C62" s="1040">
        <f>'Table 8 2.1.12 MFP Funded'!Q59</f>
        <v>0</v>
      </c>
      <c r="D62" s="1041">
        <f>'Table 3 Levels 1&amp;2'!AL63</f>
        <v>5052.2250942802684</v>
      </c>
      <c r="E62" s="1141">
        <f t="shared" si="28"/>
        <v>0</v>
      </c>
      <c r="F62" s="1141">
        <f t="shared" si="17"/>
        <v>0</v>
      </c>
      <c r="G62" s="1096">
        <f t="shared" si="29"/>
        <v>0</v>
      </c>
      <c r="H62" s="1151">
        <f t="shared" si="18"/>
        <v>0</v>
      </c>
      <c r="I62" s="1096">
        <f t="shared" si="19"/>
        <v>0</v>
      </c>
      <c r="J62" s="1096"/>
      <c r="K62" s="1096">
        <f t="shared" si="20"/>
        <v>0</v>
      </c>
      <c r="L62" s="1096">
        <f t="shared" si="21"/>
        <v>0</v>
      </c>
      <c r="M62" s="1086">
        <f>'[8]FY2012-13 Initial'!$K63</f>
        <v>2630</v>
      </c>
      <c r="N62" s="1026">
        <f t="shared" si="30"/>
        <v>0</v>
      </c>
      <c r="O62" s="1154">
        <f t="shared" si="22"/>
        <v>0</v>
      </c>
      <c r="P62" s="1026">
        <f t="shared" si="23"/>
        <v>0</v>
      </c>
      <c r="Q62" s="1026"/>
      <c r="R62" s="1026">
        <f t="shared" si="24"/>
        <v>0</v>
      </c>
      <c r="S62" s="1026">
        <f t="shared" si="25"/>
        <v>0</v>
      </c>
      <c r="T62" s="1027">
        <f t="shared" si="26"/>
        <v>0</v>
      </c>
      <c r="U62" s="1027">
        <f t="shared" si="27"/>
        <v>0</v>
      </c>
    </row>
    <row r="63" spans="1:21">
      <c r="A63" s="1028">
        <v>57</v>
      </c>
      <c r="B63" s="1029" t="s">
        <v>157</v>
      </c>
      <c r="C63" s="1036">
        <f>'Table 8 2.1.12 MFP Funded'!Q60</f>
        <v>0</v>
      </c>
      <c r="D63" s="1037">
        <f>'Table 3 Levels 1&amp;2'!AL64</f>
        <v>4389.3863180380931</v>
      </c>
      <c r="E63" s="1139">
        <f t="shared" si="28"/>
        <v>0</v>
      </c>
      <c r="F63" s="1139">
        <f t="shared" si="17"/>
        <v>0</v>
      </c>
      <c r="G63" s="1094">
        <f t="shared" si="29"/>
        <v>0</v>
      </c>
      <c r="H63" s="1149">
        <f t="shared" si="18"/>
        <v>0</v>
      </c>
      <c r="I63" s="1094">
        <f t="shared" si="19"/>
        <v>0</v>
      </c>
      <c r="J63" s="1094"/>
      <c r="K63" s="1094">
        <f t="shared" si="20"/>
        <v>0</v>
      </c>
      <c r="L63" s="1094">
        <f t="shared" si="21"/>
        <v>0</v>
      </c>
      <c r="M63" s="1086">
        <f>'[8]FY2012-13 Initial'!$K64</f>
        <v>3053</v>
      </c>
      <c r="N63" s="1088">
        <f t="shared" si="30"/>
        <v>0</v>
      </c>
      <c r="O63" s="1155">
        <f t="shared" si="22"/>
        <v>0</v>
      </c>
      <c r="P63" s="1088">
        <f t="shared" si="23"/>
        <v>0</v>
      </c>
      <c r="Q63" s="1088"/>
      <c r="R63" s="1088">
        <f t="shared" si="24"/>
        <v>0</v>
      </c>
      <c r="S63" s="1088">
        <f t="shared" si="25"/>
        <v>0</v>
      </c>
      <c r="T63" s="1089">
        <f t="shared" si="26"/>
        <v>0</v>
      </c>
      <c r="U63" s="1089">
        <f t="shared" si="27"/>
        <v>0</v>
      </c>
    </row>
    <row r="64" spans="1:21">
      <c r="A64" s="1028">
        <v>58</v>
      </c>
      <c r="B64" s="1029" t="s">
        <v>158</v>
      </c>
      <c r="C64" s="1036">
        <f>'Table 8 2.1.12 MFP Funded'!Q61</f>
        <v>0</v>
      </c>
      <c r="D64" s="1037">
        <f>'Table 3 Levels 1&amp;2'!AL65</f>
        <v>5325.8881107130073</v>
      </c>
      <c r="E64" s="1139">
        <f t="shared" si="28"/>
        <v>0</v>
      </c>
      <c r="F64" s="1139">
        <f t="shared" si="17"/>
        <v>0</v>
      </c>
      <c r="G64" s="1094">
        <f t="shared" si="29"/>
        <v>0</v>
      </c>
      <c r="H64" s="1149">
        <f t="shared" si="18"/>
        <v>0</v>
      </c>
      <c r="I64" s="1094">
        <f t="shared" si="19"/>
        <v>0</v>
      </c>
      <c r="J64" s="1094"/>
      <c r="K64" s="1094">
        <f t="shared" si="20"/>
        <v>0</v>
      </c>
      <c r="L64" s="1094">
        <f t="shared" si="21"/>
        <v>0</v>
      </c>
      <c r="M64" s="1086">
        <f>'[8]FY2012-13 Initial'!$K65</f>
        <v>1917</v>
      </c>
      <c r="N64" s="1088">
        <f t="shared" si="30"/>
        <v>0</v>
      </c>
      <c r="O64" s="1155">
        <f t="shared" si="22"/>
        <v>0</v>
      </c>
      <c r="P64" s="1088">
        <f t="shared" si="23"/>
        <v>0</v>
      </c>
      <c r="Q64" s="1088"/>
      <c r="R64" s="1088">
        <f t="shared" si="24"/>
        <v>0</v>
      </c>
      <c r="S64" s="1088">
        <f t="shared" si="25"/>
        <v>0</v>
      </c>
      <c r="T64" s="1089">
        <f t="shared" si="26"/>
        <v>0</v>
      </c>
      <c r="U64" s="1089">
        <f t="shared" si="27"/>
        <v>0</v>
      </c>
    </row>
    <row r="65" spans="1:21">
      <c r="A65" s="1028">
        <v>59</v>
      </c>
      <c r="B65" s="1029" t="s">
        <v>159</v>
      </c>
      <c r="C65" s="1036">
        <f>'Table 8 2.1.12 MFP Funded'!Q62</f>
        <v>0</v>
      </c>
      <c r="D65" s="1037">
        <f>'Table 3 Levels 1&amp;2'!AL66</f>
        <v>6328.4963620482158</v>
      </c>
      <c r="E65" s="1139">
        <f t="shared" si="28"/>
        <v>0</v>
      </c>
      <c r="F65" s="1139">
        <f t="shared" si="17"/>
        <v>0</v>
      </c>
      <c r="G65" s="1094">
        <f t="shared" si="29"/>
        <v>0</v>
      </c>
      <c r="H65" s="1149">
        <f t="shared" si="18"/>
        <v>0</v>
      </c>
      <c r="I65" s="1094">
        <f t="shared" si="19"/>
        <v>0</v>
      </c>
      <c r="J65" s="1094"/>
      <c r="K65" s="1094">
        <f t="shared" si="20"/>
        <v>0</v>
      </c>
      <c r="L65" s="1094">
        <f t="shared" si="21"/>
        <v>0</v>
      </c>
      <c r="M65" s="1086">
        <f>'[8]FY2012-13 Initial'!$K66</f>
        <v>1553</v>
      </c>
      <c r="N65" s="1088">
        <f t="shared" si="30"/>
        <v>0</v>
      </c>
      <c r="O65" s="1155">
        <f t="shared" si="22"/>
        <v>0</v>
      </c>
      <c r="P65" s="1088">
        <f t="shared" si="23"/>
        <v>0</v>
      </c>
      <c r="Q65" s="1088"/>
      <c r="R65" s="1088">
        <f t="shared" si="24"/>
        <v>0</v>
      </c>
      <c r="S65" s="1088">
        <f t="shared" si="25"/>
        <v>0</v>
      </c>
      <c r="T65" s="1089">
        <f t="shared" si="26"/>
        <v>0</v>
      </c>
      <c r="U65" s="1089">
        <f t="shared" si="27"/>
        <v>0</v>
      </c>
    </row>
    <row r="66" spans="1:21">
      <c r="A66" s="1032">
        <v>60</v>
      </c>
      <c r="B66" s="1033" t="s">
        <v>160</v>
      </c>
      <c r="C66" s="1038">
        <f>'Table 8 2.1.12 MFP Funded'!Q63</f>
        <v>0</v>
      </c>
      <c r="D66" s="1039">
        <f>'Table 3 Levels 1&amp;2'!AL67</f>
        <v>4825.1723230627122</v>
      </c>
      <c r="E66" s="1140">
        <f t="shared" si="28"/>
        <v>0</v>
      </c>
      <c r="F66" s="1140">
        <f t="shared" si="17"/>
        <v>0</v>
      </c>
      <c r="G66" s="1095">
        <f t="shared" si="29"/>
        <v>0</v>
      </c>
      <c r="H66" s="1150">
        <f t="shared" si="18"/>
        <v>0</v>
      </c>
      <c r="I66" s="1095">
        <f t="shared" si="19"/>
        <v>0</v>
      </c>
      <c r="J66" s="1095"/>
      <c r="K66" s="1095">
        <f t="shared" si="20"/>
        <v>0</v>
      </c>
      <c r="L66" s="1095">
        <f t="shared" si="21"/>
        <v>0</v>
      </c>
      <c r="M66" s="1091">
        <f>'[8]FY2012-13 Initial'!$K67</f>
        <v>3798</v>
      </c>
      <c r="N66" s="1092">
        <f t="shared" si="30"/>
        <v>0</v>
      </c>
      <c r="O66" s="1156">
        <f t="shared" si="22"/>
        <v>0</v>
      </c>
      <c r="P66" s="1092">
        <f t="shared" si="23"/>
        <v>0</v>
      </c>
      <c r="Q66" s="1092"/>
      <c r="R66" s="1092">
        <f t="shared" si="24"/>
        <v>0</v>
      </c>
      <c r="S66" s="1092">
        <f t="shared" si="25"/>
        <v>0</v>
      </c>
      <c r="T66" s="1093">
        <f t="shared" si="26"/>
        <v>0</v>
      </c>
      <c r="U66" s="1093">
        <f t="shared" si="27"/>
        <v>0</v>
      </c>
    </row>
    <row r="67" spans="1:21">
      <c r="A67" s="1021">
        <v>61</v>
      </c>
      <c r="B67" s="1022" t="s">
        <v>161</v>
      </c>
      <c r="C67" s="1040">
        <f>'Table 8 2.1.12 MFP Funded'!Q64</f>
        <v>0</v>
      </c>
      <c r="D67" s="1041">
        <f>'Table 3 Levels 1&amp;2'!AL68</f>
        <v>3063.3110364585282</v>
      </c>
      <c r="E67" s="1141">
        <f t="shared" si="28"/>
        <v>0</v>
      </c>
      <c r="F67" s="1141">
        <f t="shared" si="17"/>
        <v>0</v>
      </c>
      <c r="G67" s="1096">
        <f t="shared" si="29"/>
        <v>0</v>
      </c>
      <c r="H67" s="1151">
        <f t="shared" si="18"/>
        <v>0</v>
      </c>
      <c r="I67" s="1096">
        <f t="shared" si="19"/>
        <v>0</v>
      </c>
      <c r="J67" s="1096"/>
      <c r="K67" s="1096">
        <f t="shared" si="20"/>
        <v>0</v>
      </c>
      <c r="L67" s="1096">
        <f t="shared" si="21"/>
        <v>0</v>
      </c>
      <c r="M67" s="1086">
        <f>'[8]FY2012-13 Initial'!$K68</f>
        <v>6727</v>
      </c>
      <c r="N67" s="1026">
        <f t="shared" si="30"/>
        <v>0</v>
      </c>
      <c r="O67" s="1154">
        <f t="shared" si="22"/>
        <v>0</v>
      </c>
      <c r="P67" s="1026">
        <f t="shared" si="23"/>
        <v>0</v>
      </c>
      <c r="Q67" s="1026"/>
      <c r="R67" s="1026">
        <f t="shared" si="24"/>
        <v>0</v>
      </c>
      <c r="S67" s="1026">
        <f t="shared" si="25"/>
        <v>0</v>
      </c>
      <c r="T67" s="1027">
        <f t="shared" si="26"/>
        <v>0</v>
      </c>
      <c r="U67" s="1027">
        <f t="shared" si="27"/>
        <v>0</v>
      </c>
    </row>
    <row r="68" spans="1:21">
      <c r="A68" s="1028">
        <v>62</v>
      </c>
      <c r="B68" s="1029" t="s">
        <v>162</v>
      </c>
      <c r="C68" s="1036">
        <f>'Table 8 2.1.12 MFP Funded'!Q65</f>
        <v>0</v>
      </c>
      <c r="D68" s="1037">
        <f>'Table 3 Levels 1&amp;2'!AL69</f>
        <v>5564.645485869667</v>
      </c>
      <c r="E68" s="1139">
        <f t="shared" si="28"/>
        <v>0</v>
      </c>
      <c r="F68" s="1139">
        <f t="shared" si="17"/>
        <v>0</v>
      </c>
      <c r="G68" s="1094">
        <f t="shared" si="29"/>
        <v>0</v>
      </c>
      <c r="H68" s="1149">
        <f t="shared" si="18"/>
        <v>0</v>
      </c>
      <c r="I68" s="1094">
        <f t="shared" si="19"/>
        <v>0</v>
      </c>
      <c r="J68" s="1094"/>
      <c r="K68" s="1094">
        <f t="shared" si="20"/>
        <v>0</v>
      </c>
      <c r="L68" s="1094">
        <f t="shared" si="21"/>
        <v>0</v>
      </c>
      <c r="M68" s="1086">
        <f>'[8]FY2012-13 Initial'!$K69</f>
        <v>1678</v>
      </c>
      <c r="N68" s="1088">
        <f t="shared" si="30"/>
        <v>0</v>
      </c>
      <c r="O68" s="1155">
        <f t="shared" si="22"/>
        <v>0</v>
      </c>
      <c r="P68" s="1088">
        <f t="shared" si="23"/>
        <v>0</v>
      </c>
      <c r="Q68" s="1088"/>
      <c r="R68" s="1088">
        <f t="shared" si="24"/>
        <v>0</v>
      </c>
      <c r="S68" s="1088">
        <f t="shared" si="25"/>
        <v>0</v>
      </c>
      <c r="T68" s="1089">
        <f t="shared" si="26"/>
        <v>0</v>
      </c>
      <c r="U68" s="1089">
        <f t="shared" si="27"/>
        <v>0</v>
      </c>
    </row>
    <row r="69" spans="1:21">
      <c r="A69" s="1028">
        <v>63</v>
      </c>
      <c r="B69" s="1029" t="s">
        <v>163</v>
      </c>
      <c r="C69" s="1036">
        <f>'Table 8 2.1.12 MFP Funded'!Q66</f>
        <v>0</v>
      </c>
      <c r="D69" s="1037">
        <f>'Table 3 Levels 1&amp;2'!AL70</f>
        <v>4414.1775336636538</v>
      </c>
      <c r="E69" s="1139">
        <f t="shared" si="28"/>
        <v>0</v>
      </c>
      <c r="F69" s="1139">
        <f t="shared" si="17"/>
        <v>0</v>
      </c>
      <c r="G69" s="1094">
        <f t="shared" si="29"/>
        <v>0</v>
      </c>
      <c r="H69" s="1149">
        <f t="shared" si="18"/>
        <v>0</v>
      </c>
      <c r="I69" s="1094">
        <f t="shared" si="19"/>
        <v>0</v>
      </c>
      <c r="J69" s="1094"/>
      <c r="K69" s="1094">
        <f t="shared" si="20"/>
        <v>0</v>
      </c>
      <c r="L69" s="1094">
        <f t="shared" si="21"/>
        <v>0</v>
      </c>
      <c r="M69" s="1086">
        <f>'[8]FY2012-13 Initial'!$K70</f>
        <v>6524</v>
      </c>
      <c r="N69" s="1088">
        <f t="shared" si="30"/>
        <v>0</v>
      </c>
      <c r="O69" s="1155">
        <f t="shared" si="22"/>
        <v>0</v>
      </c>
      <c r="P69" s="1088">
        <f t="shared" si="23"/>
        <v>0</v>
      </c>
      <c r="Q69" s="1088"/>
      <c r="R69" s="1088">
        <f t="shared" si="24"/>
        <v>0</v>
      </c>
      <c r="S69" s="1088">
        <f t="shared" si="25"/>
        <v>0</v>
      </c>
      <c r="T69" s="1089">
        <f t="shared" si="26"/>
        <v>0</v>
      </c>
      <c r="U69" s="1089">
        <f t="shared" si="27"/>
        <v>0</v>
      </c>
    </row>
    <row r="70" spans="1:21">
      <c r="A70" s="1028">
        <v>64</v>
      </c>
      <c r="B70" s="1029" t="s">
        <v>164</v>
      </c>
      <c r="C70" s="1036">
        <f>'Table 8 2.1.12 MFP Funded'!Q67</f>
        <v>0</v>
      </c>
      <c r="D70" s="1037">
        <f>'Table 3 Levels 1&amp;2'!AL71</f>
        <v>5871.0485811924027</v>
      </c>
      <c r="E70" s="1139">
        <f t="shared" si="28"/>
        <v>0</v>
      </c>
      <c r="F70" s="1139">
        <f t="shared" si="17"/>
        <v>0</v>
      </c>
      <c r="G70" s="1094">
        <f t="shared" si="29"/>
        <v>0</v>
      </c>
      <c r="H70" s="1149">
        <f t="shared" si="18"/>
        <v>0</v>
      </c>
      <c r="I70" s="1094">
        <f t="shared" si="19"/>
        <v>0</v>
      </c>
      <c r="J70" s="1094"/>
      <c r="K70" s="1094">
        <f t="shared" si="20"/>
        <v>0</v>
      </c>
      <c r="L70" s="1094">
        <f t="shared" si="21"/>
        <v>0</v>
      </c>
      <c r="M70" s="1086">
        <f>'[8]FY2012-13 Initial'!$K71</f>
        <v>2658</v>
      </c>
      <c r="N70" s="1088">
        <f t="shared" si="30"/>
        <v>0</v>
      </c>
      <c r="O70" s="1155">
        <f t="shared" si="22"/>
        <v>0</v>
      </c>
      <c r="P70" s="1088">
        <f t="shared" si="23"/>
        <v>0</v>
      </c>
      <c r="Q70" s="1088"/>
      <c r="R70" s="1088">
        <f t="shared" si="24"/>
        <v>0</v>
      </c>
      <c r="S70" s="1088">
        <f t="shared" si="25"/>
        <v>0</v>
      </c>
      <c r="T70" s="1089">
        <f t="shared" si="26"/>
        <v>0</v>
      </c>
      <c r="U70" s="1089">
        <f t="shared" si="27"/>
        <v>0</v>
      </c>
    </row>
    <row r="71" spans="1:21">
      <c r="A71" s="1032">
        <v>65</v>
      </c>
      <c r="B71" s="1033" t="s">
        <v>165</v>
      </c>
      <c r="C71" s="1038">
        <f>'Table 8 2.1.12 MFP Funded'!Q68</f>
        <v>0</v>
      </c>
      <c r="D71" s="1039">
        <f>'Table 3 Levels 1&amp;2'!AL72</f>
        <v>4602.2046951319899</v>
      </c>
      <c r="E71" s="1140">
        <f t="shared" ref="E71:E75" si="31">D71*C71</f>
        <v>0</v>
      </c>
      <c r="F71" s="1140">
        <f t="shared" si="17"/>
        <v>0</v>
      </c>
      <c r="G71" s="1095">
        <f t="shared" ref="G71:G75" si="32">E71+F71</f>
        <v>0</v>
      </c>
      <c r="H71" s="1150">
        <f t="shared" si="18"/>
        <v>0</v>
      </c>
      <c r="I71" s="1095">
        <f t="shared" si="19"/>
        <v>0</v>
      </c>
      <c r="J71" s="1095"/>
      <c r="K71" s="1095">
        <f t="shared" si="20"/>
        <v>0</v>
      </c>
      <c r="L71" s="1095">
        <f t="shared" si="21"/>
        <v>0</v>
      </c>
      <c r="M71" s="1091">
        <f>'[8]FY2012-13 Initial'!$K72</f>
        <v>4631</v>
      </c>
      <c r="N71" s="1092">
        <f t="shared" ref="N71:N75" si="33">M71*C71</f>
        <v>0</v>
      </c>
      <c r="O71" s="1156">
        <f t="shared" si="22"/>
        <v>0</v>
      </c>
      <c r="P71" s="1092">
        <f t="shared" si="23"/>
        <v>0</v>
      </c>
      <c r="Q71" s="1092"/>
      <c r="R71" s="1092">
        <f t="shared" si="24"/>
        <v>0</v>
      </c>
      <c r="S71" s="1092">
        <f t="shared" si="25"/>
        <v>0</v>
      </c>
      <c r="T71" s="1093">
        <f t="shared" si="26"/>
        <v>0</v>
      </c>
      <c r="U71" s="1093">
        <f t="shared" ref="U71:U75" si="34">L71+S71</f>
        <v>0</v>
      </c>
    </row>
    <row r="72" spans="1:21">
      <c r="A72" s="1021">
        <v>66</v>
      </c>
      <c r="B72" s="1022" t="s">
        <v>166</v>
      </c>
      <c r="C72" s="1040">
        <f>'Table 8 2.1.12 MFP Funded'!Q69</f>
        <v>0</v>
      </c>
      <c r="D72" s="1041">
        <f>'Table 3 Levels 1&amp;2'!AL73</f>
        <v>6243.8912249150071</v>
      </c>
      <c r="E72" s="1141">
        <f t="shared" si="31"/>
        <v>0</v>
      </c>
      <c r="F72" s="1141">
        <f t="shared" ref="F72:F75" si="35">C72*$F$4</f>
        <v>0</v>
      </c>
      <c r="G72" s="1096">
        <f t="shared" si="32"/>
        <v>0</v>
      </c>
      <c r="H72" s="1151">
        <f t="shared" ref="H72:H75" si="36">-G72*$H$4</f>
        <v>0</v>
      </c>
      <c r="I72" s="1096">
        <f t="shared" ref="I72:I75" si="37">SUM(G72:H72)</f>
        <v>0</v>
      </c>
      <c r="J72" s="1096"/>
      <c r="K72" s="1096">
        <f t="shared" ref="K72:K75" si="38">SUM(I72:J72)</f>
        <v>0</v>
      </c>
      <c r="L72" s="1096">
        <f t="shared" ref="L72:L75" si="39">ROUND(K72/12,0)</f>
        <v>0</v>
      </c>
      <c r="M72" s="1086">
        <f>'[8]FY2012-13 Initial'!$K73</f>
        <v>3443</v>
      </c>
      <c r="N72" s="1026">
        <f t="shared" si="33"/>
        <v>0</v>
      </c>
      <c r="O72" s="1154">
        <f t="shared" ref="O72:O75" si="40">-N72*$O$4</f>
        <v>0</v>
      </c>
      <c r="P72" s="1026">
        <f t="shared" ref="P72:P75" si="41">SUM(N72:O72)</f>
        <v>0</v>
      </c>
      <c r="Q72" s="1026"/>
      <c r="R72" s="1026">
        <f t="shared" ref="R72:R75" si="42">SUM(P72:Q72)</f>
        <v>0</v>
      </c>
      <c r="S72" s="1026">
        <f t="shared" ref="S72:S75" si="43">ROUND(R72/12,0)</f>
        <v>0</v>
      </c>
      <c r="T72" s="1027">
        <f t="shared" ref="T72:T75" si="44">K72+R72</f>
        <v>0</v>
      </c>
      <c r="U72" s="1027">
        <f t="shared" si="34"/>
        <v>0</v>
      </c>
    </row>
    <row r="73" spans="1:21">
      <c r="A73" s="1028">
        <v>67</v>
      </c>
      <c r="B73" s="1029" t="s">
        <v>33</v>
      </c>
      <c r="C73" s="1036">
        <f>'Table 8 2.1.12 MFP Funded'!Q70</f>
        <v>0</v>
      </c>
      <c r="D73" s="1037">
        <f>'Table 3 Levels 1&amp;2'!AL74</f>
        <v>5049.6489898847567</v>
      </c>
      <c r="E73" s="1139">
        <f t="shared" si="31"/>
        <v>0</v>
      </c>
      <c r="F73" s="1139">
        <f t="shared" si="35"/>
        <v>0</v>
      </c>
      <c r="G73" s="1094">
        <f t="shared" si="32"/>
        <v>0</v>
      </c>
      <c r="H73" s="1149">
        <f t="shared" si="36"/>
        <v>0</v>
      </c>
      <c r="I73" s="1094">
        <f t="shared" si="37"/>
        <v>0</v>
      </c>
      <c r="J73" s="1094"/>
      <c r="K73" s="1094">
        <f t="shared" si="38"/>
        <v>0</v>
      </c>
      <c r="L73" s="1094">
        <f t="shared" si="39"/>
        <v>0</v>
      </c>
      <c r="M73" s="1086">
        <f>'[8]FY2012-13 Initial'!$K74</f>
        <v>4502</v>
      </c>
      <c r="N73" s="1088">
        <f t="shared" si="33"/>
        <v>0</v>
      </c>
      <c r="O73" s="1155">
        <f t="shared" si="40"/>
        <v>0</v>
      </c>
      <c r="P73" s="1088">
        <f t="shared" si="41"/>
        <v>0</v>
      </c>
      <c r="Q73" s="1088"/>
      <c r="R73" s="1088">
        <f t="shared" si="42"/>
        <v>0</v>
      </c>
      <c r="S73" s="1088">
        <f t="shared" si="43"/>
        <v>0</v>
      </c>
      <c r="T73" s="1089">
        <f t="shared" si="44"/>
        <v>0</v>
      </c>
      <c r="U73" s="1089">
        <f t="shared" si="34"/>
        <v>0</v>
      </c>
    </row>
    <row r="74" spans="1:21">
      <c r="A74" s="1028">
        <v>68</v>
      </c>
      <c r="B74" s="1029" t="s">
        <v>31</v>
      </c>
      <c r="C74" s="1036">
        <f>'Table 8 2.1.12 MFP Funded'!Q71</f>
        <v>0</v>
      </c>
      <c r="D74" s="1037">
        <f>'Table 3 Levels 1&amp;2'!AL75</f>
        <v>5861.7500805575619</v>
      </c>
      <c r="E74" s="1139">
        <f t="shared" si="31"/>
        <v>0</v>
      </c>
      <c r="F74" s="1139">
        <f t="shared" si="35"/>
        <v>0</v>
      </c>
      <c r="G74" s="1094">
        <f t="shared" si="32"/>
        <v>0</v>
      </c>
      <c r="H74" s="1149">
        <f t="shared" si="36"/>
        <v>0</v>
      </c>
      <c r="I74" s="1094">
        <f t="shared" si="37"/>
        <v>0</v>
      </c>
      <c r="J74" s="1094"/>
      <c r="K74" s="1094">
        <f t="shared" si="38"/>
        <v>0</v>
      </c>
      <c r="L74" s="1094">
        <f t="shared" si="39"/>
        <v>0</v>
      </c>
      <c r="M74" s="1086">
        <f>'[8]FY2012-13 Initial'!$K75</f>
        <v>2587</v>
      </c>
      <c r="N74" s="1088">
        <f t="shared" si="33"/>
        <v>0</v>
      </c>
      <c r="O74" s="1155">
        <f t="shared" si="40"/>
        <v>0</v>
      </c>
      <c r="P74" s="1088">
        <f t="shared" si="41"/>
        <v>0</v>
      </c>
      <c r="Q74" s="1088"/>
      <c r="R74" s="1088">
        <f t="shared" si="42"/>
        <v>0</v>
      </c>
      <c r="S74" s="1088">
        <f t="shared" si="43"/>
        <v>0</v>
      </c>
      <c r="T74" s="1089">
        <f t="shared" si="44"/>
        <v>0</v>
      </c>
      <c r="U74" s="1089">
        <f t="shared" si="34"/>
        <v>0</v>
      </c>
    </row>
    <row r="75" spans="1:21">
      <c r="A75" s="1042">
        <v>69</v>
      </c>
      <c r="B75" s="1043" t="s">
        <v>235</v>
      </c>
      <c r="C75" s="1044">
        <f>'Table 8 2.1.12 MFP Funded'!Q72</f>
        <v>0</v>
      </c>
      <c r="D75" s="1045">
        <f>'Table 3 Levels 1&amp;2'!AL76</f>
        <v>5508.3397285189958</v>
      </c>
      <c r="E75" s="1142">
        <f t="shared" si="31"/>
        <v>0</v>
      </c>
      <c r="F75" s="1142">
        <f t="shared" si="35"/>
        <v>0</v>
      </c>
      <c r="G75" s="1097">
        <f t="shared" si="32"/>
        <v>0</v>
      </c>
      <c r="H75" s="1152">
        <f t="shared" si="36"/>
        <v>0</v>
      </c>
      <c r="I75" s="1097">
        <f t="shared" si="37"/>
        <v>0</v>
      </c>
      <c r="J75" s="1097"/>
      <c r="K75" s="1097">
        <f t="shared" si="38"/>
        <v>0</v>
      </c>
      <c r="L75" s="1097">
        <f t="shared" si="39"/>
        <v>0</v>
      </c>
      <c r="M75" s="1086">
        <f>'[8]FY2012-13 Initial'!$K76</f>
        <v>3233</v>
      </c>
      <c r="N75" s="1098">
        <f t="shared" si="33"/>
        <v>0</v>
      </c>
      <c r="O75" s="1157">
        <f t="shared" si="40"/>
        <v>0</v>
      </c>
      <c r="P75" s="1098">
        <f t="shared" si="41"/>
        <v>0</v>
      </c>
      <c r="Q75" s="1098"/>
      <c r="R75" s="1098">
        <f t="shared" si="42"/>
        <v>0</v>
      </c>
      <c r="S75" s="1098">
        <f t="shared" si="43"/>
        <v>0</v>
      </c>
      <c r="T75" s="1099">
        <f t="shared" si="44"/>
        <v>0</v>
      </c>
      <c r="U75" s="1099">
        <f t="shared" si="34"/>
        <v>0</v>
      </c>
    </row>
    <row r="76" spans="1:21" s="1053" customFormat="1" ht="13.5" thickBot="1">
      <c r="A76" s="1046"/>
      <c r="B76" s="1047" t="s">
        <v>167</v>
      </c>
      <c r="C76" s="1048">
        <f>SUM(C7:C75)</f>
        <v>399</v>
      </c>
      <c r="D76" s="1049">
        <f>'Table 3 Levels 1&amp;2'!AL77</f>
        <v>4325.8670725247357</v>
      </c>
      <c r="E76" s="1143">
        <f>SUM(E7:E75)</f>
        <v>1372759.5898799673</v>
      </c>
      <c r="F76" s="1143">
        <f>SUM(F7:F75)</f>
        <v>281599.98886363639</v>
      </c>
      <c r="G76" s="1050">
        <f>SUM(G7:G75)</f>
        <v>1654359.5787436035</v>
      </c>
      <c r="H76" s="1153">
        <f t="shared" ref="H76:J76" si="45">SUM(H7:H75)</f>
        <v>-4135.8989468590089</v>
      </c>
      <c r="I76" s="1050">
        <f t="shared" si="45"/>
        <v>1650223.6797967444</v>
      </c>
      <c r="J76" s="1050">
        <f t="shared" si="45"/>
        <v>0</v>
      </c>
      <c r="K76" s="1050">
        <f>SUM(K7:K75)</f>
        <v>1650223.6797967444</v>
      </c>
      <c r="L76" s="1050">
        <f>SUM(L7:L75)</f>
        <v>137519</v>
      </c>
      <c r="M76" s="1100"/>
      <c r="N76" s="1051">
        <f>SUM(N7:N75)</f>
        <v>1937775</v>
      </c>
      <c r="O76" s="1158">
        <f t="shared" ref="O76" si="46">SUM(O7:O75)</f>
        <v>-4844.4375</v>
      </c>
      <c r="P76" s="1051">
        <f t="shared" ref="P76:U76" si="47">SUM(P7:P75)</f>
        <v>1932930.5624999998</v>
      </c>
      <c r="Q76" s="1051">
        <f t="shared" si="47"/>
        <v>0</v>
      </c>
      <c r="R76" s="1051">
        <f t="shared" si="47"/>
        <v>1932930.5624999998</v>
      </c>
      <c r="S76" s="1051">
        <f t="shared" si="47"/>
        <v>161077</v>
      </c>
      <c r="T76" s="1052">
        <f t="shared" si="47"/>
        <v>3583154.2422967441</v>
      </c>
      <c r="U76" s="1052">
        <f t="shared" si="47"/>
        <v>298596</v>
      </c>
    </row>
    <row r="77" spans="1:21" s="1053" customFormat="1" ht="13.5" thickTop="1">
      <c r="A77" s="1054"/>
      <c r="B77" s="1054"/>
      <c r="C77" s="1055"/>
      <c r="D77" s="1055"/>
      <c r="M77" s="1057"/>
      <c r="N77" s="1057"/>
      <c r="O77" s="1057"/>
      <c r="P77" s="1057"/>
      <c r="Q77" s="1057"/>
      <c r="R77" s="1057"/>
      <c r="S77" s="1057"/>
    </row>
    <row r="78" spans="1:21" ht="12.75" customHeight="1">
      <c r="A78" s="1059"/>
      <c r="C78" s="1060"/>
    </row>
    <row r="79" spans="1:21" ht="12.75" hidden="1" customHeight="1"/>
    <row r="80" spans="1:21" hidden="1"/>
    <row r="81" spans="3:12" hidden="1"/>
    <row r="82" spans="3:12" hidden="1"/>
    <row r="83" spans="3:12" hidden="1">
      <c r="E83" s="1061" t="s">
        <v>581</v>
      </c>
      <c r="F83" s="1061"/>
      <c r="G83" s="1061"/>
      <c r="H83" s="1061"/>
      <c r="I83" s="1061"/>
      <c r="J83" s="1061"/>
      <c r="K83" s="1061"/>
      <c r="L83" s="1061"/>
    </row>
    <row r="84" spans="3:12" ht="10.5" hidden="1" customHeight="1"/>
    <row r="85" spans="3:12" hidden="1"/>
    <row r="86" spans="3:12" hidden="1">
      <c r="C86" s="1063">
        <v>85661</v>
      </c>
      <c r="D86" s="1064" t="s">
        <v>582</v>
      </c>
    </row>
    <row r="87" spans="3:12" hidden="1">
      <c r="C87" s="1063">
        <v>650290</v>
      </c>
      <c r="D87" s="1064" t="s">
        <v>583</v>
      </c>
    </row>
    <row r="88" spans="3:12" hidden="1">
      <c r="C88" s="1065">
        <f>C86/C87</f>
        <v>0.13172738316750987</v>
      </c>
      <c r="D88" s="1064" t="s">
        <v>584</v>
      </c>
    </row>
    <row r="89" spans="3:12" hidden="1">
      <c r="C89" s="1063"/>
      <c r="D89" s="1064"/>
    </row>
    <row r="90" spans="3:12" hidden="1">
      <c r="C90" s="1063">
        <v>128510</v>
      </c>
      <c r="D90" s="1064" t="s">
        <v>585</v>
      </c>
    </row>
    <row r="91" spans="3:12" hidden="1">
      <c r="C91" s="1063">
        <v>911320</v>
      </c>
      <c r="D91" s="1064" t="s">
        <v>586</v>
      </c>
    </row>
    <row r="92" spans="3:12" hidden="1">
      <c r="C92" s="1065">
        <f>C90/C91</f>
        <v>0.14101523065443533</v>
      </c>
      <c r="D92" s="1064" t="s">
        <v>587</v>
      </c>
    </row>
    <row r="93" spans="3:12" hidden="1">
      <c r="C93" s="1063"/>
      <c r="D93" s="1064"/>
    </row>
    <row r="94" spans="3:12" hidden="1">
      <c r="C94" s="1066">
        <v>2663489616</v>
      </c>
      <c r="D94" s="1067" t="s">
        <v>588</v>
      </c>
    </row>
    <row r="95" spans="3:12" hidden="1">
      <c r="C95" s="1068">
        <f>C92</f>
        <v>0.14101523065443533</v>
      </c>
      <c r="D95" s="1067"/>
    </row>
    <row r="96" spans="3:12" hidden="1">
      <c r="C96" s="1069">
        <f>C94*C95</f>
        <v>375592602.54593337</v>
      </c>
      <c r="D96" s="1064" t="s">
        <v>589</v>
      </c>
    </row>
    <row r="97" spans="3:4" hidden="1">
      <c r="C97" s="1070">
        <f>50%/C92</f>
        <v>3.5457162866702978</v>
      </c>
      <c r="D97" s="1067" t="s">
        <v>590</v>
      </c>
    </row>
    <row r="98" spans="3:4" hidden="1">
      <c r="C98" s="1069">
        <f>C96*C97</f>
        <v>1331744808</v>
      </c>
      <c r="D98" s="1071" t="s">
        <v>591</v>
      </c>
    </row>
    <row r="99" spans="3:4" hidden="1">
      <c r="C99" s="1072">
        <f>C87</f>
        <v>650290</v>
      </c>
      <c r="D99" s="1067" t="s">
        <v>592</v>
      </c>
    </row>
    <row r="100" spans="3:4" hidden="1">
      <c r="C100" s="1069">
        <f>C98/C99</f>
        <v>2047.9244767719017</v>
      </c>
      <c r="D100" s="1067" t="s">
        <v>593</v>
      </c>
    </row>
    <row r="101" spans="3:4" hidden="1">
      <c r="C101" s="1073">
        <f>(C96/C99)*-1</f>
        <v>-577.57708490970697</v>
      </c>
      <c r="D101" s="1067" t="s">
        <v>594</v>
      </c>
    </row>
    <row r="102" spans="3:4" hidden="1">
      <c r="C102" s="1074">
        <f>SUM(C100:C101)</f>
        <v>1470.3473918621949</v>
      </c>
      <c r="D102" s="1067" t="s">
        <v>595</v>
      </c>
    </row>
    <row r="103" spans="3:4" hidden="1">
      <c r="C103" s="1074"/>
      <c r="D103" s="1067"/>
    </row>
    <row r="104" spans="3:4" hidden="1">
      <c r="C104" s="1074"/>
      <c r="D104" s="1067"/>
    </row>
    <row r="105" spans="3:4" hidden="1">
      <c r="D105" s="1067"/>
    </row>
    <row r="106" spans="3:4" hidden="1"/>
  </sheetData>
  <mergeCells count="18">
    <mergeCell ref="U2:U4"/>
    <mergeCell ref="C3:C4"/>
    <mergeCell ref="D3:D4"/>
    <mergeCell ref="E3:E4"/>
    <mergeCell ref="L3:L4"/>
    <mergeCell ref="M3:M4"/>
    <mergeCell ref="J3:J4"/>
    <mergeCell ref="K3:K4"/>
    <mergeCell ref="Q3:Q4"/>
    <mergeCell ref="R3:R4"/>
    <mergeCell ref="A2:B4"/>
    <mergeCell ref="C2:L2"/>
    <mergeCell ref="M2:S2"/>
    <mergeCell ref="T2:T4"/>
    <mergeCell ref="G3:G4"/>
    <mergeCell ref="N3:N4"/>
    <mergeCell ref="S3:S4"/>
    <mergeCell ref="I3:I4"/>
  </mergeCells>
  <printOptions horizontalCentered="1"/>
  <pageMargins left="0.27" right="0.25" top="0.87" bottom="0.2" header="0.25" footer="0.2"/>
  <pageSetup paperSize="5" scale="61" firstPageNumber="82" fitToWidth="3" orientation="portrait" useFirstPageNumber="1" r:id="rId1"/>
  <headerFooter alignWithMargins="0">
    <oddHeader xml:space="preserve">&amp;L&amp;"Arial,Bold"&amp;16Table 5D-6:  FY2012-13 MFP Budget Letter&amp;"Arial,Regular"&amp;10
&amp;"Arial,Bold"&amp;14Legacy Type 2 Charters &amp;R&amp;"Arial,Bold"&amp;12&amp;KFF0000
</oddHeader>
    <oddFooter>&amp;R&amp;P</oddFooter>
  </headerFooter>
  <colBreaks count="1" manualBreakCount="1">
    <brk id="12" min="1" max="7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106"/>
  <sheetViews>
    <sheetView view="pageBreakPreview" zoomScaleNormal="85" zoomScaleSheetLayoutView="10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85546875" style="1005" customWidth="1"/>
    <col min="2" max="2" width="23.7109375" style="1005" customWidth="1"/>
    <col min="3" max="3" width="11.85546875" style="1008" customWidth="1"/>
    <col min="4" max="4" width="15.28515625" style="1008" customWidth="1"/>
    <col min="5" max="5" width="11" style="1008" customWidth="1"/>
    <col min="6" max="6" width="12.5703125" style="1008" bestFit="1" customWidth="1"/>
    <col min="7" max="7" width="11.85546875" style="1008" customWidth="1"/>
    <col min="8" max="8" width="11" style="1008" customWidth="1"/>
    <col min="9" max="11" width="11.7109375" style="1008" customWidth="1"/>
    <col min="12" max="12" width="9.42578125" style="1008" bestFit="1" customWidth="1"/>
    <col min="13" max="13" width="17.7109375" style="1084" customWidth="1"/>
    <col min="14" max="14" width="13.7109375" style="1008" bestFit="1" customWidth="1"/>
    <col min="15" max="18" width="13.7109375" style="1008" customWidth="1"/>
    <col min="19" max="19" width="10.85546875" style="1008" bestFit="1" customWidth="1"/>
    <col min="20" max="21" width="12.5703125" style="1005" customWidth="1"/>
    <col min="22" max="16384" width="12.5703125" style="1005"/>
  </cols>
  <sheetData>
    <row r="1" spans="1:21" ht="9" customHeight="1">
      <c r="B1" s="1006"/>
      <c r="C1" s="1007"/>
      <c r="D1" s="1007"/>
    </row>
    <row r="2" spans="1:21" s="1010" customFormat="1" ht="37.5" customHeight="1">
      <c r="A2" s="1773" t="s">
        <v>778</v>
      </c>
      <c r="B2" s="1774"/>
      <c r="C2" s="1843" t="s">
        <v>759</v>
      </c>
      <c r="D2" s="1791"/>
      <c r="E2" s="1791"/>
      <c r="F2" s="1791"/>
      <c r="G2" s="1791"/>
      <c r="H2" s="1791"/>
      <c r="I2" s="1791"/>
      <c r="J2" s="1791"/>
      <c r="K2" s="1791"/>
      <c r="L2" s="1792"/>
      <c r="M2" s="1770" t="s">
        <v>772</v>
      </c>
      <c r="N2" s="1771"/>
      <c r="O2" s="1771"/>
      <c r="P2" s="1771"/>
      <c r="Q2" s="1771"/>
      <c r="R2" s="1771"/>
      <c r="S2" s="1772"/>
      <c r="T2" s="1764" t="s">
        <v>1425</v>
      </c>
      <c r="U2" s="1764" t="s">
        <v>1389</v>
      </c>
    </row>
    <row r="3" spans="1:21" ht="90" customHeight="1">
      <c r="A3" s="1775"/>
      <c r="B3" s="1776"/>
      <c r="C3" s="1779" t="s">
        <v>1192</v>
      </c>
      <c r="D3" s="1781" t="s">
        <v>819</v>
      </c>
      <c r="E3" s="1781" t="s">
        <v>1406</v>
      </c>
      <c r="F3" s="1011" t="s">
        <v>779</v>
      </c>
      <c r="G3" s="1779" t="s">
        <v>1407</v>
      </c>
      <c r="H3" s="1133" t="s">
        <v>813</v>
      </c>
      <c r="I3" s="1779" t="s">
        <v>1408</v>
      </c>
      <c r="J3" s="1779" t="s">
        <v>1197</v>
      </c>
      <c r="K3" s="1779" t="s">
        <v>1409</v>
      </c>
      <c r="L3" s="1781" t="s">
        <v>1410</v>
      </c>
      <c r="M3" s="1793" t="s">
        <v>1305</v>
      </c>
      <c r="N3" s="1795" t="s">
        <v>1411</v>
      </c>
      <c r="O3" s="1135" t="s">
        <v>815</v>
      </c>
      <c r="P3" s="1135" t="s">
        <v>818</v>
      </c>
      <c r="Q3" s="1795" t="s">
        <v>1197</v>
      </c>
      <c r="R3" s="1795" t="s">
        <v>1412</v>
      </c>
      <c r="S3" s="1795" t="s">
        <v>1413</v>
      </c>
      <c r="T3" s="1765"/>
      <c r="U3" s="1765"/>
    </row>
    <row r="4" spans="1:21" ht="30.75" customHeight="1">
      <c r="A4" s="1777"/>
      <c r="B4" s="1778"/>
      <c r="C4" s="1780"/>
      <c r="D4" s="1781"/>
      <c r="E4" s="1781"/>
      <c r="F4" s="1102">
        <v>659.21180998497243</v>
      </c>
      <c r="G4" s="1780"/>
      <c r="H4" s="1144">
        <v>2.5000000000000001E-3</v>
      </c>
      <c r="I4" s="1780"/>
      <c r="J4" s="1780"/>
      <c r="K4" s="1780"/>
      <c r="L4" s="1781"/>
      <c r="M4" s="1794"/>
      <c r="N4" s="1787"/>
      <c r="O4" s="1145">
        <v>2.5000000000000001E-3</v>
      </c>
      <c r="P4" s="1134"/>
      <c r="Q4" s="1787"/>
      <c r="R4" s="1787"/>
      <c r="S4" s="1787"/>
      <c r="T4" s="1766"/>
      <c r="U4" s="1766"/>
    </row>
    <row r="5" spans="1:21" s="1015" customFormat="1" ht="14.25" customHeight="1">
      <c r="A5" s="1012"/>
      <c r="B5" s="1013"/>
      <c r="C5" s="1014">
        <v>1</v>
      </c>
      <c r="D5" s="1014">
        <f t="shared" ref="D5:N5" si="0">C5+1</f>
        <v>2</v>
      </c>
      <c r="E5" s="1014">
        <f>D5+1</f>
        <v>3</v>
      </c>
      <c r="F5" s="1014">
        <f t="shared" ref="F5:G5" si="1">E5+1</f>
        <v>4</v>
      </c>
      <c r="G5" s="1014">
        <f t="shared" si="1"/>
        <v>5</v>
      </c>
      <c r="H5" s="1014">
        <f t="shared" ref="H5" si="2">G5+1</f>
        <v>6</v>
      </c>
      <c r="I5" s="1014">
        <f t="shared" ref="I5" si="3">H5+1</f>
        <v>7</v>
      </c>
      <c r="J5" s="1014">
        <f t="shared" ref="J5" si="4">I5+1</f>
        <v>8</v>
      </c>
      <c r="K5" s="1014">
        <f t="shared" ref="K5" si="5">J5+1</f>
        <v>9</v>
      </c>
      <c r="L5" s="1014">
        <f t="shared" ref="L5" si="6">K5+1</f>
        <v>10</v>
      </c>
      <c r="M5" s="1014">
        <f t="shared" si="0"/>
        <v>11</v>
      </c>
      <c r="N5" s="1014">
        <f t="shared" si="0"/>
        <v>12</v>
      </c>
      <c r="O5" s="1014">
        <f t="shared" ref="O5" si="7">N5+1</f>
        <v>13</v>
      </c>
      <c r="P5" s="1014">
        <f t="shared" ref="P5" si="8">O5+1</f>
        <v>14</v>
      </c>
      <c r="Q5" s="1014">
        <f t="shared" ref="Q5" si="9">P5+1</f>
        <v>15</v>
      </c>
      <c r="R5" s="1014">
        <f t="shared" ref="R5" si="10">Q5+1</f>
        <v>16</v>
      </c>
      <c r="S5" s="1014">
        <f t="shared" ref="S5" si="11">R5+1</f>
        <v>17</v>
      </c>
      <c r="T5" s="1014">
        <f t="shared" ref="T5" si="12">S5+1</f>
        <v>18</v>
      </c>
      <c r="U5" s="1014">
        <f t="shared" ref="U5" si="13">T5+1</f>
        <v>19</v>
      </c>
    </row>
    <row r="6" spans="1:21" s="1020" customFormat="1" ht="27" customHeight="1">
      <c r="A6" s="1016"/>
      <c r="B6" s="1017"/>
      <c r="C6" s="1018" t="s">
        <v>660</v>
      </c>
      <c r="D6" s="1019" t="s">
        <v>571</v>
      </c>
      <c r="E6" s="1018" t="s">
        <v>864</v>
      </c>
      <c r="F6" s="1019" t="s">
        <v>781</v>
      </c>
      <c r="G6" s="1018" t="s">
        <v>780</v>
      </c>
      <c r="H6" s="1018" t="s">
        <v>814</v>
      </c>
      <c r="I6" s="1018" t="s">
        <v>816</v>
      </c>
      <c r="J6" s="1018"/>
      <c r="K6" s="1018" t="s">
        <v>1217</v>
      </c>
      <c r="L6" s="1018" t="s">
        <v>869</v>
      </c>
      <c r="M6" s="1085" t="s">
        <v>571</v>
      </c>
      <c r="N6" s="1079" t="s">
        <v>870</v>
      </c>
      <c r="O6" s="1079" t="s">
        <v>1218</v>
      </c>
      <c r="P6" s="1079" t="s">
        <v>1215</v>
      </c>
      <c r="Q6" s="1019"/>
      <c r="R6" s="1079" t="s">
        <v>1216</v>
      </c>
      <c r="S6" s="1079" t="s">
        <v>872</v>
      </c>
      <c r="T6" s="1079" t="s">
        <v>873</v>
      </c>
      <c r="U6" s="1079" t="s">
        <v>874</v>
      </c>
    </row>
    <row r="7" spans="1:21">
      <c r="A7" s="1021">
        <v>1</v>
      </c>
      <c r="B7" s="1022" t="s">
        <v>102</v>
      </c>
      <c r="C7" s="1023">
        <f>'Table 8 2.1.12 MFP Funded'!R4</f>
        <v>0</v>
      </c>
      <c r="D7" s="1024">
        <f>'Table 3 Levels 1&amp;2'!AL8</f>
        <v>4621.8175818834352</v>
      </c>
      <c r="E7" s="1136">
        <f t="shared" ref="E7:E38" si="14">D7*C7</f>
        <v>0</v>
      </c>
      <c r="F7" s="1136">
        <f>C7*$F$4</f>
        <v>0</v>
      </c>
      <c r="G7" s="1025">
        <f t="shared" ref="G7:G38" si="15">E7+F7</f>
        <v>0</v>
      </c>
      <c r="H7" s="1146">
        <f>-G7*$H$4</f>
        <v>0</v>
      </c>
      <c r="I7" s="1025">
        <f>SUM(G7:H7)</f>
        <v>0</v>
      </c>
      <c r="J7" s="1025"/>
      <c r="K7" s="1025">
        <f>SUM(I7:J7)</f>
        <v>0</v>
      </c>
      <c r="L7" s="1025">
        <f>ROUND(K7/12,0)</f>
        <v>0</v>
      </c>
      <c r="M7" s="1086">
        <f>'[8]FY2012-13 Initial'!$K8</f>
        <v>2094</v>
      </c>
      <c r="N7" s="1026">
        <f t="shared" ref="N7:N38" si="16">M7*C7</f>
        <v>0</v>
      </c>
      <c r="O7" s="1154">
        <f>-N7*$O$4</f>
        <v>0</v>
      </c>
      <c r="P7" s="1026">
        <f>SUM(N7:O7)</f>
        <v>0</v>
      </c>
      <c r="Q7" s="1026"/>
      <c r="R7" s="1026">
        <f>SUM(P7:Q7)</f>
        <v>0</v>
      </c>
      <c r="S7" s="1026">
        <f>ROUND(R7/12,0)</f>
        <v>0</v>
      </c>
      <c r="T7" s="1027">
        <f>K7+R7</f>
        <v>0</v>
      </c>
      <c r="U7" s="1027">
        <f>L7+S7</f>
        <v>0</v>
      </c>
    </row>
    <row r="8" spans="1:21">
      <c r="A8" s="1028">
        <v>2</v>
      </c>
      <c r="B8" s="1029" t="s">
        <v>103</v>
      </c>
      <c r="C8" s="1030">
        <f>'Table 8 2.1.12 MFP Funded'!R5</f>
        <v>0</v>
      </c>
      <c r="D8" s="1031">
        <f>'Table 3 Levels 1&amp;2'!AL9</f>
        <v>6131.8351665660375</v>
      </c>
      <c r="E8" s="1137">
        <f t="shared" si="14"/>
        <v>0</v>
      </c>
      <c r="F8" s="1137">
        <f t="shared" ref="F8:F71" si="17">C8*$F$4</f>
        <v>0</v>
      </c>
      <c r="G8" s="1087">
        <f t="shared" si="15"/>
        <v>0</v>
      </c>
      <c r="H8" s="1147">
        <f t="shared" ref="H8:H71" si="18">-G8*$H$4</f>
        <v>0</v>
      </c>
      <c r="I8" s="1087">
        <f t="shared" ref="I8:I71" si="19">SUM(G8:H8)</f>
        <v>0</v>
      </c>
      <c r="J8" s="1087"/>
      <c r="K8" s="1087">
        <f t="shared" ref="K8:K71" si="20">SUM(I8:J8)</f>
        <v>0</v>
      </c>
      <c r="L8" s="1087">
        <f t="shared" ref="L8:L71" si="21">ROUND(K8/12,0)</f>
        <v>0</v>
      </c>
      <c r="M8" s="1086">
        <f>'[8]FY2012-13 Initial'!$K9</f>
        <v>2554</v>
      </c>
      <c r="N8" s="1088">
        <f t="shared" si="16"/>
        <v>0</v>
      </c>
      <c r="O8" s="1155">
        <f t="shared" ref="O8:O71" si="22">-N8*$O$4</f>
        <v>0</v>
      </c>
      <c r="P8" s="1088">
        <f t="shared" ref="P8:P71" si="23">SUM(N8:O8)</f>
        <v>0</v>
      </c>
      <c r="Q8" s="1088"/>
      <c r="R8" s="1088">
        <f t="shared" ref="R8:R71" si="24">SUM(P8:Q8)</f>
        <v>0</v>
      </c>
      <c r="S8" s="1088">
        <f t="shared" ref="S8:S71" si="25">ROUND(R8/12,0)</f>
        <v>0</v>
      </c>
      <c r="T8" s="1089">
        <f t="shared" ref="T8:T71" si="26">K8+R8</f>
        <v>0</v>
      </c>
      <c r="U8" s="1089">
        <f t="shared" ref="U8:U70" si="27">L8+S8</f>
        <v>0</v>
      </c>
    </row>
    <row r="9" spans="1:21" ht="12.75" customHeight="1">
      <c r="A9" s="1028">
        <v>3</v>
      </c>
      <c r="B9" s="1029" t="s">
        <v>104</v>
      </c>
      <c r="C9" s="1030">
        <f>'Table 8 2.1.12 MFP Funded'!R6</f>
        <v>0</v>
      </c>
      <c r="D9" s="1031">
        <f>'Table 3 Levels 1&amp;2'!AL10</f>
        <v>4326.5384352059973</v>
      </c>
      <c r="E9" s="1137">
        <f t="shared" si="14"/>
        <v>0</v>
      </c>
      <c r="F9" s="1137">
        <f t="shared" si="17"/>
        <v>0</v>
      </c>
      <c r="G9" s="1087">
        <f t="shared" si="15"/>
        <v>0</v>
      </c>
      <c r="H9" s="1147">
        <f t="shared" si="18"/>
        <v>0</v>
      </c>
      <c r="I9" s="1087">
        <f t="shared" si="19"/>
        <v>0</v>
      </c>
      <c r="J9" s="1087"/>
      <c r="K9" s="1087">
        <f t="shared" si="20"/>
        <v>0</v>
      </c>
      <c r="L9" s="1087">
        <f t="shared" si="21"/>
        <v>0</v>
      </c>
      <c r="M9" s="1086">
        <f>'[8]FY2012-13 Initial'!$K10</f>
        <v>4995</v>
      </c>
      <c r="N9" s="1088">
        <f t="shared" si="16"/>
        <v>0</v>
      </c>
      <c r="O9" s="1155">
        <f t="shared" si="22"/>
        <v>0</v>
      </c>
      <c r="P9" s="1088">
        <f t="shared" si="23"/>
        <v>0</v>
      </c>
      <c r="Q9" s="1088"/>
      <c r="R9" s="1088">
        <f t="shared" si="24"/>
        <v>0</v>
      </c>
      <c r="S9" s="1088">
        <f t="shared" si="25"/>
        <v>0</v>
      </c>
      <c r="T9" s="1089">
        <f t="shared" si="26"/>
        <v>0</v>
      </c>
      <c r="U9" s="1089">
        <f t="shared" si="27"/>
        <v>0</v>
      </c>
    </row>
    <row r="10" spans="1:21" ht="12.75" customHeight="1">
      <c r="A10" s="1028">
        <v>4</v>
      </c>
      <c r="B10" s="1029" t="s">
        <v>105</v>
      </c>
      <c r="C10" s="1030">
        <f>'Table 8 2.1.12 MFP Funded'!R7</f>
        <v>2</v>
      </c>
      <c r="D10" s="1031">
        <f>'Table 3 Levels 1&amp;2'!AL11</f>
        <v>6066.2659652331004</v>
      </c>
      <c r="E10" s="1137">
        <f t="shared" si="14"/>
        <v>12132.531930466201</v>
      </c>
      <c r="F10" s="1137">
        <f t="shared" si="17"/>
        <v>1318.4236199699449</v>
      </c>
      <c r="G10" s="1087">
        <f t="shared" si="15"/>
        <v>13450.955550436145</v>
      </c>
      <c r="H10" s="1147">
        <f t="shared" si="18"/>
        <v>-33.627388876090365</v>
      </c>
      <c r="I10" s="1087">
        <f t="shared" si="19"/>
        <v>13417.328161560055</v>
      </c>
      <c r="J10" s="1087"/>
      <c r="K10" s="1087">
        <f t="shared" si="20"/>
        <v>13417.328161560055</v>
      </c>
      <c r="L10" s="1087">
        <f t="shared" si="21"/>
        <v>1118</v>
      </c>
      <c r="M10" s="1086">
        <f>'[8]FY2012-13 Initial'!$K11</f>
        <v>3361</v>
      </c>
      <c r="N10" s="1088">
        <f t="shared" si="16"/>
        <v>6722</v>
      </c>
      <c r="O10" s="1155">
        <f t="shared" si="22"/>
        <v>-16.805</v>
      </c>
      <c r="P10" s="1088">
        <f t="shared" si="23"/>
        <v>6705.1949999999997</v>
      </c>
      <c r="Q10" s="1088"/>
      <c r="R10" s="1088">
        <f t="shared" si="24"/>
        <v>6705.1949999999997</v>
      </c>
      <c r="S10" s="1088">
        <f t="shared" si="25"/>
        <v>559</v>
      </c>
      <c r="T10" s="1089">
        <f t="shared" si="26"/>
        <v>20122.523161560057</v>
      </c>
      <c r="U10" s="1089">
        <f t="shared" si="27"/>
        <v>1677</v>
      </c>
    </row>
    <row r="11" spans="1:21">
      <c r="A11" s="1032">
        <v>5</v>
      </c>
      <c r="B11" s="1033" t="s">
        <v>106</v>
      </c>
      <c r="C11" s="1034">
        <f>'Table 8 2.1.12 MFP Funded'!R8</f>
        <v>0</v>
      </c>
      <c r="D11" s="1035">
        <f>'Table 3 Levels 1&amp;2'!AL12</f>
        <v>4806.2126132223084</v>
      </c>
      <c r="E11" s="1138">
        <f t="shared" si="14"/>
        <v>0</v>
      </c>
      <c r="F11" s="1138">
        <f t="shared" si="17"/>
        <v>0</v>
      </c>
      <c r="G11" s="1090">
        <f t="shared" si="15"/>
        <v>0</v>
      </c>
      <c r="H11" s="1148">
        <f t="shared" si="18"/>
        <v>0</v>
      </c>
      <c r="I11" s="1090">
        <f t="shared" si="19"/>
        <v>0</v>
      </c>
      <c r="J11" s="1090"/>
      <c r="K11" s="1090">
        <f t="shared" si="20"/>
        <v>0</v>
      </c>
      <c r="L11" s="1090">
        <f t="shared" si="21"/>
        <v>0</v>
      </c>
      <c r="M11" s="1091">
        <f>'[8]FY2012-13 Initial'!$K12</f>
        <v>1146</v>
      </c>
      <c r="N11" s="1092">
        <f t="shared" si="16"/>
        <v>0</v>
      </c>
      <c r="O11" s="1156">
        <f t="shared" si="22"/>
        <v>0</v>
      </c>
      <c r="P11" s="1092">
        <f t="shared" si="23"/>
        <v>0</v>
      </c>
      <c r="Q11" s="1092"/>
      <c r="R11" s="1092">
        <f t="shared" si="24"/>
        <v>0</v>
      </c>
      <c r="S11" s="1092">
        <f t="shared" si="25"/>
        <v>0</v>
      </c>
      <c r="T11" s="1093">
        <f t="shared" si="26"/>
        <v>0</v>
      </c>
      <c r="U11" s="1093">
        <f t="shared" si="27"/>
        <v>0</v>
      </c>
    </row>
    <row r="12" spans="1:21" ht="12.75" customHeight="1">
      <c r="A12" s="1021">
        <v>6</v>
      </c>
      <c r="B12" s="1022" t="s">
        <v>107</v>
      </c>
      <c r="C12" s="1023">
        <f>'Table 8 2.1.12 MFP Funded'!R9</f>
        <v>0</v>
      </c>
      <c r="D12" s="1024">
        <f>'Table 3 Levels 1&amp;2'!AL13</f>
        <v>5538.0879878550813</v>
      </c>
      <c r="E12" s="1136">
        <f t="shared" si="14"/>
        <v>0</v>
      </c>
      <c r="F12" s="1136">
        <f t="shared" si="17"/>
        <v>0</v>
      </c>
      <c r="G12" s="1025">
        <f t="shared" si="15"/>
        <v>0</v>
      </c>
      <c r="H12" s="1146">
        <f t="shared" si="18"/>
        <v>0</v>
      </c>
      <c r="I12" s="1025">
        <f t="shared" si="19"/>
        <v>0</v>
      </c>
      <c r="J12" s="1025"/>
      <c r="K12" s="1025">
        <f t="shared" si="20"/>
        <v>0</v>
      </c>
      <c r="L12" s="1025">
        <f t="shared" si="21"/>
        <v>0</v>
      </c>
      <c r="M12" s="1086">
        <f>'[8]FY2012-13 Initial'!$K13</f>
        <v>3431</v>
      </c>
      <c r="N12" s="1026">
        <f t="shared" si="16"/>
        <v>0</v>
      </c>
      <c r="O12" s="1154">
        <f t="shared" si="22"/>
        <v>0</v>
      </c>
      <c r="P12" s="1026">
        <f t="shared" si="23"/>
        <v>0</v>
      </c>
      <c r="Q12" s="1026"/>
      <c r="R12" s="1026">
        <f t="shared" si="24"/>
        <v>0</v>
      </c>
      <c r="S12" s="1026">
        <f t="shared" si="25"/>
        <v>0</v>
      </c>
      <c r="T12" s="1027">
        <f t="shared" si="26"/>
        <v>0</v>
      </c>
      <c r="U12" s="1027">
        <f t="shared" si="27"/>
        <v>0</v>
      </c>
    </row>
    <row r="13" spans="1:21">
      <c r="A13" s="1028">
        <v>7</v>
      </c>
      <c r="B13" s="1029" t="s">
        <v>108</v>
      </c>
      <c r="C13" s="1030">
        <f>'Table 8 2.1.12 MFP Funded'!R10</f>
        <v>0</v>
      </c>
      <c r="D13" s="1031">
        <f>'Table 3 Levels 1&amp;2'!AL14</f>
        <v>1543.5712353471597</v>
      </c>
      <c r="E13" s="1137">
        <f t="shared" si="14"/>
        <v>0</v>
      </c>
      <c r="F13" s="1137">
        <f t="shared" si="17"/>
        <v>0</v>
      </c>
      <c r="G13" s="1087">
        <f t="shared" si="15"/>
        <v>0</v>
      </c>
      <c r="H13" s="1147">
        <f t="shared" si="18"/>
        <v>0</v>
      </c>
      <c r="I13" s="1087">
        <f t="shared" si="19"/>
        <v>0</v>
      </c>
      <c r="J13" s="1087"/>
      <c r="K13" s="1087">
        <f t="shared" si="20"/>
        <v>0</v>
      </c>
      <c r="L13" s="1087">
        <f t="shared" si="21"/>
        <v>0</v>
      </c>
      <c r="M13" s="1086">
        <f>'[8]FY2012-13 Initial'!$K14</f>
        <v>12974</v>
      </c>
      <c r="N13" s="1088">
        <f t="shared" si="16"/>
        <v>0</v>
      </c>
      <c r="O13" s="1155">
        <f t="shared" si="22"/>
        <v>0</v>
      </c>
      <c r="P13" s="1088">
        <f t="shared" si="23"/>
        <v>0</v>
      </c>
      <c r="Q13" s="1088"/>
      <c r="R13" s="1088">
        <f t="shared" si="24"/>
        <v>0</v>
      </c>
      <c r="S13" s="1088">
        <f t="shared" si="25"/>
        <v>0</v>
      </c>
      <c r="T13" s="1089">
        <f t="shared" si="26"/>
        <v>0</v>
      </c>
      <c r="U13" s="1089">
        <f t="shared" si="27"/>
        <v>0</v>
      </c>
    </row>
    <row r="14" spans="1:21">
      <c r="A14" s="1028">
        <v>8</v>
      </c>
      <c r="B14" s="1029" t="s">
        <v>109</v>
      </c>
      <c r="C14" s="1030">
        <f>'Table 8 2.1.12 MFP Funded'!R11</f>
        <v>0</v>
      </c>
      <c r="D14" s="1031">
        <f>'Table 3 Levels 1&amp;2'!AL15</f>
        <v>4033.4866571910334</v>
      </c>
      <c r="E14" s="1137">
        <f t="shared" si="14"/>
        <v>0</v>
      </c>
      <c r="F14" s="1137">
        <f t="shared" si="17"/>
        <v>0</v>
      </c>
      <c r="G14" s="1087">
        <f t="shared" si="15"/>
        <v>0</v>
      </c>
      <c r="H14" s="1147">
        <f t="shared" si="18"/>
        <v>0</v>
      </c>
      <c r="I14" s="1087">
        <f t="shared" si="19"/>
        <v>0</v>
      </c>
      <c r="J14" s="1087"/>
      <c r="K14" s="1087">
        <f t="shared" si="20"/>
        <v>0</v>
      </c>
      <c r="L14" s="1087">
        <f t="shared" si="21"/>
        <v>0</v>
      </c>
      <c r="M14" s="1086">
        <f>'[8]FY2012-13 Initial'!$K15</f>
        <v>4234</v>
      </c>
      <c r="N14" s="1088">
        <f t="shared" si="16"/>
        <v>0</v>
      </c>
      <c r="O14" s="1155">
        <f t="shared" si="22"/>
        <v>0</v>
      </c>
      <c r="P14" s="1088">
        <f t="shared" si="23"/>
        <v>0</v>
      </c>
      <c r="Q14" s="1088"/>
      <c r="R14" s="1088">
        <f t="shared" si="24"/>
        <v>0</v>
      </c>
      <c r="S14" s="1088">
        <f t="shared" si="25"/>
        <v>0</v>
      </c>
      <c r="T14" s="1089">
        <f t="shared" si="26"/>
        <v>0</v>
      </c>
      <c r="U14" s="1089">
        <f t="shared" si="27"/>
        <v>0</v>
      </c>
    </row>
    <row r="15" spans="1:21">
      <c r="A15" s="1028">
        <v>9</v>
      </c>
      <c r="B15" s="1029" t="s">
        <v>110</v>
      </c>
      <c r="C15" s="1030">
        <f>'Table 8 2.1.12 MFP Funded'!R12</f>
        <v>0</v>
      </c>
      <c r="D15" s="1031">
        <f>'Table 3 Levels 1&amp;2'!AL16</f>
        <v>4268.3217271902904</v>
      </c>
      <c r="E15" s="1137">
        <f t="shared" si="14"/>
        <v>0</v>
      </c>
      <c r="F15" s="1137">
        <f t="shared" si="17"/>
        <v>0</v>
      </c>
      <c r="G15" s="1087">
        <f t="shared" si="15"/>
        <v>0</v>
      </c>
      <c r="H15" s="1147">
        <f t="shared" si="18"/>
        <v>0</v>
      </c>
      <c r="I15" s="1087">
        <f t="shared" si="19"/>
        <v>0</v>
      </c>
      <c r="J15" s="1087"/>
      <c r="K15" s="1087">
        <f t="shared" si="20"/>
        <v>0</v>
      </c>
      <c r="L15" s="1087">
        <f t="shared" si="21"/>
        <v>0</v>
      </c>
      <c r="M15" s="1086">
        <f>'[8]FY2012-13 Initial'!$K16</f>
        <v>4539</v>
      </c>
      <c r="N15" s="1088">
        <f t="shared" si="16"/>
        <v>0</v>
      </c>
      <c r="O15" s="1155">
        <f t="shared" si="22"/>
        <v>0</v>
      </c>
      <c r="P15" s="1088">
        <f t="shared" si="23"/>
        <v>0</v>
      </c>
      <c r="Q15" s="1088"/>
      <c r="R15" s="1088">
        <f t="shared" si="24"/>
        <v>0</v>
      </c>
      <c r="S15" s="1088">
        <f t="shared" si="25"/>
        <v>0</v>
      </c>
      <c r="T15" s="1089">
        <f t="shared" si="26"/>
        <v>0</v>
      </c>
      <c r="U15" s="1089">
        <f t="shared" si="27"/>
        <v>0</v>
      </c>
    </row>
    <row r="16" spans="1:21">
      <c r="A16" s="1032">
        <v>10</v>
      </c>
      <c r="B16" s="1033" t="s">
        <v>111</v>
      </c>
      <c r="C16" s="1034">
        <f>'Table 8 2.1.12 MFP Funded'!R13</f>
        <v>0</v>
      </c>
      <c r="D16" s="1035">
        <f>'Table 3 Levels 1&amp;2'!AL17</f>
        <v>4300.0681374076885</v>
      </c>
      <c r="E16" s="1138">
        <f t="shared" si="14"/>
        <v>0</v>
      </c>
      <c r="F16" s="1138">
        <f t="shared" si="17"/>
        <v>0</v>
      </c>
      <c r="G16" s="1090">
        <f t="shared" si="15"/>
        <v>0</v>
      </c>
      <c r="H16" s="1148">
        <f t="shared" si="18"/>
        <v>0</v>
      </c>
      <c r="I16" s="1090">
        <f t="shared" si="19"/>
        <v>0</v>
      </c>
      <c r="J16" s="1090"/>
      <c r="K16" s="1090">
        <f t="shared" si="20"/>
        <v>0</v>
      </c>
      <c r="L16" s="1090">
        <f t="shared" si="21"/>
        <v>0</v>
      </c>
      <c r="M16" s="1091">
        <f>'[8]FY2012-13 Initial'!$K17</f>
        <v>4312</v>
      </c>
      <c r="N16" s="1092">
        <f t="shared" si="16"/>
        <v>0</v>
      </c>
      <c r="O16" s="1156">
        <f t="shared" si="22"/>
        <v>0</v>
      </c>
      <c r="P16" s="1092">
        <f t="shared" si="23"/>
        <v>0</v>
      </c>
      <c r="Q16" s="1092"/>
      <c r="R16" s="1092">
        <f t="shared" si="24"/>
        <v>0</v>
      </c>
      <c r="S16" s="1092">
        <f t="shared" si="25"/>
        <v>0</v>
      </c>
      <c r="T16" s="1093">
        <f t="shared" si="26"/>
        <v>0</v>
      </c>
      <c r="U16" s="1093">
        <f t="shared" si="27"/>
        <v>0</v>
      </c>
    </row>
    <row r="17" spans="1:21">
      <c r="A17" s="1021">
        <v>11</v>
      </c>
      <c r="B17" s="1022" t="s">
        <v>112</v>
      </c>
      <c r="C17" s="1023">
        <f>'Table 8 2.1.12 MFP Funded'!R14</f>
        <v>0</v>
      </c>
      <c r="D17" s="1024">
        <f>'Table 3 Levels 1&amp;2'!AL18</f>
        <v>6740.2393955908683</v>
      </c>
      <c r="E17" s="1136">
        <f t="shared" si="14"/>
        <v>0</v>
      </c>
      <c r="F17" s="1136">
        <f t="shared" si="17"/>
        <v>0</v>
      </c>
      <c r="G17" s="1025">
        <f t="shared" si="15"/>
        <v>0</v>
      </c>
      <c r="H17" s="1146">
        <f t="shared" si="18"/>
        <v>0</v>
      </c>
      <c r="I17" s="1025">
        <f t="shared" si="19"/>
        <v>0</v>
      </c>
      <c r="J17" s="1025"/>
      <c r="K17" s="1025">
        <f t="shared" si="20"/>
        <v>0</v>
      </c>
      <c r="L17" s="1025">
        <f t="shared" si="21"/>
        <v>0</v>
      </c>
      <c r="M17" s="1086">
        <f>'[8]FY2012-13 Initial'!$K18</f>
        <v>3004</v>
      </c>
      <c r="N17" s="1026">
        <f t="shared" si="16"/>
        <v>0</v>
      </c>
      <c r="O17" s="1154">
        <f t="shared" si="22"/>
        <v>0</v>
      </c>
      <c r="P17" s="1026">
        <f t="shared" si="23"/>
        <v>0</v>
      </c>
      <c r="Q17" s="1026"/>
      <c r="R17" s="1026">
        <f t="shared" si="24"/>
        <v>0</v>
      </c>
      <c r="S17" s="1026">
        <f t="shared" si="25"/>
        <v>0</v>
      </c>
      <c r="T17" s="1027">
        <f t="shared" si="26"/>
        <v>0</v>
      </c>
      <c r="U17" s="1027">
        <f t="shared" si="27"/>
        <v>0</v>
      </c>
    </row>
    <row r="18" spans="1:21">
      <c r="A18" s="1028">
        <v>12</v>
      </c>
      <c r="B18" s="1029" t="s">
        <v>113</v>
      </c>
      <c r="C18" s="1030">
        <f>'Table 8 2.1.12 MFP Funded'!R15</f>
        <v>0</v>
      </c>
      <c r="D18" s="1031">
        <f>'Table 3 Levels 1&amp;2'!AL19</f>
        <v>1781.2877551020408</v>
      </c>
      <c r="E18" s="1137">
        <f t="shared" si="14"/>
        <v>0</v>
      </c>
      <c r="F18" s="1137">
        <f t="shared" si="17"/>
        <v>0</v>
      </c>
      <c r="G18" s="1087">
        <f t="shared" si="15"/>
        <v>0</v>
      </c>
      <c r="H18" s="1147">
        <f t="shared" si="18"/>
        <v>0</v>
      </c>
      <c r="I18" s="1087">
        <f t="shared" si="19"/>
        <v>0</v>
      </c>
      <c r="J18" s="1087"/>
      <c r="K18" s="1087">
        <f t="shared" si="20"/>
        <v>0</v>
      </c>
      <c r="L18" s="1087">
        <f t="shared" si="21"/>
        <v>0</v>
      </c>
      <c r="M18" s="1086">
        <f>'[8]FY2012-13 Initial'!$K19</f>
        <v>12439</v>
      </c>
      <c r="N18" s="1088">
        <f t="shared" si="16"/>
        <v>0</v>
      </c>
      <c r="O18" s="1155">
        <f t="shared" si="22"/>
        <v>0</v>
      </c>
      <c r="P18" s="1088">
        <f t="shared" si="23"/>
        <v>0</v>
      </c>
      <c r="Q18" s="1088"/>
      <c r="R18" s="1088">
        <f t="shared" si="24"/>
        <v>0</v>
      </c>
      <c r="S18" s="1088">
        <f t="shared" si="25"/>
        <v>0</v>
      </c>
      <c r="T18" s="1089">
        <f t="shared" si="26"/>
        <v>0</v>
      </c>
      <c r="U18" s="1089">
        <f t="shared" si="27"/>
        <v>0</v>
      </c>
    </row>
    <row r="19" spans="1:21">
      <c r="A19" s="1028">
        <v>13</v>
      </c>
      <c r="B19" s="1029" t="s">
        <v>114</v>
      </c>
      <c r="C19" s="1030">
        <f>'Table 8 2.1.12 MFP Funded'!R16</f>
        <v>0</v>
      </c>
      <c r="D19" s="1031">
        <f>'Table 3 Levels 1&amp;2'!AL20</f>
        <v>6125.5331903699798</v>
      </c>
      <c r="E19" s="1137">
        <f t="shared" si="14"/>
        <v>0</v>
      </c>
      <c r="F19" s="1137">
        <f t="shared" si="17"/>
        <v>0</v>
      </c>
      <c r="G19" s="1087">
        <f t="shared" si="15"/>
        <v>0</v>
      </c>
      <c r="H19" s="1147">
        <f t="shared" si="18"/>
        <v>0</v>
      </c>
      <c r="I19" s="1087">
        <f t="shared" si="19"/>
        <v>0</v>
      </c>
      <c r="J19" s="1087"/>
      <c r="K19" s="1087">
        <f t="shared" si="20"/>
        <v>0</v>
      </c>
      <c r="L19" s="1087">
        <f t="shared" si="21"/>
        <v>0</v>
      </c>
      <c r="M19" s="1086">
        <f>'[8]FY2012-13 Initial'!$K20</f>
        <v>2518</v>
      </c>
      <c r="N19" s="1088">
        <f t="shared" si="16"/>
        <v>0</v>
      </c>
      <c r="O19" s="1155">
        <f t="shared" si="22"/>
        <v>0</v>
      </c>
      <c r="P19" s="1088">
        <f t="shared" si="23"/>
        <v>0</v>
      </c>
      <c r="Q19" s="1088"/>
      <c r="R19" s="1088">
        <f t="shared" si="24"/>
        <v>0</v>
      </c>
      <c r="S19" s="1088">
        <f t="shared" si="25"/>
        <v>0</v>
      </c>
      <c r="T19" s="1089">
        <f t="shared" si="26"/>
        <v>0</v>
      </c>
      <c r="U19" s="1089">
        <f t="shared" si="27"/>
        <v>0</v>
      </c>
    </row>
    <row r="20" spans="1:21" ht="12.75" customHeight="1">
      <c r="A20" s="1028">
        <v>14</v>
      </c>
      <c r="B20" s="1029" t="s">
        <v>115</v>
      </c>
      <c r="C20" s="1030">
        <f>'Table 8 2.1.12 MFP Funded'!R17</f>
        <v>0</v>
      </c>
      <c r="D20" s="1031">
        <f>'Table 3 Levels 1&amp;2'!AL21</f>
        <v>5278.0936993421856</v>
      </c>
      <c r="E20" s="1137">
        <f t="shared" si="14"/>
        <v>0</v>
      </c>
      <c r="F20" s="1137">
        <f t="shared" si="17"/>
        <v>0</v>
      </c>
      <c r="G20" s="1087">
        <f t="shared" si="15"/>
        <v>0</v>
      </c>
      <c r="H20" s="1147">
        <f t="shared" si="18"/>
        <v>0</v>
      </c>
      <c r="I20" s="1087">
        <f t="shared" si="19"/>
        <v>0</v>
      </c>
      <c r="J20" s="1087"/>
      <c r="K20" s="1087">
        <f t="shared" si="20"/>
        <v>0</v>
      </c>
      <c r="L20" s="1087">
        <f t="shared" si="21"/>
        <v>0</v>
      </c>
      <c r="M20" s="1086">
        <f>'[8]FY2012-13 Initial'!$K21</f>
        <v>3605</v>
      </c>
      <c r="N20" s="1088">
        <f t="shared" si="16"/>
        <v>0</v>
      </c>
      <c r="O20" s="1155">
        <f t="shared" si="22"/>
        <v>0</v>
      </c>
      <c r="P20" s="1088">
        <f t="shared" si="23"/>
        <v>0</v>
      </c>
      <c r="Q20" s="1088"/>
      <c r="R20" s="1088">
        <f t="shared" si="24"/>
        <v>0</v>
      </c>
      <c r="S20" s="1088">
        <f t="shared" si="25"/>
        <v>0</v>
      </c>
      <c r="T20" s="1089">
        <f t="shared" si="26"/>
        <v>0</v>
      </c>
      <c r="U20" s="1089">
        <f t="shared" si="27"/>
        <v>0</v>
      </c>
    </row>
    <row r="21" spans="1:21">
      <c r="A21" s="1032">
        <v>15</v>
      </c>
      <c r="B21" s="1033" t="s">
        <v>116</v>
      </c>
      <c r="C21" s="1034">
        <f>'Table 8 2.1.12 MFP Funded'!R18</f>
        <v>0</v>
      </c>
      <c r="D21" s="1035">
        <f>'Table 3 Levels 1&amp;2'!AL22</f>
        <v>5428.9842692179664</v>
      </c>
      <c r="E21" s="1138">
        <f t="shared" si="14"/>
        <v>0</v>
      </c>
      <c r="F21" s="1138">
        <f t="shared" si="17"/>
        <v>0</v>
      </c>
      <c r="G21" s="1090">
        <f t="shared" si="15"/>
        <v>0</v>
      </c>
      <c r="H21" s="1148">
        <f t="shared" si="18"/>
        <v>0</v>
      </c>
      <c r="I21" s="1090">
        <f t="shared" si="19"/>
        <v>0</v>
      </c>
      <c r="J21" s="1090"/>
      <c r="K21" s="1090">
        <f t="shared" si="20"/>
        <v>0</v>
      </c>
      <c r="L21" s="1090">
        <f t="shared" si="21"/>
        <v>0</v>
      </c>
      <c r="M21" s="1091">
        <f>'[8]FY2012-13 Initial'!$K22</f>
        <v>2614</v>
      </c>
      <c r="N21" s="1092">
        <f t="shared" si="16"/>
        <v>0</v>
      </c>
      <c r="O21" s="1156">
        <f t="shared" si="22"/>
        <v>0</v>
      </c>
      <c r="P21" s="1092">
        <f t="shared" si="23"/>
        <v>0</v>
      </c>
      <c r="Q21" s="1092"/>
      <c r="R21" s="1092">
        <f t="shared" si="24"/>
        <v>0</v>
      </c>
      <c r="S21" s="1092">
        <f t="shared" si="25"/>
        <v>0</v>
      </c>
      <c r="T21" s="1093">
        <f t="shared" si="26"/>
        <v>0</v>
      </c>
      <c r="U21" s="1093">
        <f t="shared" si="27"/>
        <v>0</v>
      </c>
    </row>
    <row r="22" spans="1:21">
      <c r="A22" s="1021">
        <v>16</v>
      </c>
      <c r="B22" s="1022" t="s">
        <v>117</v>
      </c>
      <c r="C22" s="1023">
        <f>'Table 8 2.1.12 MFP Funded'!R19</f>
        <v>0</v>
      </c>
      <c r="D22" s="1024">
        <f>'Table 3 Levels 1&amp;2'!AL23</f>
        <v>1501.2470754125757</v>
      </c>
      <c r="E22" s="1136">
        <f t="shared" si="14"/>
        <v>0</v>
      </c>
      <c r="F22" s="1136">
        <f t="shared" si="17"/>
        <v>0</v>
      </c>
      <c r="G22" s="1025">
        <f t="shared" si="15"/>
        <v>0</v>
      </c>
      <c r="H22" s="1146">
        <f t="shared" si="18"/>
        <v>0</v>
      </c>
      <c r="I22" s="1025">
        <f t="shared" si="19"/>
        <v>0</v>
      </c>
      <c r="J22" s="1025"/>
      <c r="K22" s="1025">
        <f t="shared" si="20"/>
        <v>0</v>
      </c>
      <c r="L22" s="1025">
        <f t="shared" si="21"/>
        <v>0</v>
      </c>
      <c r="M22" s="1086">
        <f>'[8]FY2012-13 Initial'!$K23</f>
        <v>16006</v>
      </c>
      <c r="N22" s="1026">
        <f t="shared" si="16"/>
        <v>0</v>
      </c>
      <c r="O22" s="1154">
        <f t="shared" si="22"/>
        <v>0</v>
      </c>
      <c r="P22" s="1026">
        <f t="shared" si="23"/>
        <v>0</v>
      </c>
      <c r="Q22" s="1026"/>
      <c r="R22" s="1026">
        <f t="shared" si="24"/>
        <v>0</v>
      </c>
      <c r="S22" s="1026">
        <f t="shared" si="25"/>
        <v>0</v>
      </c>
      <c r="T22" s="1027">
        <f t="shared" si="26"/>
        <v>0</v>
      </c>
      <c r="U22" s="1027">
        <f t="shared" si="27"/>
        <v>0</v>
      </c>
    </row>
    <row r="23" spans="1:21">
      <c r="A23" s="1028">
        <v>17</v>
      </c>
      <c r="B23" s="1029" t="s">
        <v>118</v>
      </c>
      <c r="C23" s="1030">
        <f>'Table 8 2.1.12 MFP Funded'!R20</f>
        <v>0</v>
      </c>
      <c r="D23" s="1031">
        <f>'Table 3 Levels 1&amp;2'!AL24</f>
        <v>3386.5716964570697</v>
      </c>
      <c r="E23" s="1137">
        <f t="shared" si="14"/>
        <v>0</v>
      </c>
      <c r="F23" s="1137">
        <f t="shared" si="17"/>
        <v>0</v>
      </c>
      <c r="G23" s="1087">
        <f t="shared" si="15"/>
        <v>0</v>
      </c>
      <c r="H23" s="1147">
        <f t="shared" si="18"/>
        <v>0</v>
      </c>
      <c r="I23" s="1087">
        <f t="shared" si="19"/>
        <v>0</v>
      </c>
      <c r="J23" s="1087"/>
      <c r="K23" s="1087">
        <f t="shared" si="20"/>
        <v>0</v>
      </c>
      <c r="L23" s="1087">
        <f t="shared" si="21"/>
        <v>0</v>
      </c>
      <c r="M23" s="1086">
        <f>'[8]FY2012-13 Initial'!$K24</f>
        <v>6493</v>
      </c>
      <c r="N23" s="1088">
        <f t="shared" si="16"/>
        <v>0</v>
      </c>
      <c r="O23" s="1155">
        <f t="shared" si="22"/>
        <v>0</v>
      </c>
      <c r="P23" s="1088">
        <f t="shared" si="23"/>
        <v>0</v>
      </c>
      <c r="Q23" s="1088"/>
      <c r="R23" s="1088">
        <f t="shared" si="24"/>
        <v>0</v>
      </c>
      <c r="S23" s="1088">
        <f t="shared" si="25"/>
        <v>0</v>
      </c>
      <c r="T23" s="1089">
        <f t="shared" si="26"/>
        <v>0</v>
      </c>
      <c r="U23" s="1089">
        <f t="shared" si="27"/>
        <v>0</v>
      </c>
    </row>
    <row r="24" spans="1:21">
      <c r="A24" s="1028">
        <v>18</v>
      </c>
      <c r="B24" s="1029" t="s">
        <v>119</v>
      </c>
      <c r="C24" s="1030">
        <f>'Table 8 2.1.12 MFP Funded'!R21</f>
        <v>0</v>
      </c>
      <c r="D24" s="1031">
        <f>'Table 3 Levels 1&amp;2'!AL25</f>
        <v>5798.0598063231446</v>
      </c>
      <c r="E24" s="1137">
        <f t="shared" si="14"/>
        <v>0</v>
      </c>
      <c r="F24" s="1137">
        <f t="shared" si="17"/>
        <v>0</v>
      </c>
      <c r="G24" s="1087">
        <f t="shared" si="15"/>
        <v>0</v>
      </c>
      <c r="H24" s="1147">
        <f t="shared" si="18"/>
        <v>0</v>
      </c>
      <c r="I24" s="1087">
        <f t="shared" si="19"/>
        <v>0</v>
      </c>
      <c r="J24" s="1087"/>
      <c r="K24" s="1087">
        <f t="shared" si="20"/>
        <v>0</v>
      </c>
      <c r="L24" s="1087">
        <f t="shared" si="21"/>
        <v>0</v>
      </c>
      <c r="M24" s="1086">
        <f>'[8]FY2012-13 Initial'!$K25</f>
        <v>2088</v>
      </c>
      <c r="N24" s="1088">
        <f t="shared" si="16"/>
        <v>0</v>
      </c>
      <c r="O24" s="1155">
        <f t="shared" si="22"/>
        <v>0</v>
      </c>
      <c r="P24" s="1088">
        <f t="shared" si="23"/>
        <v>0</v>
      </c>
      <c r="Q24" s="1088"/>
      <c r="R24" s="1088">
        <f t="shared" si="24"/>
        <v>0</v>
      </c>
      <c r="S24" s="1088">
        <f t="shared" si="25"/>
        <v>0</v>
      </c>
      <c r="T24" s="1089">
        <f t="shared" si="26"/>
        <v>0</v>
      </c>
      <c r="U24" s="1089">
        <f t="shared" si="27"/>
        <v>0</v>
      </c>
    </row>
    <row r="25" spans="1:21">
      <c r="A25" s="1028">
        <v>19</v>
      </c>
      <c r="B25" s="1029" t="s">
        <v>120</v>
      </c>
      <c r="C25" s="1030">
        <f>'Table 8 2.1.12 MFP Funded'!R22</f>
        <v>0</v>
      </c>
      <c r="D25" s="1031">
        <f>'Table 3 Levels 1&amp;2'!AL26</f>
        <v>5219.1012787873206</v>
      </c>
      <c r="E25" s="1137">
        <f t="shared" si="14"/>
        <v>0</v>
      </c>
      <c r="F25" s="1137">
        <f t="shared" si="17"/>
        <v>0</v>
      </c>
      <c r="G25" s="1087">
        <f t="shared" si="15"/>
        <v>0</v>
      </c>
      <c r="H25" s="1147">
        <f t="shared" si="18"/>
        <v>0</v>
      </c>
      <c r="I25" s="1087">
        <f t="shared" si="19"/>
        <v>0</v>
      </c>
      <c r="J25" s="1087"/>
      <c r="K25" s="1087">
        <f t="shared" si="20"/>
        <v>0</v>
      </c>
      <c r="L25" s="1087">
        <f t="shared" si="21"/>
        <v>0</v>
      </c>
      <c r="M25" s="1086">
        <f>'[8]FY2012-13 Initial'!$K26</f>
        <v>2275</v>
      </c>
      <c r="N25" s="1088">
        <f t="shared" si="16"/>
        <v>0</v>
      </c>
      <c r="O25" s="1155">
        <f t="shared" si="22"/>
        <v>0</v>
      </c>
      <c r="P25" s="1088">
        <f t="shared" si="23"/>
        <v>0</v>
      </c>
      <c r="Q25" s="1088"/>
      <c r="R25" s="1088">
        <f t="shared" si="24"/>
        <v>0</v>
      </c>
      <c r="S25" s="1088">
        <f t="shared" si="25"/>
        <v>0</v>
      </c>
      <c r="T25" s="1089">
        <f t="shared" si="26"/>
        <v>0</v>
      </c>
      <c r="U25" s="1089">
        <f t="shared" si="27"/>
        <v>0</v>
      </c>
    </row>
    <row r="26" spans="1:21">
      <c r="A26" s="1032">
        <v>20</v>
      </c>
      <c r="B26" s="1033" t="s">
        <v>121</v>
      </c>
      <c r="C26" s="1034">
        <f>'Table 8 2.1.12 MFP Funded'!R23</f>
        <v>0</v>
      </c>
      <c r="D26" s="1035">
        <f>'Table 3 Levels 1&amp;2'!AL27</f>
        <v>5441.7799844976798</v>
      </c>
      <c r="E26" s="1138">
        <f t="shared" si="14"/>
        <v>0</v>
      </c>
      <c r="F26" s="1138">
        <f t="shared" si="17"/>
        <v>0</v>
      </c>
      <c r="G26" s="1090">
        <f t="shared" si="15"/>
        <v>0</v>
      </c>
      <c r="H26" s="1148">
        <f t="shared" si="18"/>
        <v>0</v>
      </c>
      <c r="I26" s="1090">
        <f t="shared" si="19"/>
        <v>0</v>
      </c>
      <c r="J26" s="1090"/>
      <c r="K26" s="1090">
        <f t="shared" si="20"/>
        <v>0</v>
      </c>
      <c r="L26" s="1090">
        <f t="shared" si="21"/>
        <v>0</v>
      </c>
      <c r="M26" s="1091">
        <f>'[8]FY2012-13 Initial'!$K27</f>
        <v>2308</v>
      </c>
      <c r="N26" s="1092">
        <f t="shared" si="16"/>
        <v>0</v>
      </c>
      <c r="O26" s="1156">
        <f t="shared" si="22"/>
        <v>0</v>
      </c>
      <c r="P26" s="1092">
        <f t="shared" si="23"/>
        <v>0</v>
      </c>
      <c r="Q26" s="1092"/>
      <c r="R26" s="1092">
        <f t="shared" si="24"/>
        <v>0</v>
      </c>
      <c r="S26" s="1092">
        <f t="shared" si="25"/>
        <v>0</v>
      </c>
      <c r="T26" s="1093">
        <f t="shared" si="26"/>
        <v>0</v>
      </c>
      <c r="U26" s="1093">
        <f t="shared" si="27"/>
        <v>0</v>
      </c>
    </row>
    <row r="27" spans="1:21">
      <c r="A27" s="1021">
        <v>21</v>
      </c>
      <c r="B27" s="1022" t="s">
        <v>122</v>
      </c>
      <c r="C27" s="1023">
        <f>'Table 8 2.1.12 MFP Funded'!R24</f>
        <v>0</v>
      </c>
      <c r="D27" s="1024">
        <f>'Table 3 Levels 1&amp;2'!AL28</f>
        <v>5718.7800910915075</v>
      </c>
      <c r="E27" s="1136">
        <f t="shared" si="14"/>
        <v>0</v>
      </c>
      <c r="F27" s="1136">
        <f t="shared" si="17"/>
        <v>0</v>
      </c>
      <c r="G27" s="1025">
        <f t="shared" si="15"/>
        <v>0</v>
      </c>
      <c r="H27" s="1146">
        <f t="shared" si="18"/>
        <v>0</v>
      </c>
      <c r="I27" s="1025">
        <f t="shared" si="19"/>
        <v>0</v>
      </c>
      <c r="J27" s="1025"/>
      <c r="K27" s="1025">
        <f t="shared" si="20"/>
        <v>0</v>
      </c>
      <c r="L27" s="1025">
        <f t="shared" si="21"/>
        <v>0</v>
      </c>
      <c r="M27" s="1086">
        <f>'[8]FY2012-13 Initial'!$K28</f>
        <v>2245</v>
      </c>
      <c r="N27" s="1026">
        <f t="shared" si="16"/>
        <v>0</v>
      </c>
      <c r="O27" s="1154">
        <f t="shared" si="22"/>
        <v>0</v>
      </c>
      <c r="P27" s="1026">
        <f t="shared" si="23"/>
        <v>0</v>
      </c>
      <c r="Q27" s="1026"/>
      <c r="R27" s="1026">
        <f t="shared" si="24"/>
        <v>0</v>
      </c>
      <c r="S27" s="1026">
        <f t="shared" si="25"/>
        <v>0</v>
      </c>
      <c r="T27" s="1027">
        <f t="shared" si="26"/>
        <v>0</v>
      </c>
      <c r="U27" s="1027">
        <f t="shared" si="27"/>
        <v>0</v>
      </c>
    </row>
    <row r="28" spans="1:21">
      <c r="A28" s="1028">
        <v>22</v>
      </c>
      <c r="B28" s="1029" t="s">
        <v>123</v>
      </c>
      <c r="C28" s="1030">
        <f>'Table 8 2.1.12 MFP Funded'!R25</f>
        <v>0</v>
      </c>
      <c r="D28" s="1031">
        <f>'Table 3 Levels 1&amp;2'!AL29</f>
        <v>6198.830003500153</v>
      </c>
      <c r="E28" s="1137">
        <f t="shared" si="14"/>
        <v>0</v>
      </c>
      <c r="F28" s="1137">
        <f t="shared" si="17"/>
        <v>0</v>
      </c>
      <c r="G28" s="1087">
        <f t="shared" si="15"/>
        <v>0</v>
      </c>
      <c r="H28" s="1147">
        <f t="shared" si="18"/>
        <v>0</v>
      </c>
      <c r="I28" s="1087">
        <f t="shared" si="19"/>
        <v>0</v>
      </c>
      <c r="J28" s="1087"/>
      <c r="K28" s="1087">
        <f t="shared" si="20"/>
        <v>0</v>
      </c>
      <c r="L28" s="1087">
        <f t="shared" si="21"/>
        <v>0</v>
      </c>
      <c r="M28" s="1086">
        <f>'[8]FY2012-13 Initial'!$K29</f>
        <v>1445</v>
      </c>
      <c r="N28" s="1088">
        <f t="shared" si="16"/>
        <v>0</v>
      </c>
      <c r="O28" s="1155">
        <f t="shared" si="22"/>
        <v>0</v>
      </c>
      <c r="P28" s="1088">
        <f t="shared" si="23"/>
        <v>0</v>
      </c>
      <c r="Q28" s="1088"/>
      <c r="R28" s="1088">
        <f t="shared" si="24"/>
        <v>0</v>
      </c>
      <c r="S28" s="1088">
        <f t="shared" si="25"/>
        <v>0</v>
      </c>
      <c r="T28" s="1089">
        <f t="shared" si="26"/>
        <v>0</v>
      </c>
      <c r="U28" s="1089">
        <f t="shared" si="27"/>
        <v>0</v>
      </c>
    </row>
    <row r="29" spans="1:21">
      <c r="A29" s="1028">
        <v>23</v>
      </c>
      <c r="B29" s="1029" t="s">
        <v>124</v>
      </c>
      <c r="C29" s="1030">
        <f>'Table 8 2.1.12 MFP Funded'!R26</f>
        <v>0</v>
      </c>
      <c r="D29" s="1031">
        <f>'Table 3 Levels 1&amp;2'!AL30</f>
        <v>4809.0299298140199</v>
      </c>
      <c r="E29" s="1137">
        <f t="shared" si="14"/>
        <v>0</v>
      </c>
      <c r="F29" s="1137">
        <f t="shared" si="17"/>
        <v>0</v>
      </c>
      <c r="G29" s="1087">
        <f t="shared" si="15"/>
        <v>0</v>
      </c>
      <c r="H29" s="1147">
        <f t="shared" si="18"/>
        <v>0</v>
      </c>
      <c r="I29" s="1087">
        <f t="shared" si="19"/>
        <v>0</v>
      </c>
      <c r="J29" s="1087"/>
      <c r="K29" s="1087">
        <f t="shared" si="20"/>
        <v>0</v>
      </c>
      <c r="L29" s="1087">
        <f t="shared" si="21"/>
        <v>0</v>
      </c>
      <c r="M29" s="1086">
        <f>'[8]FY2012-13 Initial'!$K30</f>
        <v>3295</v>
      </c>
      <c r="N29" s="1088">
        <f t="shared" si="16"/>
        <v>0</v>
      </c>
      <c r="O29" s="1155">
        <f t="shared" si="22"/>
        <v>0</v>
      </c>
      <c r="P29" s="1088">
        <f t="shared" si="23"/>
        <v>0</v>
      </c>
      <c r="Q29" s="1088"/>
      <c r="R29" s="1088">
        <f t="shared" si="24"/>
        <v>0</v>
      </c>
      <c r="S29" s="1088">
        <f t="shared" si="25"/>
        <v>0</v>
      </c>
      <c r="T29" s="1089">
        <f t="shared" si="26"/>
        <v>0</v>
      </c>
      <c r="U29" s="1089">
        <f t="shared" si="27"/>
        <v>0</v>
      </c>
    </row>
    <row r="30" spans="1:21">
      <c r="A30" s="1028">
        <v>24</v>
      </c>
      <c r="B30" s="1029" t="s">
        <v>125</v>
      </c>
      <c r="C30" s="1030">
        <f>'Table 8 2.1.12 MFP Funded'!R27</f>
        <v>0</v>
      </c>
      <c r="D30" s="1031">
        <f>'Table 3 Levels 1&amp;2'!AL31</f>
        <v>2649.7787452556372</v>
      </c>
      <c r="E30" s="1137">
        <f t="shared" si="14"/>
        <v>0</v>
      </c>
      <c r="F30" s="1137">
        <f t="shared" si="17"/>
        <v>0</v>
      </c>
      <c r="G30" s="1087">
        <f t="shared" si="15"/>
        <v>0</v>
      </c>
      <c r="H30" s="1147">
        <f t="shared" si="18"/>
        <v>0</v>
      </c>
      <c r="I30" s="1087">
        <f t="shared" si="19"/>
        <v>0</v>
      </c>
      <c r="J30" s="1087"/>
      <c r="K30" s="1087">
        <f t="shared" si="20"/>
        <v>0</v>
      </c>
      <c r="L30" s="1087">
        <f t="shared" si="21"/>
        <v>0</v>
      </c>
      <c r="M30" s="1086">
        <f>'[8]FY2012-13 Initial'!$K31</f>
        <v>8769</v>
      </c>
      <c r="N30" s="1088">
        <f t="shared" si="16"/>
        <v>0</v>
      </c>
      <c r="O30" s="1155">
        <f t="shared" si="22"/>
        <v>0</v>
      </c>
      <c r="P30" s="1088">
        <f t="shared" si="23"/>
        <v>0</v>
      </c>
      <c r="Q30" s="1088"/>
      <c r="R30" s="1088">
        <f t="shared" si="24"/>
        <v>0</v>
      </c>
      <c r="S30" s="1088">
        <f t="shared" si="25"/>
        <v>0</v>
      </c>
      <c r="T30" s="1089">
        <f t="shared" si="26"/>
        <v>0</v>
      </c>
      <c r="U30" s="1089">
        <f t="shared" si="27"/>
        <v>0</v>
      </c>
    </row>
    <row r="31" spans="1:21">
      <c r="A31" s="1032">
        <v>25</v>
      </c>
      <c r="B31" s="1033" t="s">
        <v>126</v>
      </c>
      <c r="C31" s="1034">
        <f>'Table 8 2.1.12 MFP Funded'!R28</f>
        <v>0</v>
      </c>
      <c r="D31" s="1035">
        <f>'Table 3 Levels 1&amp;2'!AL32</f>
        <v>3848.3923674564248</v>
      </c>
      <c r="E31" s="1138">
        <f t="shared" si="14"/>
        <v>0</v>
      </c>
      <c r="F31" s="1138">
        <f t="shared" si="17"/>
        <v>0</v>
      </c>
      <c r="G31" s="1090">
        <f t="shared" si="15"/>
        <v>0</v>
      </c>
      <c r="H31" s="1148">
        <f t="shared" si="18"/>
        <v>0</v>
      </c>
      <c r="I31" s="1090">
        <f t="shared" si="19"/>
        <v>0</v>
      </c>
      <c r="J31" s="1090"/>
      <c r="K31" s="1090">
        <f t="shared" si="20"/>
        <v>0</v>
      </c>
      <c r="L31" s="1090">
        <f t="shared" si="21"/>
        <v>0</v>
      </c>
      <c r="M31" s="1091">
        <f>'[8]FY2012-13 Initial'!$K32</f>
        <v>5187</v>
      </c>
      <c r="N31" s="1092">
        <f t="shared" si="16"/>
        <v>0</v>
      </c>
      <c r="O31" s="1156">
        <f t="shared" si="22"/>
        <v>0</v>
      </c>
      <c r="P31" s="1092">
        <f t="shared" si="23"/>
        <v>0</v>
      </c>
      <c r="Q31" s="1092"/>
      <c r="R31" s="1092">
        <f t="shared" si="24"/>
        <v>0</v>
      </c>
      <c r="S31" s="1092">
        <f t="shared" si="25"/>
        <v>0</v>
      </c>
      <c r="T31" s="1093">
        <f t="shared" si="26"/>
        <v>0</v>
      </c>
      <c r="U31" s="1093">
        <f t="shared" si="27"/>
        <v>0</v>
      </c>
    </row>
    <row r="32" spans="1:21">
      <c r="A32" s="1021">
        <v>26</v>
      </c>
      <c r="B32" s="1022" t="s">
        <v>127</v>
      </c>
      <c r="C32" s="1023">
        <f>'Table 8 2.1.12 MFP Funded'!R29</f>
        <v>0</v>
      </c>
      <c r="D32" s="1024">
        <f>'Table 3 Levels 1&amp;2'!AL33</f>
        <v>3145.9192082835102</v>
      </c>
      <c r="E32" s="1136">
        <f t="shared" si="14"/>
        <v>0</v>
      </c>
      <c r="F32" s="1136">
        <f t="shared" si="17"/>
        <v>0</v>
      </c>
      <c r="G32" s="1025">
        <f t="shared" si="15"/>
        <v>0</v>
      </c>
      <c r="H32" s="1146">
        <f t="shared" si="18"/>
        <v>0</v>
      </c>
      <c r="I32" s="1025">
        <f t="shared" si="19"/>
        <v>0</v>
      </c>
      <c r="J32" s="1025"/>
      <c r="K32" s="1025">
        <f t="shared" si="20"/>
        <v>0</v>
      </c>
      <c r="L32" s="1025">
        <f t="shared" si="21"/>
        <v>0</v>
      </c>
      <c r="M32" s="1086">
        <f>'[8]FY2012-13 Initial'!$K33</f>
        <v>5197</v>
      </c>
      <c r="N32" s="1026">
        <f t="shared" si="16"/>
        <v>0</v>
      </c>
      <c r="O32" s="1154">
        <f t="shared" si="22"/>
        <v>0</v>
      </c>
      <c r="P32" s="1026">
        <f t="shared" si="23"/>
        <v>0</v>
      </c>
      <c r="Q32" s="1026"/>
      <c r="R32" s="1026">
        <f t="shared" si="24"/>
        <v>0</v>
      </c>
      <c r="S32" s="1026">
        <f t="shared" si="25"/>
        <v>0</v>
      </c>
      <c r="T32" s="1027">
        <f t="shared" si="26"/>
        <v>0</v>
      </c>
      <c r="U32" s="1027">
        <f t="shared" si="27"/>
        <v>0</v>
      </c>
    </row>
    <row r="33" spans="1:21">
      <c r="A33" s="1028">
        <v>27</v>
      </c>
      <c r="B33" s="1029" t="s">
        <v>128</v>
      </c>
      <c r="C33" s="1036">
        <f>'Table 8 2.1.12 MFP Funded'!R30</f>
        <v>0</v>
      </c>
      <c r="D33" s="1037">
        <f>'Table 3 Levels 1&amp;2'!AL34</f>
        <v>5653.5502977926608</v>
      </c>
      <c r="E33" s="1139">
        <f t="shared" si="14"/>
        <v>0</v>
      </c>
      <c r="F33" s="1139">
        <f t="shared" si="17"/>
        <v>0</v>
      </c>
      <c r="G33" s="1094">
        <f t="shared" si="15"/>
        <v>0</v>
      </c>
      <c r="H33" s="1149">
        <f t="shared" si="18"/>
        <v>0</v>
      </c>
      <c r="I33" s="1094">
        <f t="shared" si="19"/>
        <v>0</v>
      </c>
      <c r="J33" s="1094"/>
      <c r="K33" s="1094">
        <f t="shared" si="20"/>
        <v>0</v>
      </c>
      <c r="L33" s="1094">
        <f t="shared" si="21"/>
        <v>0</v>
      </c>
      <c r="M33" s="1086">
        <f>'[8]FY2012-13 Initial'!$K34</f>
        <v>3073</v>
      </c>
      <c r="N33" s="1088">
        <f t="shared" si="16"/>
        <v>0</v>
      </c>
      <c r="O33" s="1155">
        <f t="shared" si="22"/>
        <v>0</v>
      </c>
      <c r="P33" s="1088">
        <f t="shared" si="23"/>
        <v>0</v>
      </c>
      <c r="Q33" s="1088"/>
      <c r="R33" s="1088">
        <f t="shared" si="24"/>
        <v>0</v>
      </c>
      <c r="S33" s="1088">
        <f t="shared" si="25"/>
        <v>0</v>
      </c>
      <c r="T33" s="1089">
        <f t="shared" si="26"/>
        <v>0</v>
      </c>
      <c r="U33" s="1089">
        <f t="shared" si="27"/>
        <v>0</v>
      </c>
    </row>
    <row r="34" spans="1:21">
      <c r="A34" s="1028">
        <v>28</v>
      </c>
      <c r="B34" s="1029" t="s">
        <v>129</v>
      </c>
      <c r="C34" s="1036">
        <f>'Table 8 2.1.12 MFP Funded'!R31</f>
        <v>0</v>
      </c>
      <c r="D34" s="1037">
        <f>'Table 3 Levels 1&amp;2'!AL35</f>
        <v>3200.5356505169011</v>
      </c>
      <c r="E34" s="1139">
        <f t="shared" si="14"/>
        <v>0</v>
      </c>
      <c r="F34" s="1139">
        <f t="shared" si="17"/>
        <v>0</v>
      </c>
      <c r="G34" s="1094">
        <f t="shared" si="15"/>
        <v>0</v>
      </c>
      <c r="H34" s="1149">
        <f t="shared" si="18"/>
        <v>0</v>
      </c>
      <c r="I34" s="1094">
        <f t="shared" si="19"/>
        <v>0</v>
      </c>
      <c r="J34" s="1094"/>
      <c r="K34" s="1094">
        <f t="shared" si="20"/>
        <v>0</v>
      </c>
      <c r="L34" s="1094">
        <f t="shared" si="21"/>
        <v>0</v>
      </c>
      <c r="M34" s="1086">
        <f>'[8]FY2012-13 Initial'!$K35</f>
        <v>5082</v>
      </c>
      <c r="N34" s="1088">
        <f t="shared" si="16"/>
        <v>0</v>
      </c>
      <c r="O34" s="1155">
        <f t="shared" si="22"/>
        <v>0</v>
      </c>
      <c r="P34" s="1088">
        <f t="shared" si="23"/>
        <v>0</v>
      </c>
      <c r="Q34" s="1088"/>
      <c r="R34" s="1088">
        <f t="shared" si="24"/>
        <v>0</v>
      </c>
      <c r="S34" s="1088">
        <f t="shared" si="25"/>
        <v>0</v>
      </c>
      <c r="T34" s="1089">
        <f t="shared" si="26"/>
        <v>0</v>
      </c>
      <c r="U34" s="1089">
        <f t="shared" si="27"/>
        <v>0</v>
      </c>
    </row>
    <row r="35" spans="1:21">
      <c r="A35" s="1028">
        <v>29</v>
      </c>
      <c r="B35" s="1029" t="s">
        <v>130</v>
      </c>
      <c r="C35" s="1036">
        <f>'Table 8 2.1.12 MFP Funded'!R32</f>
        <v>52</v>
      </c>
      <c r="D35" s="1037">
        <f>'Table 3 Levels 1&amp;2'!AL36</f>
        <v>3945.0399545376122</v>
      </c>
      <c r="E35" s="1139">
        <f t="shared" si="14"/>
        <v>205142.07763595582</v>
      </c>
      <c r="F35" s="1139">
        <f t="shared" si="17"/>
        <v>34279.014119218569</v>
      </c>
      <c r="G35" s="1094">
        <f t="shared" si="15"/>
        <v>239421.09175517439</v>
      </c>
      <c r="H35" s="1149">
        <f t="shared" si="18"/>
        <v>-598.55272938793598</v>
      </c>
      <c r="I35" s="1094">
        <f t="shared" si="19"/>
        <v>238822.53902578645</v>
      </c>
      <c r="J35" s="1094"/>
      <c r="K35" s="1094">
        <f t="shared" si="20"/>
        <v>238822.53902578645</v>
      </c>
      <c r="L35" s="1094">
        <f t="shared" si="21"/>
        <v>19902</v>
      </c>
      <c r="M35" s="1086">
        <f>'[8]FY2012-13 Initial'!$K36</f>
        <v>4295</v>
      </c>
      <c r="N35" s="1088">
        <f t="shared" si="16"/>
        <v>223340</v>
      </c>
      <c r="O35" s="1155">
        <f t="shared" si="22"/>
        <v>-558.35</v>
      </c>
      <c r="P35" s="1088">
        <f t="shared" si="23"/>
        <v>222781.65</v>
      </c>
      <c r="Q35" s="1088"/>
      <c r="R35" s="1088">
        <f t="shared" si="24"/>
        <v>222781.65</v>
      </c>
      <c r="S35" s="1088">
        <f t="shared" si="25"/>
        <v>18565</v>
      </c>
      <c r="T35" s="1089">
        <f t="shared" si="26"/>
        <v>461604.18902578647</v>
      </c>
      <c r="U35" s="1089">
        <f t="shared" si="27"/>
        <v>38467</v>
      </c>
    </row>
    <row r="36" spans="1:21">
      <c r="A36" s="1032">
        <v>30</v>
      </c>
      <c r="B36" s="1033" t="s">
        <v>131</v>
      </c>
      <c r="C36" s="1038">
        <f>'Table 8 2.1.12 MFP Funded'!R33</f>
        <v>0</v>
      </c>
      <c r="D36" s="1039">
        <f>'Table 3 Levels 1&amp;2'!AL37</f>
        <v>5594.8916667625617</v>
      </c>
      <c r="E36" s="1140">
        <f t="shared" si="14"/>
        <v>0</v>
      </c>
      <c r="F36" s="1140">
        <f t="shared" si="17"/>
        <v>0</v>
      </c>
      <c r="G36" s="1095">
        <f t="shared" si="15"/>
        <v>0</v>
      </c>
      <c r="H36" s="1150">
        <f t="shared" si="18"/>
        <v>0</v>
      </c>
      <c r="I36" s="1095">
        <f t="shared" si="19"/>
        <v>0</v>
      </c>
      <c r="J36" s="1095"/>
      <c r="K36" s="1095">
        <f t="shared" si="20"/>
        <v>0</v>
      </c>
      <c r="L36" s="1095">
        <f t="shared" si="21"/>
        <v>0</v>
      </c>
      <c r="M36" s="1091">
        <f>'[8]FY2012-13 Initial'!$K37</f>
        <v>3553</v>
      </c>
      <c r="N36" s="1092">
        <f t="shared" si="16"/>
        <v>0</v>
      </c>
      <c r="O36" s="1156">
        <f t="shared" si="22"/>
        <v>0</v>
      </c>
      <c r="P36" s="1092">
        <f t="shared" si="23"/>
        <v>0</v>
      </c>
      <c r="Q36" s="1092"/>
      <c r="R36" s="1092">
        <f t="shared" si="24"/>
        <v>0</v>
      </c>
      <c r="S36" s="1092">
        <f t="shared" si="25"/>
        <v>0</v>
      </c>
      <c r="T36" s="1093">
        <f t="shared" si="26"/>
        <v>0</v>
      </c>
      <c r="U36" s="1093">
        <f t="shared" si="27"/>
        <v>0</v>
      </c>
    </row>
    <row r="37" spans="1:21">
      <c r="A37" s="1021">
        <v>31</v>
      </c>
      <c r="B37" s="1022" t="s">
        <v>132</v>
      </c>
      <c r="C37" s="1040">
        <f>'Table 8 2.1.12 MFP Funded'!R34</f>
        <v>0</v>
      </c>
      <c r="D37" s="1041">
        <f>'Table 3 Levels 1&amp;2'!AL38</f>
        <v>4159.5846806435638</v>
      </c>
      <c r="E37" s="1141">
        <f t="shared" si="14"/>
        <v>0</v>
      </c>
      <c r="F37" s="1141">
        <f t="shared" si="17"/>
        <v>0</v>
      </c>
      <c r="G37" s="1096">
        <f t="shared" si="15"/>
        <v>0</v>
      </c>
      <c r="H37" s="1151">
        <f t="shared" si="18"/>
        <v>0</v>
      </c>
      <c r="I37" s="1096">
        <f t="shared" si="19"/>
        <v>0</v>
      </c>
      <c r="J37" s="1096"/>
      <c r="K37" s="1096">
        <f t="shared" si="20"/>
        <v>0</v>
      </c>
      <c r="L37" s="1096">
        <f t="shared" si="21"/>
        <v>0</v>
      </c>
      <c r="M37" s="1086">
        <f>'[8]FY2012-13 Initial'!$K38</f>
        <v>4719</v>
      </c>
      <c r="N37" s="1026">
        <f t="shared" si="16"/>
        <v>0</v>
      </c>
      <c r="O37" s="1154">
        <f t="shared" si="22"/>
        <v>0</v>
      </c>
      <c r="P37" s="1026">
        <f t="shared" si="23"/>
        <v>0</v>
      </c>
      <c r="Q37" s="1026"/>
      <c r="R37" s="1026">
        <f t="shared" si="24"/>
        <v>0</v>
      </c>
      <c r="S37" s="1026">
        <f t="shared" si="25"/>
        <v>0</v>
      </c>
      <c r="T37" s="1027">
        <f t="shared" si="26"/>
        <v>0</v>
      </c>
      <c r="U37" s="1027">
        <f t="shared" si="27"/>
        <v>0</v>
      </c>
    </row>
    <row r="38" spans="1:21">
      <c r="A38" s="1028">
        <v>32</v>
      </c>
      <c r="B38" s="1029" t="s">
        <v>133</v>
      </c>
      <c r="C38" s="1036">
        <f>'Table 8 2.1.12 MFP Funded'!R35</f>
        <v>0</v>
      </c>
      <c r="D38" s="1037">
        <f>'Table 3 Levels 1&amp;2'!AL39</f>
        <v>5475.1436637248598</v>
      </c>
      <c r="E38" s="1139">
        <f t="shared" si="14"/>
        <v>0</v>
      </c>
      <c r="F38" s="1139">
        <f t="shared" si="17"/>
        <v>0</v>
      </c>
      <c r="G38" s="1094">
        <f t="shared" si="15"/>
        <v>0</v>
      </c>
      <c r="H38" s="1149">
        <f t="shared" si="18"/>
        <v>0</v>
      </c>
      <c r="I38" s="1094">
        <f t="shared" si="19"/>
        <v>0</v>
      </c>
      <c r="J38" s="1094"/>
      <c r="K38" s="1094">
        <f t="shared" si="20"/>
        <v>0</v>
      </c>
      <c r="L38" s="1094">
        <f t="shared" si="21"/>
        <v>0</v>
      </c>
      <c r="M38" s="1086">
        <f>'[8]FY2012-13 Initial'!$K39</f>
        <v>1979</v>
      </c>
      <c r="N38" s="1088">
        <f t="shared" si="16"/>
        <v>0</v>
      </c>
      <c r="O38" s="1155">
        <f t="shared" si="22"/>
        <v>0</v>
      </c>
      <c r="P38" s="1088">
        <f t="shared" si="23"/>
        <v>0</v>
      </c>
      <c r="Q38" s="1088"/>
      <c r="R38" s="1088">
        <f t="shared" si="24"/>
        <v>0</v>
      </c>
      <c r="S38" s="1088">
        <f t="shared" si="25"/>
        <v>0</v>
      </c>
      <c r="T38" s="1089">
        <f t="shared" si="26"/>
        <v>0</v>
      </c>
      <c r="U38" s="1089">
        <f t="shared" si="27"/>
        <v>0</v>
      </c>
    </row>
    <row r="39" spans="1:21">
      <c r="A39" s="1028">
        <v>33</v>
      </c>
      <c r="B39" s="1029" t="s">
        <v>134</v>
      </c>
      <c r="C39" s="1036">
        <f>'Table 8 2.1.12 MFP Funded'!R36</f>
        <v>0</v>
      </c>
      <c r="D39" s="1037">
        <f>'Table 3 Levels 1&amp;2'!AL40</f>
        <v>5397.5678422891451</v>
      </c>
      <c r="E39" s="1139">
        <f t="shared" ref="E39:E70" si="28">D39*C39</f>
        <v>0</v>
      </c>
      <c r="F39" s="1139">
        <f t="shared" si="17"/>
        <v>0</v>
      </c>
      <c r="G39" s="1094">
        <f t="shared" ref="G39:G70" si="29">E39+F39</f>
        <v>0</v>
      </c>
      <c r="H39" s="1149">
        <f t="shared" si="18"/>
        <v>0</v>
      </c>
      <c r="I39" s="1094">
        <f t="shared" si="19"/>
        <v>0</v>
      </c>
      <c r="J39" s="1094"/>
      <c r="K39" s="1094">
        <f t="shared" si="20"/>
        <v>0</v>
      </c>
      <c r="L39" s="1094">
        <f t="shared" si="21"/>
        <v>0</v>
      </c>
      <c r="M39" s="1086">
        <f>'[8]FY2012-13 Initial'!$K40</f>
        <v>3055</v>
      </c>
      <c r="N39" s="1088">
        <f t="shared" ref="N39:N70" si="30">M39*C39</f>
        <v>0</v>
      </c>
      <c r="O39" s="1155">
        <f t="shared" si="22"/>
        <v>0</v>
      </c>
      <c r="P39" s="1088">
        <f t="shared" si="23"/>
        <v>0</v>
      </c>
      <c r="Q39" s="1088"/>
      <c r="R39" s="1088">
        <f t="shared" si="24"/>
        <v>0</v>
      </c>
      <c r="S39" s="1088">
        <f t="shared" si="25"/>
        <v>0</v>
      </c>
      <c r="T39" s="1089">
        <f t="shared" si="26"/>
        <v>0</v>
      </c>
      <c r="U39" s="1089">
        <f t="shared" si="27"/>
        <v>0</v>
      </c>
    </row>
    <row r="40" spans="1:21">
      <c r="A40" s="1028">
        <v>34</v>
      </c>
      <c r="B40" s="1029" t="s">
        <v>135</v>
      </c>
      <c r="C40" s="1036">
        <f>'Table 8 2.1.12 MFP Funded'!R37</f>
        <v>0</v>
      </c>
      <c r="D40" s="1037">
        <f>'Table 3 Levels 1&amp;2'!AL41</f>
        <v>5843.9642210290731</v>
      </c>
      <c r="E40" s="1139">
        <f t="shared" si="28"/>
        <v>0</v>
      </c>
      <c r="F40" s="1139">
        <f t="shared" si="17"/>
        <v>0</v>
      </c>
      <c r="G40" s="1094">
        <f t="shared" si="29"/>
        <v>0</v>
      </c>
      <c r="H40" s="1149">
        <f t="shared" si="18"/>
        <v>0</v>
      </c>
      <c r="I40" s="1094">
        <f t="shared" si="19"/>
        <v>0</v>
      </c>
      <c r="J40" s="1094"/>
      <c r="K40" s="1094">
        <f t="shared" si="20"/>
        <v>0</v>
      </c>
      <c r="L40" s="1094">
        <f t="shared" si="21"/>
        <v>0</v>
      </c>
      <c r="M40" s="1086">
        <f>'[8]FY2012-13 Initial'!$K41</f>
        <v>2782</v>
      </c>
      <c r="N40" s="1088">
        <f t="shared" si="30"/>
        <v>0</v>
      </c>
      <c r="O40" s="1155">
        <f t="shared" si="22"/>
        <v>0</v>
      </c>
      <c r="P40" s="1088">
        <f t="shared" si="23"/>
        <v>0</v>
      </c>
      <c r="Q40" s="1088"/>
      <c r="R40" s="1088">
        <f t="shared" si="24"/>
        <v>0</v>
      </c>
      <c r="S40" s="1088">
        <f t="shared" si="25"/>
        <v>0</v>
      </c>
      <c r="T40" s="1089">
        <f t="shared" si="26"/>
        <v>0</v>
      </c>
      <c r="U40" s="1089">
        <f t="shared" si="27"/>
        <v>0</v>
      </c>
    </row>
    <row r="41" spans="1:21">
      <c r="A41" s="1032">
        <v>35</v>
      </c>
      <c r="B41" s="1033" t="s">
        <v>136</v>
      </c>
      <c r="C41" s="1038">
        <f>'Table 8 2.1.12 MFP Funded'!R38</f>
        <v>0</v>
      </c>
      <c r="D41" s="1039">
        <f>'Table 3 Levels 1&amp;2'!AL42</f>
        <v>4830.9633412658623</v>
      </c>
      <c r="E41" s="1140">
        <f t="shared" si="28"/>
        <v>0</v>
      </c>
      <c r="F41" s="1140">
        <f t="shared" si="17"/>
        <v>0</v>
      </c>
      <c r="G41" s="1095">
        <f t="shared" si="29"/>
        <v>0</v>
      </c>
      <c r="H41" s="1150">
        <f t="shared" si="18"/>
        <v>0</v>
      </c>
      <c r="I41" s="1095">
        <f t="shared" si="19"/>
        <v>0</v>
      </c>
      <c r="J41" s="1095"/>
      <c r="K41" s="1095">
        <f t="shared" si="20"/>
        <v>0</v>
      </c>
      <c r="L41" s="1095">
        <f t="shared" si="21"/>
        <v>0</v>
      </c>
      <c r="M41" s="1091">
        <f>'[8]FY2012-13 Initial'!$K42</f>
        <v>3175</v>
      </c>
      <c r="N41" s="1092">
        <f t="shared" si="30"/>
        <v>0</v>
      </c>
      <c r="O41" s="1156">
        <f t="shared" si="22"/>
        <v>0</v>
      </c>
      <c r="P41" s="1092">
        <f t="shared" si="23"/>
        <v>0</v>
      </c>
      <c r="Q41" s="1092"/>
      <c r="R41" s="1092">
        <f t="shared" si="24"/>
        <v>0</v>
      </c>
      <c r="S41" s="1092">
        <f t="shared" si="25"/>
        <v>0</v>
      </c>
      <c r="T41" s="1093">
        <f t="shared" si="26"/>
        <v>0</v>
      </c>
      <c r="U41" s="1093">
        <f t="shared" si="27"/>
        <v>0</v>
      </c>
    </row>
    <row r="42" spans="1:21">
      <c r="A42" s="1021">
        <v>36</v>
      </c>
      <c r="B42" s="1022" t="s">
        <v>137</v>
      </c>
      <c r="C42" s="1040">
        <f>'Table 8 2.1.12 MFP Funded'!R39</f>
        <v>0</v>
      </c>
      <c r="D42" s="1041">
        <f>'Table 3 Levels 1&amp;2'!AL43</f>
        <v>3493.4615493208294</v>
      </c>
      <c r="E42" s="1141">
        <f t="shared" si="28"/>
        <v>0</v>
      </c>
      <c r="F42" s="1141">
        <f t="shared" si="17"/>
        <v>0</v>
      </c>
      <c r="G42" s="1096">
        <f t="shared" si="29"/>
        <v>0</v>
      </c>
      <c r="H42" s="1151">
        <f t="shared" si="18"/>
        <v>0</v>
      </c>
      <c r="I42" s="1096">
        <f t="shared" si="19"/>
        <v>0</v>
      </c>
      <c r="J42" s="1096"/>
      <c r="K42" s="1096">
        <f t="shared" si="20"/>
        <v>0</v>
      </c>
      <c r="L42" s="1096">
        <f t="shared" si="21"/>
        <v>0</v>
      </c>
      <c r="M42" s="1086">
        <f>'[8]FY2012-13 Initial'!$K43</f>
        <v>4785</v>
      </c>
      <c r="N42" s="1026">
        <f t="shared" si="30"/>
        <v>0</v>
      </c>
      <c r="O42" s="1154">
        <f t="shared" si="22"/>
        <v>0</v>
      </c>
      <c r="P42" s="1026">
        <f t="shared" si="23"/>
        <v>0</v>
      </c>
      <c r="Q42" s="1026"/>
      <c r="R42" s="1026">
        <f t="shared" si="24"/>
        <v>0</v>
      </c>
      <c r="S42" s="1026">
        <f t="shared" si="25"/>
        <v>0</v>
      </c>
      <c r="T42" s="1027">
        <f t="shared" si="26"/>
        <v>0</v>
      </c>
      <c r="U42" s="1027">
        <f t="shared" si="27"/>
        <v>0</v>
      </c>
    </row>
    <row r="43" spans="1:21">
      <c r="A43" s="1028">
        <v>37</v>
      </c>
      <c r="B43" s="1029" t="s">
        <v>138</v>
      </c>
      <c r="C43" s="1036">
        <f>'Table 8 2.1.12 MFP Funded'!R40</f>
        <v>0</v>
      </c>
      <c r="D43" s="1037">
        <f>'Table 3 Levels 1&amp;2'!AL44</f>
        <v>5484.3026094077886</v>
      </c>
      <c r="E43" s="1139">
        <f t="shared" si="28"/>
        <v>0</v>
      </c>
      <c r="F43" s="1139">
        <f t="shared" si="17"/>
        <v>0</v>
      </c>
      <c r="G43" s="1094">
        <f t="shared" si="29"/>
        <v>0</v>
      </c>
      <c r="H43" s="1149">
        <f t="shared" si="18"/>
        <v>0</v>
      </c>
      <c r="I43" s="1094">
        <f t="shared" si="19"/>
        <v>0</v>
      </c>
      <c r="J43" s="1094"/>
      <c r="K43" s="1094">
        <f t="shared" si="20"/>
        <v>0</v>
      </c>
      <c r="L43" s="1094">
        <f t="shared" si="21"/>
        <v>0</v>
      </c>
      <c r="M43" s="1086">
        <f>'[8]FY2012-13 Initial'!$K44</f>
        <v>3112</v>
      </c>
      <c r="N43" s="1088">
        <f t="shared" si="30"/>
        <v>0</v>
      </c>
      <c r="O43" s="1155">
        <f t="shared" si="22"/>
        <v>0</v>
      </c>
      <c r="P43" s="1088">
        <f t="shared" si="23"/>
        <v>0</v>
      </c>
      <c r="Q43" s="1088"/>
      <c r="R43" s="1088">
        <f t="shared" si="24"/>
        <v>0</v>
      </c>
      <c r="S43" s="1088">
        <f t="shared" si="25"/>
        <v>0</v>
      </c>
      <c r="T43" s="1089">
        <f t="shared" si="26"/>
        <v>0</v>
      </c>
      <c r="U43" s="1089">
        <f t="shared" si="27"/>
        <v>0</v>
      </c>
    </row>
    <row r="44" spans="1:21">
      <c r="A44" s="1028">
        <v>38</v>
      </c>
      <c r="B44" s="1029" t="s">
        <v>139</v>
      </c>
      <c r="C44" s="1036">
        <f>'Table 8 2.1.12 MFP Funded'!R41</f>
        <v>0</v>
      </c>
      <c r="D44" s="1037">
        <f>'Table 3 Levels 1&amp;2'!AL45</f>
        <v>2191.7415364583335</v>
      </c>
      <c r="E44" s="1139">
        <f t="shared" si="28"/>
        <v>0</v>
      </c>
      <c r="F44" s="1139">
        <f t="shared" si="17"/>
        <v>0</v>
      </c>
      <c r="G44" s="1094">
        <f t="shared" si="29"/>
        <v>0</v>
      </c>
      <c r="H44" s="1149">
        <f t="shared" si="18"/>
        <v>0</v>
      </c>
      <c r="I44" s="1094">
        <f t="shared" si="19"/>
        <v>0</v>
      </c>
      <c r="J44" s="1094"/>
      <c r="K44" s="1094">
        <f t="shared" si="20"/>
        <v>0</v>
      </c>
      <c r="L44" s="1094">
        <f t="shared" si="21"/>
        <v>0</v>
      </c>
      <c r="M44" s="1086">
        <f>'[8]FY2012-13 Initial'!$K45</f>
        <v>9771</v>
      </c>
      <c r="N44" s="1088">
        <f t="shared" si="30"/>
        <v>0</v>
      </c>
      <c r="O44" s="1155">
        <f t="shared" si="22"/>
        <v>0</v>
      </c>
      <c r="P44" s="1088">
        <f t="shared" si="23"/>
        <v>0</v>
      </c>
      <c r="Q44" s="1088"/>
      <c r="R44" s="1088">
        <f t="shared" si="24"/>
        <v>0</v>
      </c>
      <c r="S44" s="1088">
        <f t="shared" si="25"/>
        <v>0</v>
      </c>
      <c r="T44" s="1089">
        <f t="shared" si="26"/>
        <v>0</v>
      </c>
      <c r="U44" s="1089">
        <f t="shared" si="27"/>
        <v>0</v>
      </c>
    </row>
    <row r="45" spans="1:21">
      <c r="A45" s="1028">
        <v>39</v>
      </c>
      <c r="B45" s="1029" t="s">
        <v>140</v>
      </c>
      <c r="C45" s="1036">
        <f>'Table 8 2.1.12 MFP Funded'!R42</f>
        <v>0</v>
      </c>
      <c r="D45" s="1037">
        <f>'Table 3 Levels 1&amp;2'!AL46</f>
        <v>3686.1886996918806</v>
      </c>
      <c r="E45" s="1139">
        <f t="shared" si="28"/>
        <v>0</v>
      </c>
      <c r="F45" s="1139">
        <f t="shared" si="17"/>
        <v>0</v>
      </c>
      <c r="G45" s="1094">
        <f t="shared" si="29"/>
        <v>0</v>
      </c>
      <c r="H45" s="1149">
        <f t="shared" si="18"/>
        <v>0</v>
      </c>
      <c r="I45" s="1094">
        <f t="shared" si="19"/>
        <v>0</v>
      </c>
      <c r="J45" s="1094"/>
      <c r="K45" s="1094">
        <f t="shared" si="20"/>
        <v>0</v>
      </c>
      <c r="L45" s="1094">
        <f t="shared" si="21"/>
        <v>0</v>
      </c>
      <c r="M45" s="1086">
        <f>'[8]FY2012-13 Initial'!$K46</f>
        <v>4190</v>
      </c>
      <c r="N45" s="1088">
        <f t="shared" si="30"/>
        <v>0</v>
      </c>
      <c r="O45" s="1155">
        <f t="shared" si="22"/>
        <v>0</v>
      </c>
      <c r="P45" s="1088">
        <f t="shared" si="23"/>
        <v>0</v>
      </c>
      <c r="Q45" s="1088"/>
      <c r="R45" s="1088">
        <f t="shared" si="24"/>
        <v>0</v>
      </c>
      <c r="S45" s="1088">
        <f t="shared" si="25"/>
        <v>0</v>
      </c>
      <c r="T45" s="1089">
        <f t="shared" si="26"/>
        <v>0</v>
      </c>
      <c r="U45" s="1089">
        <f t="shared" si="27"/>
        <v>0</v>
      </c>
    </row>
    <row r="46" spans="1:21">
      <c r="A46" s="1032">
        <v>40</v>
      </c>
      <c r="B46" s="1033" t="s">
        <v>141</v>
      </c>
      <c r="C46" s="1038">
        <f>'Table 8 2.1.12 MFP Funded'!R43</f>
        <v>0</v>
      </c>
      <c r="D46" s="1039">
        <f>'Table 3 Levels 1&amp;2'!AL47</f>
        <v>4879.0185326187402</v>
      </c>
      <c r="E46" s="1140">
        <f t="shared" si="28"/>
        <v>0</v>
      </c>
      <c r="F46" s="1140">
        <f t="shared" si="17"/>
        <v>0</v>
      </c>
      <c r="G46" s="1095">
        <f t="shared" si="29"/>
        <v>0</v>
      </c>
      <c r="H46" s="1150">
        <f t="shared" si="18"/>
        <v>0</v>
      </c>
      <c r="I46" s="1095">
        <f t="shared" si="19"/>
        <v>0</v>
      </c>
      <c r="J46" s="1095"/>
      <c r="K46" s="1095">
        <f t="shared" si="20"/>
        <v>0</v>
      </c>
      <c r="L46" s="1095">
        <f t="shared" si="21"/>
        <v>0</v>
      </c>
      <c r="M46" s="1091">
        <f>'[8]FY2012-13 Initial'!$K47</f>
        <v>2887</v>
      </c>
      <c r="N46" s="1092">
        <f t="shared" si="30"/>
        <v>0</v>
      </c>
      <c r="O46" s="1156">
        <f t="shared" si="22"/>
        <v>0</v>
      </c>
      <c r="P46" s="1092">
        <f t="shared" si="23"/>
        <v>0</v>
      </c>
      <c r="Q46" s="1092"/>
      <c r="R46" s="1092">
        <f t="shared" si="24"/>
        <v>0</v>
      </c>
      <c r="S46" s="1092">
        <f t="shared" si="25"/>
        <v>0</v>
      </c>
      <c r="T46" s="1093">
        <f t="shared" si="26"/>
        <v>0</v>
      </c>
      <c r="U46" s="1093">
        <f t="shared" si="27"/>
        <v>0</v>
      </c>
    </row>
    <row r="47" spans="1:21">
      <c r="A47" s="1021">
        <v>41</v>
      </c>
      <c r="B47" s="1022" t="s">
        <v>142</v>
      </c>
      <c r="C47" s="1040">
        <f>'Table 8 2.1.12 MFP Funded'!R44</f>
        <v>0</v>
      </c>
      <c r="D47" s="1041">
        <f>'Table 3 Levels 1&amp;2'!AL48</f>
        <v>1608.4303482587065</v>
      </c>
      <c r="E47" s="1141">
        <f t="shared" si="28"/>
        <v>0</v>
      </c>
      <c r="F47" s="1141">
        <f t="shared" si="17"/>
        <v>0</v>
      </c>
      <c r="G47" s="1096">
        <f t="shared" si="29"/>
        <v>0</v>
      </c>
      <c r="H47" s="1151">
        <f t="shared" si="18"/>
        <v>0</v>
      </c>
      <c r="I47" s="1096">
        <f t="shared" si="19"/>
        <v>0</v>
      </c>
      <c r="J47" s="1096"/>
      <c r="K47" s="1096">
        <f t="shared" si="20"/>
        <v>0</v>
      </c>
      <c r="L47" s="1096">
        <f t="shared" si="21"/>
        <v>0</v>
      </c>
      <c r="M47" s="1086">
        <f>'[8]FY2012-13 Initial'!$K48</f>
        <v>12470</v>
      </c>
      <c r="N47" s="1026">
        <f t="shared" si="30"/>
        <v>0</v>
      </c>
      <c r="O47" s="1154">
        <f t="shared" si="22"/>
        <v>0</v>
      </c>
      <c r="P47" s="1026">
        <f t="shared" si="23"/>
        <v>0</v>
      </c>
      <c r="Q47" s="1026"/>
      <c r="R47" s="1026">
        <f t="shared" si="24"/>
        <v>0</v>
      </c>
      <c r="S47" s="1026">
        <f t="shared" si="25"/>
        <v>0</v>
      </c>
      <c r="T47" s="1027">
        <f t="shared" si="26"/>
        <v>0</v>
      </c>
      <c r="U47" s="1027">
        <f t="shared" si="27"/>
        <v>0</v>
      </c>
    </row>
    <row r="48" spans="1:21">
      <c r="A48" s="1028">
        <v>42</v>
      </c>
      <c r="B48" s="1029" t="s">
        <v>143</v>
      </c>
      <c r="C48" s="1036">
        <f>'Table 8 2.1.12 MFP Funded'!R45</f>
        <v>0</v>
      </c>
      <c r="D48" s="1037">
        <f>'Table 3 Levels 1&amp;2'!AL49</f>
        <v>5260.3047779801664</v>
      </c>
      <c r="E48" s="1139">
        <f t="shared" si="28"/>
        <v>0</v>
      </c>
      <c r="F48" s="1139">
        <f t="shared" si="17"/>
        <v>0</v>
      </c>
      <c r="G48" s="1094">
        <f t="shared" si="29"/>
        <v>0</v>
      </c>
      <c r="H48" s="1149">
        <f t="shared" si="18"/>
        <v>0</v>
      </c>
      <c r="I48" s="1094">
        <f t="shared" si="19"/>
        <v>0</v>
      </c>
      <c r="J48" s="1094"/>
      <c r="K48" s="1094">
        <f t="shared" si="20"/>
        <v>0</v>
      </c>
      <c r="L48" s="1094">
        <f t="shared" si="21"/>
        <v>0</v>
      </c>
      <c r="M48" s="1086">
        <f>'[8]FY2012-13 Initial'!$K49</f>
        <v>2353</v>
      </c>
      <c r="N48" s="1088">
        <f t="shared" si="30"/>
        <v>0</v>
      </c>
      <c r="O48" s="1155">
        <f t="shared" si="22"/>
        <v>0</v>
      </c>
      <c r="P48" s="1088">
        <f t="shared" si="23"/>
        <v>0</v>
      </c>
      <c r="Q48" s="1088"/>
      <c r="R48" s="1088">
        <f t="shared" si="24"/>
        <v>0</v>
      </c>
      <c r="S48" s="1088">
        <f t="shared" si="25"/>
        <v>0</v>
      </c>
      <c r="T48" s="1089">
        <f t="shared" si="26"/>
        <v>0</v>
      </c>
      <c r="U48" s="1089">
        <f t="shared" si="27"/>
        <v>0</v>
      </c>
    </row>
    <row r="49" spans="1:21">
      <c r="A49" s="1028">
        <v>43</v>
      </c>
      <c r="B49" s="1029" t="s">
        <v>144</v>
      </c>
      <c r="C49" s="1036">
        <f>'Table 8 2.1.12 MFP Funded'!R46</f>
        <v>0</v>
      </c>
      <c r="D49" s="1037">
        <f>'Table 3 Levels 1&amp;2'!AL50</f>
        <v>5587.3492327608728</v>
      </c>
      <c r="E49" s="1139">
        <f t="shared" si="28"/>
        <v>0</v>
      </c>
      <c r="F49" s="1139">
        <f t="shared" si="17"/>
        <v>0</v>
      </c>
      <c r="G49" s="1094">
        <f t="shared" si="29"/>
        <v>0</v>
      </c>
      <c r="H49" s="1149">
        <f t="shared" si="18"/>
        <v>0</v>
      </c>
      <c r="I49" s="1094">
        <f t="shared" si="19"/>
        <v>0</v>
      </c>
      <c r="J49" s="1094"/>
      <c r="K49" s="1094">
        <f t="shared" si="20"/>
        <v>0</v>
      </c>
      <c r="L49" s="1094">
        <f t="shared" si="21"/>
        <v>0</v>
      </c>
      <c r="M49" s="1086">
        <f>'[8]FY2012-13 Initial'!$K50</f>
        <v>5599</v>
      </c>
      <c r="N49" s="1088">
        <f t="shared" si="30"/>
        <v>0</v>
      </c>
      <c r="O49" s="1155">
        <f t="shared" si="22"/>
        <v>0</v>
      </c>
      <c r="P49" s="1088">
        <f t="shared" si="23"/>
        <v>0</v>
      </c>
      <c r="Q49" s="1088"/>
      <c r="R49" s="1088">
        <f t="shared" si="24"/>
        <v>0</v>
      </c>
      <c r="S49" s="1088">
        <f t="shared" si="25"/>
        <v>0</v>
      </c>
      <c r="T49" s="1089">
        <f t="shared" si="26"/>
        <v>0</v>
      </c>
      <c r="U49" s="1089">
        <f t="shared" si="27"/>
        <v>0</v>
      </c>
    </row>
    <row r="50" spans="1:21">
      <c r="A50" s="1028">
        <v>44</v>
      </c>
      <c r="B50" s="1029" t="s">
        <v>145</v>
      </c>
      <c r="C50" s="1036">
        <f>'Table 8 2.1.12 MFP Funded'!R47</f>
        <v>0</v>
      </c>
      <c r="D50" s="1037">
        <f>'Table 3 Levels 1&amp;2'!AL51</f>
        <v>4113.1787591918992</v>
      </c>
      <c r="E50" s="1139">
        <f t="shared" si="28"/>
        <v>0</v>
      </c>
      <c r="F50" s="1139">
        <f t="shared" si="17"/>
        <v>0</v>
      </c>
      <c r="G50" s="1094">
        <f t="shared" si="29"/>
        <v>0</v>
      </c>
      <c r="H50" s="1149">
        <f t="shared" si="18"/>
        <v>0</v>
      </c>
      <c r="I50" s="1094">
        <f t="shared" si="19"/>
        <v>0</v>
      </c>
      <c r="J50" s="1094"/>
      <c r="K50" s="1094">
        <f t="shared" si="20"/>
        <v>0</v>
      </c>
      <c r="L50" s="1094">
        <f t="shared" si="21"/>
        <v>0</v>
      </c>
      <c r="M50" s="1086">
        <f>'[8]FY2012-13 Initial'!$K51</f>
        <v>4661</v>
      </c>
      <c r="N50" s="1088">
        <f t="shared" si="30"/>
        <v>0</v>
      </c>
      <c r="O50" s="1155">
        <f t="shared" si="22"/>
        <v>0</v>
      </c>
      <c r="P50" s="1088">
        <f t="shared" si="23"/>
        <v>0</v>
      </c>
      <c r="Q50" s="1088"/>
      <c r="R50" s="1088">
        <f t="shared" si="24"/>
        <v>0</v>
      </c>
      <c r="S50" s="1088">
        <f t="shared" si="25"/>
        <v>0</v>
      </c>
      <c r="T50" s="1089">
        <f t="shared" si="26"/>
        <v>0</v>
      </c>
      <c r="U50" s="1089">
        <f t="shared" si="27"/>
        <v>0</v>
      </c>
    </row>
    <row r="51" spans="1:21">
      <c r="A51" s="1032">
        <v>45</v>
      </c>
      <c r="B51" s="1033" t="s">
        <v>146</v>
      </c>
      <c r="C51" s="1038">
        <f>'Table 8 2.1.12 MFP Funded'!R48</f>
        <v>4</v>
      </c>
      <c r="D51" s="1039">
        <f>'Table 3 Levels 1&amp;2'!AL52</f>
        <v>2414.8479898164846</v>
      </c>
      <c r="E51" s="1140">
        <f t="shared" si="28"/>
        <v>9659.3919592659386</v>
      </c>
      <c r="F51" s="1140">
        <f t="shared" si="17"/>
        <v>2636.8472399398897</v>
      </c>
      <c r="G51" s="1095">
        <f t="shared" si="29"/>
        <v>12296.239199205829</v>
      </c>
      <c r="H51" s="1150">
        <f t="shared" si="18"/>
        <v>-30.740597998014575</v>
      </c>
      <c r="I51" s="1095">
        <f t="shared" si="19"/>
        <v>12265.498601207815</v>
      </c>
      <c r="J51" s="1095"/>
      <c r="K51" s="1095">
        <f t="shared" si="20"/>
        <v>12265.498601207815</v>
      </c>
      <c r="L51" s="1095">
        <f t="shared" si="21"/>
        <v>1022</v>
      </c>
      <c r="M51" s="1091">
        <f>'[8]FY2012-13 Initial'!$K52</f>
        <v>11650</v>
      </c>
      <c r="N51" s="1092">
        <f t="shared" si="30"/>
        <v>46600</v>
      </c>
      <c r="O51" s="1156">
        <f t="shared" si="22"/>
        <v>-116.5</v>
      </c>
      <c r="P51" s="1092">
        <f t="shared" si="23"/>
        <v>46483.5</v>
      </c>
      <c r="Q51" s="1092"/>
      <c r="R51" s="1092">
        <f t="shared" si="24"/>
        <v>46483.5</v>
      </c>
      <c r="S51" s="1092">
        <f t="shared" si="25"/>
        <v>3874</v>
      </c>
      <c r="T51" s="1093">
        <f t="shared" si="26"/>
        <v>58748.998601207815</v>
      </c>
      <c r="U51" s="1093">
        <f t="shared" si="27"/>
        <v>4896</v>
      </c>
    </row>
    <row r="52" spans="1:21">
      <c r="A52" s="1021">
        <v>46</v>
      </c>
      <c r="B52" s="1022" t="s">
        <v>147</v>
      </c>
      <c r="C52" s="1040">
        <f>'Table 8 2.1.12 MFP Funded'!R49</f>
        <v>0</v>
      </c>
      <c r="D52" s="1041">
        <f>'Table 3 Levels 1&amp;2'!AL53</f>
        <v>5765.0314518803261</v>
      </c>
      <c r="E52" s="1141">
        <f t="shared" si="28"/>
        <v>0</v>
      </c>
      <c r="F52" s="1141">
        <f t="shared" si="17"/>
        <v>0</v>
      </c>
      <c r="G52" s="1096">
        <f t="shared" si="29"/>
        <v>0</v>
      </c>
      <c r="H52" s="1151">
        <f t="shared" si="18"/>
        <v>0</v>
      </c>
      <c r="I52" s="1096">
        <f t="shared" si="19"/>
        <v>0</v>
      </c>
      <c r="J52" s="1096"/>
      <c r="K52" s="1096">
        <f t="shared" si="20"/>
        <v>0</v>
      </c>
      <c r="L52" s="1096">
        <f t="shared" si="21"/>
        <v>0</v>
      </c>
      <c r="M52" s="1086">
        <f>'[8]FY2012-13 Initial'!$K53</f>
        <v>1789</v>
      </c>
      <c r="N52" s="1026">
        <f t="shared" si="30"/>
        <v>0</v>
      </c>
      <c r="O52" s="1154">
        <f t="shared" si="22"/>
        <v>0</v>
      </c>
      <c r="P52" s="1026">
        <f t="shared" si="23"/>
        <v>0</v>
      </c>
      <c r="Q52" s="1026"/>
      <c r="R52" s="1026">
        <f t="shared" si="24"/>
        <v>0</v>
      </c>
      <c r="S52" s="1026">
        <f t="shared" si="25"/>
        <v>0</v>
      </c>
      <c r="T52" s="1027">
        <f t="shared" si="26"/>
        <v>0</v>
      </c>
      <c r="U52" s="1027">
        <f t="shared" si="27"/>
        <v>0</v>
      </c>
    </row>
    <row r="53" spans="1:21">
      <c r="A53" s="1028">
        <v>47</v>
      </c>
      <c r="B53" s="1029" t="s">
        <v>148</v>
      </c>
      <c r="C53" s="1036">
        <f>'Table 8 2.1.12 MFP Funded'!R50</f>
        <v>4</v>
      </c>
      <c r="D53" s="1037">
        <f>'Table 3 Levels 1&amp;2'!AL54</f>
        <v>3186.1712081166847</v>
      </c>
      <c r="E53" s="1139">
        <f t="shared" si="28"/>
        <v>12744.684832466739</v>
      </c>
      <c r="F53" s="1139">
        <f t="shared" si="17"/>
        <v>2636.8472399398897</v>
      </c>
      <c r="G53" s="1094">
        <f t="shared" si="29"/>
        <v>15381.53207240663</v>
      </c>
      <c r="H53" s="1149">
        <f t="shared" si="18"/>
        <v>-38.453830181016578</v>
      </c>
      <c r="I53" s="1094">
        <f t="shared" si="19"/>
        <v>15343.078242225612</v>
      </c>
      <c r="J53" s="1094"/>
      <c r="K53" s="1094">
        <f t="shared" si="20"/>
        <v>15343.078242225612</v>
      </c>
      <c r="L53" s="1094">
        <f t="shared" si="21"/>
        <v>1279</v>
      </c>
      <c r="M53" s="1086">
        <f>'[8]FY2012-13 Initial'!$K54</f>
        <v>9947</v>
      </c>
      <c r="N53" s="1088">
        <f t="shared" si="30"/>
        <v>39788</v>
      </c>
      <c r="O53" s="1155">
        <f t="shared" si="22"/>
        <v>-99.47</v>
      </c>
      <c r="P53" s="1088">
        <f t="shared" si="23"/>
        <v>39688.53</v>
      </c>
      <c r="Q53" s="1088"/>
      <c r="R53" s="1088">
        <f t="shared" si="24"/>
        <v>39688.53</v>
      </c>
      <c r="S53" s="1088">
        <f t="shared" si="25"/>
        <v>3307</v>
      </c>
      <c r="T53" s="1089">
        <f t="shared" si="26"/>
        <v>55031.608242225615</v>
      </c>
      <c r="U53" s="1089">
        <f t="shared" si="27"/>
        <v>4586</v>
      </c>
    </row>
    <row r="54" spans="1:21">
      <c r="A54" s="1028">
        <v>48</v>
      </c>
      <c r="B54" s="1029" t="s">
        <v>222</v>
      </c>
      <c r="C54" s="1036">
        <f>'Table 8 2.1.12 MFP Funded'!R51</f>
        <v>1</v>
      </c>
      <c r="D54" s="1037">
        <f>'Table 3 Levels 1&amp;2'!AL55</f>
        <v>4260.4872196136057</v>
      </c>
      <c r="E54" s="1139">
        <f t="shared" si="28"/>
        <v>4260.4872196136057</v>
      </c>
      <c r="F54" s="1139">
        <f t="shared" si="17"/>
        <v>659.21180998497243</v>
      </c>
      <c r="G54" s="1094">
        <f t="shared" si="29"/>
        <v>4919.6990295985779</v>
      </c>
      <c r="H54" s="1149">
        <f t="shared" si="18"/>
        <v>-12.299247573996444</v>
      </c>
      <c r="I54" s="1094">
        <f t="shared" si="19"/>
        <v>4907.3997820245813</v>
      </c>
      <c r="J54" s="1094"/>
      <c r="K54" s="1094">
        <f t="shared" si="20"/>
        <v>4907.3997820245813</v>
      </c>
      <c r="L54" s="1094">
        <f t="shared" si="21"/>
        <v>409</v>
      </c>
      <c r="M54" s="1086">
        <f>'[8]FY2012-13 Initial'!$K55</f>
        <v>5325</v>
      </c>
      <c r="N54" s="1088">
        <f t="shared" si="30"/>
        <v>5325</v>
      </c>
      <c r="O54" s="1155">
        <f t="shared" si="22"/>
        <v>-13.3125</v>
      </c>
      <c r="P54" s="1088">
        <f t="shared" si="23"/>
        <v>5311.6875</v>
      </c>
      <c r="Q54" s="1088"/>
      <c r="R54" s="1088">
        <f t="shared" si="24"/>
        <v>5311.6875</v>
      </c>
      <c r="S54" s="1088">
        <f t="shared" si="25"/>
        <v>443</v>
      </c>
      <c r="T54" s="1089">
        <f t="shared" si="26"/>
        <v>10219.087282024582</v>
      </c>
      <c r="U54" s="1089">
        <f t="shared" si="27"/>
        <v>852</v>
      </c>
    </row>
    <row r="55" spans="1:21">
      <c r="A55" s="1028">
        <v>49</v>
      </c>
      <c r="B55" s="1029" t="s">
        <v>149</v>
      </c>
      <c r="C55" s="1036">
        <f>'Table 8 2.1.12 MFP Funded'!R52</f>
        <v>0</v>
      </c>
      <c r="D55" s="1037">
        <f>'Table 3 Levels 1&amp;2'!AL56</f>
        <v>4800.2172145077111</v>
      </c>
      <c r="E55" s="1139">
        <f t="shared" si="28"/>
        <v>0</v>
      </c>
      <c r="F55" s="1139">
        <f t="shared" si="17"/>
        <v>0</v>
      </c>
      <c r="G55" s="1094">
        <f t="shared" si="29"/>
        <v>0</v>
      </c>
      <c r="H55" s="1149">
        <f t="shared" si="18"/>
        <v>0</v>
      </c>
      <c r="I55" s="1094">
        <f t="shared" si="19"/>
        <v>0</v>
      </c>
      <c r="J55" s="1094"/>
      <c r="K55" s="1094">
        <f t="shared" si="20"/>
        <v>0</v>
      </c>
      <c r="L55" s="1094">
        <f t="shared" si="21"/>
        <v>0</v>
      </c>
      <c r="M55" s="1086">
        <f>'[8]FY2012-13 Initial'!$K56</f>
        <v>2326</v>
      </c>
      <c r="N55" s="1088">
        <f t="shared" si="30"/>
        <v>0</v>
      </c>
      <c r="O55" s="1155">
        <f t="shared" si="22"/>
        <v>0</v>
      </c>
      <c r="P55" s="1088">
        <f t="shared" si="23"/>
        <v>0</v>
      </c>
      <c r="Q55" s="1088"/>
      <c r="R55" s="1088">
        <f t="shared" si="24"/>
        <v>0</v>
      </c>
      <c r="S55" s="1088">
        <f t="shared" si="25"/>
        <v>0</v>
      </c>
      <c r="T55" s="1089">
        <f t="shared" si="26"/>
        <v>0</v>
      </c>
      <c r="U55" s="1089">
        <f t="shared" si="27"/>
        <v>0</v>
      </c>
    </row>
    <row r="56" spans="1:21">
      <c r="A56" s="1032">
        <v>50</v>
      </c>
      <c r="B56" s="1033" t="s">
        <v>150</v>
      </c>
      <c r="C56" s="1038">
        <f>'Table 8 2.1.12 MFP Funded'!R53</f>
        <v>0</v>
      </c>
      <c r="D56" s="1039">
        <f>'Table 3 Levels 1&amp;2'!AL57</f>
        <v>5059.523754419537</v>
      </c>
      <c r="E56" s="1140">
        <f t="shared" si="28"/>
        <v>0</v>
      </c>
      <c r="F56" s="1140">
        <f t="shared" si="17"/>
        <v>0</v>
      </c>
      <c r="G56" s="1095">
        <f t="shared" si="29"/>
        <v>0</v>
      </c>
      <c r="H56" s="1150">
        <f t="shared" si="18"/>
        <v>0</v>
      </c>
      <c r="I56" s="1095">
        <f t="shared" si="19"/>
        <v>0</v>
      </c>
      <c r="J56" s="1095"/>
      <c r="K56" s="1095">
        <f t="shared" si="20"/>
        <v>0</v>
      </c>
      <c r="L56" s="1095">
        <f t="shared" si="21"/>
        <v>0</v>
      </c>
      <c r="M56" s="1091">
        <f>'[8]FY2012-13 Initial'!$K57</f>
        <v>2574</v>
      </c>
      <c r="N56" s="1092">
        <f t="shared" si="30"/>
        <v>0</v>
      </c>
      <c r="O56" s="1156">
        <f t="shared" si="22"/>
        <v>0</v>
      </c>
      <c r="P56" s="1092">
        <f t="shared" si="23"/>
        <v>0</v>
      </c>
      <c r="Q56" s="1092"/>
      <c r="R56" s="1092">
        <f t="shared" si="24"/>
        <v>0</v>
      </c>
      <c r="S56" s="1092">
        <f t="shared" si="25"/>
        <v>0</v>
      </c>
      <c r="T56" s="1093">
        <f t="shared" si="26"/>
        <v>0</v>
      </c>
      <c r="U56" s="1093">
        <f t="shared" si="27"/>
        <v>0</v>
      </c>
    </row>
    <row r="57" spans="1:21">
      <c r="A57" s="1021">
        <v>51</v>
      </c>
      <c r="B57" s="1022" t="s">
        <v>151</v>
      </c>
      <c r="C57" s="1040">
        <f>'Table 8 2.1.12 MFP Funded'!R54</f>
        <v>2</v>
      </c>
      <c r="D57" s="1041">
        <f>'Table 3 Levels 1&amp;2'!AL58</f>
        <v>4384.0477116019692</v>
      </c>
      <c r="E57" s="1141">
        <f t="shared" si="28"/>
        <v>8768.0954232039385</v>
      </c>
      <c r="F57" s="1141">
        <f t="shared" si="17"/>
        <v>1318.4236199699449</v>
      </c>
      <c r="G57" s="1096">
        <f t="shared" si="29"/>
        <v>10086.519043173883</v>
      </c>
      <c r="H57" s="1151">
        <f t="shared" si="18"/>
        <v>-25.216297607934706</v>
      </c>
      <c r="I57" s="1096">
        <f t="shared" si="19"/>
        <v>10061.302745565948</v>
      </c>
      <c r="J57" s="1096"/>
      <c r="K57" s="1096">
        <f t="shared" si="20"/>
        <v>10061.302745565948</v>
      </c>
      <c r="L57" s="1096">
        <f t="shared" si="21"/>
        <v>838</v>
      </c>
      <c r="M57" s="1086">
        <f>'[8]FY2012-13 Initial'!$K58</f>
        <v>3943</v>
      </c>
      <c r="N57" s="1026">
        <f t="shared" si="30"/>
        <v>7886</v>
      </c>
      <c r="O57" s="1154">
        <f t="shared" si="22"/>
        <v>-19.715</v>
      </c>
      <c r="P57" s="1026">
        <f t="shared" si="23"/>
        <v>7866.2849999999999</v>
      </c>
      <c r="Q57" s="1026"/>
      <c r="R57" s="1026">
        <f t="shared" si="24"/>
        <v>7866.2849999999999</v>
      </c>
      <c r="S57" s="1026">
        <f t="shared" si="25"/>
        <v>656</v>
      </c>
      <c r="T57" s="1027">
        <f t="shared" si="26"/>
        <v>17927.58774556595</v>
      </c>
      <c r="U57" s="1027">
        <f t="shared" si="27"/>
        <v>1494</v>
      </c>
    </row>
    <row r="58" spans="1:21">
      <c r="A58" s="1028">
        <v>52</v>
      </c>
      <c r="B58" s="1029" t="s">
        <v>152</v>
      </c>
      <c r="C58" s="1036">
        <f>'Table 8 2.1.12 MFP Funded'!R55</f>
        <v>0</v>
      </c>
      <c r="D58" s="1037">
        <f>'Table 3 Levels 1&amp;2'!AL59</f>
        <v>4920.0697942988754</v>
      </c>
      <c r="E58" s="1139">
        <f t="shared" si="28"/>
        <v>0</v>
      </c>
      <c r="F58" s="1139">
        <f t="shared" si="17"/>
        <v>0</v>
      </c>
      <c r="G58" s="1094">
        <f t="shared" si="29"/>
        <v>0</v>
      </c>
      <c r="H58" s="1149">
        <f t="shared" si="18"/>
        <v>0</v>
      </c>
      <c r="I58" s="1094">
        <f t="shared" si="19"/>
        <v>0</v>
      </c>
      <c r="J58" s="1094"/>
      <c r="K58" s="1094">
        <f t="shared" si="20"/>
        <v>0</v>
      </c>
      <c r="L58" s="1094">
        <f t="shared" si="21"/>
        <v>0</v>
      </c>
      <c r="M58" s="1086">
        <f>'[8]FY2012-13 Initial'!$K59</f>
        <v>4750</v>
      </c>
      <c r="N58" s="1088">
        <f t="shared" si="30"/>
        <v>0</v>
      </c>
      <c r="O58" s="1155">
        <f t="shared" si="22"/>
        <v>0</v>
      </c>
      <c r="P58" s="1088">
        <f t="shared" si="23"/>
        <v>0</v>
      </c>
      <c r="Q58" s="1088"/>
      <c r="R58" s="1088">
        <f t="shared" si="24"/>
        <v>0</v>
      </c>
      <c r="S58" s="1088">
        <f t="shared" si="25"/>
        <v>0</v>
      </c>
      <c r="T58" s="1089">
        <f t="shared" si="26"/>
        <v>0</v>
      </c>
      <c r="U58" s="1089">
        <f t="shared" si="27"/>
        <v>0</v>
      </c>
    </row>
    <row r="59" spans="1:21">
      <c r="A59" s="1028">
        <v>53</v>
      </c>
      <c r="B59" s="1029" t="s">
        <v>153</v>
      </c>
      <c r="C59" s="1036">
        <f>'Table 8 2.1.12 MFP Funded'!R56</f>
        <v>0</v>
      </c>
      <c r="D59" s="1037">
        <f>'Table 3 Levels 1&amp;2'!AL60</f>
        <v>4784.2719870767614</v>
      </c>
      <c r="E59" s="1139">
        <f t="shared" si="28"/>
        <v>0</v>
      </c>
      <c r="F59" s="1139">
        <f t="shared" si="17"/>
        <v>0</v>
      </c>
      <c r="G59" s="1094">
        <f t="shared" si="29"/>
        <v>0</v>
      </c>
      <c r="H59" s="1149">
        <f t="shared" si="18"/>
        <v>0</v>
      </c>
      <c r="I59" s="1094">
        <f t="shared" si="19"/>
        <v>0</v>
      </c>
      <c r="J59" s="1094"/>
      <c r="K59" s="1094">
        <f t="shared" si="20"/>
        <v>0</v>
      </c>
      <c r="L59" s="1094">
        <f t="shared" si="21"/>
        <v>0</v>
      </c>
      <c r="M59" s="1086">
        <f>'[8]FY2012-13 Initial'!$K60</f>
        <v>1913</v>
      </c>
      <c r="N59" s="1088">
        <f t="shared" si="30"/>
        <v>0</v>
      </c>
      <c r="O59" s="1155">
        <f t="shared" si="22"/>
        <v>0</v>
      </c>
      <c r="P59" s="1088">
        <f t="shared" si="23"/>
        <v>0</v>
      </c>
      <c r="Q59" s="1088"/>
      <c r="R59" s="1088">
        <f t="shared" si="24"/>
        <v>0</v>
      </c>
      <c r="S59" s="1088">
        <f t="shared" si="25"/>
        <v>0</v>
      </c>
      <c r="T59" s="1089">
        <f t="shared" si="26"/>
        <v>0</v>
      </c>
      <c r="U59" s="1089">
        <f t="shared" si="27"/>
        <v>0</v>
      </c>
    </row>
    <row r="60" spans="1:21">
      <c r="A60" s="1028">
        <v>54</v>
      </c>
      <c r="B60" s="1029" t="s">
        <v>154</v>
      </c>
      <c r="C60" s="1036">
        <f>'Table 8 2.1.12 MFP Funded'!R57</f>
        <v>0</v>
      </c>
      <c r="D60" s="1037">
        <f>'Table 3 Levels 1&amp;2'!AL61</f>
        <v>5982.5555386476462</v>
      </c>
      <c r="E60" s="1139">
        <f t="shared" si="28"/>
        <v>0</v>
      </c>
      <c r="F60" s="1139">
        <f t="shared" si="17"/>
        <v>0</v>
      </c>
      <c r="G60" s="1094">
        <f t="shared" si="29"/>
        <v>0</v>
      </c>
      <c r="H60" s="1149">
        <f t="shared" si="18"/>
        <v>0</v>
      </c>
      <c r="I60" s="1094">
        <f t="shared" si="19"/>
        <v>0</v>
      </c>
      <c r="J60" s="1094"/>
      <c r="K60" s="1094">
        <f t="shared" si="20"/>
        <v>0</v>
      </c>
      <c r="L60" s="1094">
        <f t="shared" si="21"/>
        <v>0</v>
      </c>
      <c r="M60" s="1086">
        <f>'[8]FY2012-13 Initial'!$K61</f>
        <v>3264</v>
      </c>
      <c r="N60" s="1088">
        <f t="shared" si="30"/>
        <v>0</v>
      </c>
      <c r="O60" s="1155">
        <f t="shared" si="22"/>
        <v>0</v>
      </c>
      <c r="P60" s="1088">
        <f t="shared" si="23"/>
        <v>0</v>
      </c>
      <c r="Q60" s="1088"/>
      <c r="R60" s="1088">
        <f t="shared" si="24"/>
        <v>0</v>
      </c>
      <c r="S60" s="1088">
        <f t="shared" si="25"/>
        <v>0</v>
      </c>
      <c r="T60" s="1089">
        <f t="shared" si="26"/>
        <v>0</v>
      </c>
      <c r="U60" s="1089">
        <f t="shared" si="27"/>
        <v>0</v>
      </c>
    </row>
    <row r="61" spans="1:21">
      <c r="A61" s="1032">
        <v>55</v>
      </c>
      <c r="B61" s="1033" t="s">
        <v>155</v>
      </c>
      <c r="C61" s="1038">
        <f>'Table 8 2.1.12 MFP Funded'!R58</f>
        <v>37</v>
      </c>
      <c r="D61" s="1039">
        <f>'Table 3 Levels 1&amp;2'!AL62</f>
        <v>4087.4017448818722</v>
      </c>
      <c r="E61" s="1140">
        <f t="shared" si="28"/>
        <v>151233.86456062927</v>
      </c>
      <c r="F61" s="1140">
        <f t="shared" si="17"/>
        <v>24390.836969443979</v>
      </c>
      <c r="G61" s="1095">
        <f t="shared" si="29"/>
        <v>175624.70153007325</v>
      </c>
      <c r="H61" s="1150">
        <f t="shared" si="18"/>
        <v>-439.06175382518313</v>
      </c>
      <c r="I61" s="1095">
        <f t="shared" si="19"/>
        <v>175185.63977624805</v>
      </c>
      <c r="J61" s="1095"/>
      <c r="K61" s="1095">
        <f t="shared" si="20"/>
        <v>175185.63977624805</v>
      </c>
      <c r="L61" s="1095">
        <f t="shared" si="21"/>
        <v>14599</v>
      </c>
      <c r="M61" s="1091">
        <f>'[8]FY2012-13 Initial'!$K62</f>
        <v>3071</v>
      </c>
      <c r="N61" s="1092">
        <f t="shared" si="30"/>
        <v>113627</v>
      </c>
      <c r="O61" s="1156">
        <f t="shared" si="22"/>
        <v>-284.0675</v>
      </c>
      <c r="P61" s="1092">
        <f t="shared" si="23"/>
        <v>113342.9325</v>
      </c>
      <c r="Q61" s="1092"/>
      <c r="R61" s="1092">
        <f t="shared" si="24"/>
        <v>113342.9325</v>
      </c>
      <c r="S61" s="1092">
        <f t="shared" si="25"/>
        <v>9445</v>
      </c>
      <c r="T61" s="1093">
        <f t="shared" si="26"/>
        <v>288528.57227624801</v>
      </c>
      <c r="U61" s="1093">
        <f t="shared" si="27"/>
        <v>24044</v>
      </c>
    </row>
    <row r="62" spans="1:21">
      <c r="A62" s="1021">
        <v>56</v>
      </c>
      <c r="B62" s="1022" t="s">
        <v>156</v>
      </c>
      <c r="C62" s="1040">
        <f>'Table 8 2.1.12 MFP Funded'!R59</f>
        <v>0</v>
      </c>
      <c r="D62" s="1041">
        <f>'Table 3 Levels 1&amp;2'!AL63</f>
        <v>5052.2250942802684</v>
      </c>
      <c r="E62" s="1141">
        <f t="shared" si="28"/>
        <v>0</v>
      </c>
      <c r="F62" s="1141">
        <f t="shared" si="17"/>
        <v>0</v>
      </c>
      <c r="G62" s="1096">
        <f t="shared" si="29"/>
        <v>0</v>
      </c>
      <c r="H62" s="1151">
        <f t="shared" si="18"/>
        <v>0</v>
      </c>
      <c r="I62" s="1096">
        <f t="shared" si="19"/>
        <v>0</v>
      </c>
      <c r="J62" s="1096"/>
      <c r="K62" s="1096">
        <f t="shared" si="20"/>
        <v>0</v>
      </c>
      <c r="L62" s="1096">
        <f t="shared" si="21"/>
        <v>0</v>
      </c>
      <c r="M62" s="1086">
        <f>'[8]FY2012-13 Initial'!$K63</f>
        <v>2630</v>
      </c>
      <c r="N62" s="1026">
        <f t="shared" si="30"/>
        <v>0</v>
      </c>
      <c r="O62" s="1154">
        <f t="shared" si="22"/>
        <v>0</v>
      </c>
      <c r="P62" s="1026">
        <f t="shared" si="23"/>
        <v>0</v>
      </c>
      <c r="Q62" s="1026"/>
      <c r="R62" s="1026">
        <f t="shared" si="24"/>
        <v>0</v>
      </c>
      <c r="S62" s="1026">
        <f t="shared" si="25"/>
        <v>0</v>
      </c>
      <c r="T62" s="1027">
        <f t="shared" si="26"/>
        <v>0</v>
      </c>
      <c r="U62" s="1027">
        <f t="shared" si="27"/>
        <v>0</v>
      </c>
    </row>
    <row r="63" spans="1:21">
      <c r="A63" s="1028">
        <v>57</v>
      </c>
      <c r="B63" s="1029" t="s">
        <v>157</v>
      </c>
      <c r="C63" s="1036">
        <f>'Table 8 2.1.12 MFP Funded'!R60</f>
        <v>0</v>
      </c>
      <c r="D63" s="1037">
        <f>'Table 3 Levels 1&amp;2'!AL64</f>
        <v>4389.3863180380931</v>
      </c>
      <c r="E63" s="1139">
        <f t="shared" si="28"/>
        <v>0</v>
      </c>
      <c r="F63" s="1139">
        <f t="shared" si="17"/>
        <v>0</v>
      </c>
      <c r="G63" s="1094">
        <f t="shared" si="29"/>
        <v>0</v>
      </c>
      <c r="H63" s="1149">
        <f t="shared" si="18"/>
        <v>0</v>
      </c>
      <c r="I63" s="1094">
        <f t="shared" si="19"/>
        <v>0</v>
      </c>
      <c r="J63" s="1094"/>
      <c r="K63" s="1094">
        <f t="shared" si="20"/>
        <v>0</v>
      </c>
      <c r="L63" s="1094">
        <f t="shared" si="21"/>
        <v>0</v>
      </c>
      <c r="M63" s="1086">
        <f>'[8]FY2012-13 Initial'!$K64</f>
        <v>3053</v>
      </c>
      <c r="N63" s="1088">
        <f t="shared" si="30"/>
        <v>0</v>
      </c>
      <c r="O63" s="1155">
        <f t="shared" si="22"/>
        <v>0</v>
      </c>
      <c r="P63" s="1088">
        <f t="shared" si="23"/>
        <v>0</v>
      </c>
      <c r="Q63" s="1088"/>
      <c r="R63" s="1088">
        <f t="shared" si="24"/>
        <v>0</v>
      </c>
      <c r="S63" s="1088">
        <f t="shared" si="25"/>
        <v>0</v>
      </c>
      <c r="T63" s="1089">
        <f t="shared" si="26"/>
        <v>0</v>
      </c>
      <c r="U63" s="1089">
        <f t="shared" si="27"/>
        <v>0</v>
      </c>
    </row>
    <row r="64" spans="1:21">
      <c r="A64" s="1028">
        <v>58</v>
      </c>
      <c r="B64" s="1029" t="s">
        <v>158</v>
      </c>
      <c r="C64" s="1036">
        <f>'Table 8 2.1.12 MFP Funded'!R61</f>
        <v>0</v>
      </c>
      <c r="D64" s="1037">
        <f>'Table 3 Levels 1&amp;2'!AL65</f>
        <v>5325.8881107130073</v>
      </c>
      <c r="E64" s="1139">
        <f t="shared" si="28"/>
        <v>0</v>
      </c>
      <c r="F64" s="1139">
        <f t="shared" si="17"/>
        <v>0</v>
      </c>
      <c r="G64" s="1094">
        <f t="shared" si="29"/>
        <v>0</v>
      </c>
      <c r="H64" s="1149">
        <f t="shared" si="18"/>
        <v>0</v>
      </c>
      <c r="I64" s="1094">
        <f t="shared" si="19"/>
        <v>0</v>
      </c>
      <c r="J64" s="1094"/>
      <c r="K64" s="1094">
        <f t="shared" si="20"/>
        <v>0</v>
      </c>
      <c r="L64" s="1094">
        <f t="shared" si="21"/>
        <v>0</v>
      </c>
      <c r="M64" s="1086">
        <f>'[8]FY2012-13 Initial'!$K65</f>
        <v>1917</v>
      </c>
      <c r="N64" s="1088">
        <f t="shared" si="30"/>
        <v>0</v>
      </c>
      <c r="O64" s="1155">
        <f t="shared" si="22"/>
        <v>0</v>
      </c>
      <c r="P64" s="1088">
        <f t="shared" si="23"/>
        <v>0</v>
      </c>
      <c r="Q64" s="1088"/>
      <c r="R64" s="1088">
        <f t="shared" si="24"/>
        <v>0</v>
      </c>
      <c r="S64" s="1088">
        <f t="shared" si="25"/>
        <v>0</v>
      </c>
      <c r="T64" s="1089">
        <f t="shared" si="26"/>
        <v>0</v>
      </c>
      <c r="U64" s="1089">
        <f t="shared" si="27"/>
        <v>0</v>
      </c>
    </row>
    <row r="65" spans="1:21">
      <c r="A65" s="1028">
        <v>59</v>
      </c>
      <c r="B65" s="1029" t="s">
        <v>159</v>
      </c>
      <c r="C65" s="1036">
        <f>'Table 8 2.1.12 MFP Funded'!R62</f>
        <v>0</v>
      </c>
      <c r="D65" s="1037">
        <f>'Table 3 Levels 1&amp;2'!AL66</f>
        <v>6328.4963620482158</v>
      </c>
      <c r="E65" s="1139">
        <f t="shared" si="28"/>
        <v>0</v>
      </c>
      <c r="F65" s="1139">
        <f t="shared" si="17"/>
        <v>0</v>
      </c>
      <c r="G65" s="1094">
        <f t="shared" si="29"/>
        <v>0</v>
      </c>
      <c r="H65" s="1149">
        <f t="shared" si="18"/>
        <v>0</v>
      </c>
      <c r="I65" s="1094">
        <f t="shared" si="19"/>
        <v>0</v>
      </c>
      <c r="J65" s="1094"/>
      <c r="K65" s="1094">
        <f t="shared" si="20"/>
        <v>0</v>
      </c>
      <c r="L65" s="1094">
        <f t="shared" si="21"/>
        <v>0</v>
      </c>
      <c r="M65" s="1086">
        <f>'[8]FY2012-13 Initial'!$K66</f>
        <v>1553</v>
      </c>
      <c r="N65" s="1088">
        <f t="shared" si="30"/>
        <v>0</v>
      </c>
      <c r="O65" s="1155">
        <f t="shared" si="22"/>
        <v>0</v>
      </c>
      <c r="P65" s="1088">
        <f t="shared" si="23"/>
        <v>0</v>
      </c>
      <c r="Q65" s="1088"/>
      <c r="R65" s="1088">
        <f t="shared" si="24"/>
        <v>0</v>
      </c>
      <c r="S65" s="1088">
        <f t="shared" si="25"/>
        <v>0</v>
      </c>
      <c r="T65" s="1089">
        <f t="shared" si="26"/>
        <v>0</v>
      </c>
      <c r="U65" s="1089">
        <f t="shared" si="27"/>
        <v>0</v>
      </c>
    </row>
    <row r="66" spans="1:21">
      <c r="A66" s="1032">
        <v>60</v>
      </c>
      <c r="B66" s="1033" t="s">
        <v>160</v>
      </c>
      <c r="C66" s="1038">
        <f>'Table 8 2.1.12 MFP Funded'!R63</f>
        <v>0</v>
      </c>
      <c r="D66" s="1039">
        <f>'Table 3 Levels 1&amp;2'!AL67</f>
        <v>4825.1723230627122</v>
      </c>
      <c r="E66" s="1140">
        <f t="shared" si="28"/>
        <v>0</v>
      </c>
      <c r="F66" s="1140">
        <f t="shared" si="17"/>
        <v>0</v>
      </c>
      <c r="G66" s="1095">
        <f t="shared" si="29"/>
        <v>0</v>
      </c>
      <c r="H66" s="1150">
        <f t="shared" si="18"/>
        <v>0</v>
      </c>
      <c r="I66" s="1095">
        <f t="shared" si="19"/>
        <v>0</v>
      </c>
      <c r="J66" s="1095"/>
      <c r="K66" s="1095">
        <f t="shared" si="20"/>
        <v>0</v>
      </c>
      <c r="L66" s="1095">
        <f t="shared" si="21"/>
        <v>0</v>
      </c>
      <c r="M66" s="1091">
        <f>'[8]FY2012-13 Initial'!$K67</f>
        <v>3798</v>
      </c>
      <c r="N66" s="1092">
        <f t="shared" si="30"/>
        <v>0</v>
      </c>
      <c r="O66" s="1156">
        <f t="shared" si="22"/>
        <v>0</v>
      </c>
      <c r="P66" s="1092">
        <f t="shared" si="23"/>
        <v>0</v>
      </c>
      <c r="Q66" s="1092"/>
      <c r="R66" s="1092">
        <f t="shared" si="24"/>
        <v>0</v>
      </c>
      <c r="S66" s="1092">
        <f t="shared" si="25"/>
        <v>0</v>
      </c>
      <c r="T66" s="1093">
        <f t="shared" si="26"/>
        <v>0</v>
      </c>
      <c r="U66" s="1093">
        <f t="shared" si="27"/>
        <v>0</v>
      </c>
    </row>
    <row r="67" spans="1:21">
      <c r="A67" s="1021">
        <v>61</v>
      </c>
      <c r="B67" s="1022" t="s">
        <v>161</v>
      </c>
      <c r="C67" s="1040">
        <f>'Table 8 2.1.12 MFP Funded'!R64</f>
        <v>0</v>
      </c>
      <c r="D67" s="1041">
        <f>'Table 3 Levels 1&amp;2'!AL68</f>
        <v>3063.3110364585282</v>
      </c>
      <c r="E67" s="1141">
        <f t="shared" si="28"/>
        <v>0</v>
      </c>
      <c r="F67" s="1141">
        <f t="shared" si="17"/>
        <v>0</v>
      </c>
      <c r="G67" s="1096">
        <f t="shared" si="29"/>
        <v>0</v>
      </c>
      <c r="H67" s="1151">
        <f t="shared" si="18"/>
        <v>0</v>
      </c>
      <c r="I67" s="1096">
        <f t="shared" si="19"/>
        <v>0</v>
      </c>
      <c r="J67" s="1096"/>
      <c r="K67" s="1096">
        <f t="shared" si="20"/>
        <v>0</v>
      </c>
      <c r="L67" s="1096">
        <f t="shared" si="21"/>
        <v>0</v>
      </c>
      <c r="M67" s="1086">
        <f>'[8]FY2012-13 Initial'!$K68</f>
        <v>6727</v>
      </c>
      <c r="N67" s="1026">
        <f t="shared" si="30"/>
        <v>0</v>
      </c>
      <c r="O67" s="1154">
        <f t="shared" si="22"/>
        <v>0</v>
      </c>
      <c r="P67" s="1026">
        <f t="shared" si="23"/>
        <v>0</v>
      </c>
      <c r="Q67" s="1026"/>
      <c r="R67" s="1026">
        <f t="shared" si="24"/>
        <v>0</v>
      </c>
      <c r="S67" s="1026">
        <f t="shared" si="25"/>
        <v>0</v>
      </c>
      <c r="T67" s="1027">
        <f t="shared" si="26"/>
        <v>0</v>
      </c>
      <c r="U67" s="1027">
        <f t="shared" si="27"/>
        <v>0</v>
      </c>
    </row>
    <row r="68" spans="1:21">
      <c r="A68" s="1028">
        <v>62</v>
      </c>
      <c r="B68" s="1029" t="s">
        <v>162</v>
      </c>
      <c r="C68" s="1036">
        <f>'Table 8 2.1.12 MFP Funded'!R65</f>
        <v>0</v>
      </c>
      <c r="D68" s="1037">
        <f>'Table 3 Levels 1&amp;2'!AL69</f>
        <v>5564.645485869667</v>
      </c>
      <c r="E68" s="1139">
        <f t="shared" si="28"/>
        <v>0</v>
      </c>
      <c r="F68" s="1139">
        <f t="shared" si="17"/>
        <v>0</v>
      </c>
      <c r="G68" s="1094">
        <f t="shared" si="29"/>
        <v>0</v>
      </c>
      <c r="H68" s="1149">
        <f t="shared" si="18"/>
        <v>0</v>
      </c>
      <c r="I68" s="1094">
        <f t="shared" si="19"/>
        <v>0</v>
      </c>
      <c r="J68" s="1094"/>
      <c r="K68" s="1094">
        <f t="shared" si="20"/>
        <v>0</v>
      </c>
      <c r="L68" s="1094">
        <f t="shared" si="21"/>
        <v>0</v>
      </c>
      <c r="M68" s="1086">
        <f>'[8]FY2012-13 Initial'!$K69</f>
        <v>1678</v>
      </c>
      <c r="N68" s="1088">
        <f t="shared" si="30"/>
        <v>0</v>
      </c>
      <c r="O68" s="1155">
        <f t="shared" si="22"/>
        <v>0</v>
      </c>
      <c r="P68" s="1088">
        <f t="shared" si="23"/>
        <v>0</v>
      </c>
      <c r="Q68" s="1088"/>
      <c r="R68" s="1088">
        <f t="shared" si="24"/>
        <v>0</v>
      </c>
      <c r="S68" s="1088">
        <f t="shared" si="25"/>
        <v>0</v>
      </c>
      <c r="T68" s="1089">
        <f t="shared" si="26"/>
        <v>0</v>
      </c>
      <c r="U68" s="1089">
        <f t="shared" si="27"/>
        <v>0</v>
      </c>
    </row>
    <row r="69" spans="1:21">
      <c r="A69" s="1028">
        <v>63</v>
      </c>
      <c r="B69" s="1029" t="s">
        <v>163</v>
      </c>
      <c r="C69" s="1036">
        <f>'Table 8 2.1.12 MFP Funded'!R66</f>
        <v>0</v>
      </c>
      <c r="D69" s="1037">
        <f>'Table 3 Levels 1&amp;2'!AL70</f>
        <v>4414.1775336636538</v>
      </c>
      <c r="E69" s="1139">
        <f t="shared" si="28"/>
        <v>0</v>
      </c>
      <c r="F69" s="1139">
        <f t="shared" si="17"/>
        <v>0</v>
      </c>
      <c r="G69" s="1094">
        <f t="shared" si="29"/>
        <v>0</v>
      </c>
      <c r="H69" s="1149">
        <f t="shared" si="18"/>
        <v>0</v>
      </c>
      <c r="I69" s="1094">
        <f t="shared" si="19"/>
        <v>0</v>
      </c>
      <c r="J69" s="1094"/>
      <c r="K69" s="1094">
        <f t="shared" si="20"/>
        <v>0</v>
      </c>
      <c r="L69" s="1094">
        <f t="shared" si="21"/>
        <v>0</v>
      </c>
      <c r="M69" s="1086">
        <f>'[8]FY2012-13 Initial'!$K70</f>
        <v>6524</v>
      </c>
      <c r="N69" s="1088">
        <f t="shared" si="30"/>
        <v>0</v>
      </c>
      <c r="O69" s="1155">
        <f t="shared" si="22"/>
        <v>0</v>
      </c>
      <c r="P69" s="1088">
        <f t="shared" si="23"/>
        <v>0</v>
      </c>
      <c r="Q69" s="1088"/>
      <c r="R69" s="1088">
        <f t="shared" si="24"/>
        <v>0</v>
      </c>
      <c r="S69" s="1088">
        <f t="shared" si="25"/>
        <v>0</v>
      </c>
      <c r="T69" s="1089">
        <f t="shared" si="26"/>
        <v>0</v>
      </c>
      <c r="U69" s="1089">
        <f t="shared" si="27"/>
        <v>0</v>
      </c>
    </row>
    <row r="70" spans="1:21">
      <c r="A70" s="1028">
        <v>64</v>
      </c>
      <c r="B70" s="1029" t="s">
        <v>164</v>
      </c>
      <c r="C70" s="1036">
        <f>'Table 8 2.1.12 MFP Funded'!R67</f>
        <v>0</v>
      </c>
      <c r="D70" s="1037">
        <f>'Table 3 Levels 1&amp;2'!AL71</f>
        <v>5871.0485811924027</v>
      </c>
      <c r="E70" s="1139">
        <f t="shared" si="28"/>
        <v>0</v>
      </c>
      <c r="F70" s="1139">
        <f t="shared" si="17"/>
        <v>0</v>
      </c>
      <c r="G70" s="1094">
        <f t="shared" si="29"/>
        <v>0</v>
      </c>
      <c r="H70" s="1149">
        <f t="shared" si="18"/>
        <v>0</v>
      </c>
      <c r="I70" s="1094">
        <f t="shared" si="19"/>
        <v>0</v>
      </c>
      <c r="J70" s="1094"/>
      <c r="K70" s="1094">
        <f t="shared" si="20"/>
        <v>0</v>
      </c>
      <c r="L70" s="1094">
        <f t="shared" si="21"/>
        <v>0</v>
      </c>
      <c r="M70" s="1086">
        <f>'[8]FY2012-13 Initial'!$K71</f>
        <v>2658</v>
      </c>
      <c r="N70" s="1088">
        <f t="shared" si="30"/>
        <v>0</v>
      </c>
      <c r="O70" s="1155">
        <f t="shared" si="22"/>
        <v>0</v>
      </c>
      <c r="P70" s="1088">
        <f t="shared" si="23"/>
        <v>0</v>
      </c>
      <c r="Q70" s="1088"/>
      <c r="R70" s="1088">
        <f t="shared" si="24"/>
        <v>0</v>
      </c>
      <c r="S70" s="1088">
        <f t="shared" si="25"/>
        <v>0</v>
      </c>
      <c r="T70" s="1089">
        <f t="shared" si="26"/>
        <v>0</v>
      </c>
      <c r="U70" s="1089">
        <f t="shared" si="27"/>
        <v>0</v>
      </c>
    </row>
    <row r="71" spans="1:21">
      <c r="A71" s="1032">
        <v>65</v>
      </c>
      <c r="B71" s="1033" t="s">
        <v>165</v>
      </c>
      <c r="C71" s="1038">
        <f>'Table 8 2.1.12 MFP Funded'!R68</f>
        <v>0</v>
      </c>
      <c r="D71" s="1039">
        <f>'Table 3 Levels 1&amp;2'!AL72</f>
        <v>4602.2046951319899</v>
      </c>
      <c r="E71" s="1140">
        <f t="shared" ref="E71:E75" si="31">D71*C71</f>
        <v>0</v>
      </c>
      <c r="F71" s="1140">
        <f t="shared" si="17"/>
        <v>0</v>
      </c>
      <c r="G71" s="1095">
        <f t="shared" ref="G71:G75" si="32">E71+F71</f>
        <v>0</v>
      </c>
      <c r="H71" s="1150">
        <f t="shared" si="18"/>
        <v>0</v>
      </c>
      <c r="I71" s="1095">
        <f t="shared" si="19"/>
        <v>0</v>
      </c>
      <c r="J71" s="1095"/>
      <c r="K71" s="1095">
        <f t="shared" si="20"/>
        <v>0</v>
      </c>
      <c r="L71" s="1095">
        <f t="shared" si="21"/>
        <v>0</v>
      </c>
      <c r="M71" s="1091">
        <f>'[8]FY2012-13 Initial'!$K72</f>
        <v>4631</v>
      </c>
      <c r="N71" s="1092">
        <f t="shared" ref="N71:N75" si="33">M71*C71</f>
        <v>0</v>
      </c>
      <c r="O71" s="1156">
        <f t="shared" si="22"/>
        <v>0</v>
      </c>
      <c r="P71" s="1092">
        <f t="shared" si="23"/>
        <v>0</v>
      </c>
      <c r="Q71" s="1092"/>
      <c r="R71" s="1092">
        <f t="shared" si="24"/>
        <v>0</v>
      </c>
      <c r="S71" s="1092">
        <f t="shared" si="25"/>
        <v>0</v>
      </c>
      <c r="T71" s="1093">
        <f t="shared" si="26"/>
        <v>0</v>
      </c>
      <c r="U71" s="1093">
        <f t="shared" ref="U71:U75" si="34">L71+S71</f>
        <v>0</v>
      </c>
    </row>
    <row r="72" spans="1:21">
      <c r="A72" s="1021">
        <v>66</v>
      </c>
      <c r="B72" s="1022" t="s">
        <v>166</v>
      </c>
      <c r="C72" s="1040">
        <f>'Table 8 2.1.12 MFP Funded'!R69</f>
        <v>0</v>
      </c>
      <c r="D72" s="1041">
        <f>'Table 3 Levels 1&amp;2'!AL73</f>
        <v>6243.8912249150071</v>
      </c>
      <c r="E72" s="1141">
        <f t="shared" si="31"/>
        <v>0</v>
      </c>
      <c r="F72" s="1141">
        <f t="shared" ref="F72:F75" si="35">C72*$F$4</f>
        <v>0</v>
      </c>
      <c r="G72" s="1096">
        <f t="shared" si="32"/>
        <v>0</v>
      </c>
      <c r="H72" s="1151">
        <f t="shared" ref="H72:H75" si="36">-G72*$H$4</f>
        <v>0</v>
      </c>
      <c r="I72" s="1096">
        <f t="shared" ref="I72:I75" si="37">SUM(G72:H72)</f>
        <v>0</v>
      </c>
      <c r="J72" s="1096"/>
      <c r="K72" s="1096">
        <f t="shared" ref="K72:K75" si="38">SUM(I72:J72)</f>
        <v>0</v>
      </c>
      <c r="L72" s="1096">
        <f t="shared" ref="L72:L75" si="39">ROUND(K72/12,0)</f>
        <v>0</v>
      </c>
      <c r="M72" s="1086">
        <f>'[8]FY2012-13 Initial'!$K73</f>
        <v>3443</v>
      </c>
      <c r="N72" s="1026">
        <f t="shared" si="33"/>
        <v>0</v>
      </c>
      <c r="O72" s="1154">
        <f t="shared" ref="O72:O75" si="40">-N72*$O$4</f>
        <v>0</v>
      </c>
      <c r="P72" s="1026">
        <f t="shared" ref="P72:P75" si="41">SUM(N72:O72)</f>
        <v>0</v>
      </c>
      <c r="Q72" s="1026"/>
      <c r="R72" s="1026">
        <f t="shared" ref="R72:R75" si="42">SUM(P72:Q72)</f>
        <v>0</v>
      </c>
      <c r="S72" s="1026">
        <f t="shared" ref="S72:S75" si="43">ROUND(R72/12,0)</f>
        <v>0</v>
      </c>
      <c r="T72" s="1027">
        <f t="shared" ref="T72:T75" si="44">K72+R72</f>
        <v>0</v>
      </c>
      <c r="U72" s="1027">
        <f t="shared" si="34"/>
        <v>0</v>
      </c>
    </row>
    <row r="73" spans="1:21">
      <c r="A73" s="1028">
        <v>67</v>
      </c>
      <c r="B73" s="1029" t="s">
        <v>33</v>
      </c>
      <c r="C73" s="1036">
        <f>'Table 8 2.1.12 MFP Funded'!R70</f>
        <v>0</v>
      </c>
      <c r="D73" s="1037">
        <f>'Table 3 Levels 1&amp;2'!AL74</f>
        <v>5049.6489898847567</v>
      </c>
      <c r="E73" s="1139">
        <f t="shared" si="31"/>
        <v>0</v>
      </c>
      <c r="F73" s="1139">
        <f t="shared" si="35"/>
        <v>0</v>
      </c>
      <c r="G73" s="1094">
        <f t="shared" si="32"/>
        <v>0</v>
      </c>
      <c r="H73" s="1149">
        <f t="shared" si="36"/>
        <v>0</v>
      </c>
      <c r="I73" s="1094">
        <f t="shared" si="37"/>
        <v>0</v>
      </c>
      <c r="J73" s="1094"/>
      <c r="K73" s="1094">
        <f t="shared" si="38"/>
        <v>0</v>
      </c>
      <c r="L73" s="1094">
        <f t="shared" si="39"/>
        <v>0</v>
      </c>
      <c r="M73" s="1086">
        <f>'[8]FY2012-13 Initial'!$K74</f>
        <v>4502</v>
      </c>
      <c r="N73" s="1088">
        <f t="shared" si="33"/>
        <v>0</v>
      </c>
      <c r="O73" s="1155">
        <f t="shared" si="40"/>
        <v>0</v>
      </c>
      <c r="P73" s="1088">
        <f t="shared" si="41"/>
        <v>0</v>
      </c>
      <c r="Q73" s="1088"/>
      <c r="R73" s="1088">
        <f t="shared" si="42"/>
        <v>0</v>
      </c>
      <c r="S73" s="1088">
        <f t="shared" si="43"/>
        <v>0</v>
      </c>
      <c r="T73" s="1089">
        <f t="shared" si="44"/>
        <v>0</v>
      </c>
      <c r="U73" s="1089">
        <f t="shared" si="34"/>
        <v>0</v>
      </c>
    </row>
    <row r="74" spans="1:21">
      <c r="A74" s="1028">
        <v>68</v>
      </c>
      <c r="B74" s="1029" t="s">
        <v>31</v>
      </c>
      <c r="C74" s="1036">
        <f>'Table 8 2.1.12 MFP Funded'!R71</f>
        <v>0</v>
      </c>
      <c r="D74" s="1037">
        <f>'Table 3 Levels 1&amp;2'!AL75</f>
        <v>5861.7500805575619</v>
      </c>
      <c r="E74" s="1139">
        <f t="shared" si="31"/>
        <v>0</v>
      </c>
      <c r="F74" s="1139">
        <f t="shared" si="35"/>
        <v>0</v>
      </c>
      <c r="G74" s="1094">
        <f t="shared" si="32"/>
        <v>0</v>
      </c>
      <c r="H74" s="1149">
        <f t="shared" si="36"/>
        <v>0</v>
      </c>
      <c r="I74" s="1094">
        <f t="shared" si="37"/>
        <v>0</v>
      </c>
      <c r="J74" s="1094"/>
      <c r="K74" s="1094">
        <f t="shared" si="38"/>
        <v>0</v>
      </c>
      <c r="L74" s="1094">
        <f t="shared" si="39"/>
        <v>0</v>
      </c>
      <c r="M74" s="1086">
        <f>'[8]FY2012-13 Initial'!$K75</f>
        <v>2587</v>
      </c>
      <c r="N74" s="1088">
        <f t="shared" si="33"/>
        <v>0</v>
      </c>
      <c r="O74" s="1155">
        <f t="shared" si="40"/>
        <v>0</v>
      </c>
      <c r="P74" s="1088">
        <f t="shared" si="41"/>
        <v>0</v>
      </c>
      <c r="Q74" s="1088"/>
      <c r="R74" s="1088">
        <f t="shared" si="42"/>
        <v>0</v>
      </c>
      <c r="S74" s="1088">
        <f t="shared" si="43"/>
        <v>0</v>
      </c>
      <c r="T74" s="1089">
        <f t="shared" si="44"/>
        <v>0</v>
      </c>
      <c r="U74" s="1089">
        <f t="shared" si="34"/>
        <v>0</v>
      </c>
    </row>
    <row r="75" spans="1:21">
      <c r="A75" s="1042">
        <v>69</v>
      </c>
      <c r="B75" s="1043" t="s">
        <v>235</v>
      </c>
      <c r="C75" s="1044">
        <f>'Table 8 2.1.12 MFP Funded'!R72</f>
        <v>0</v>
      </c>
      <c r="D75" s="1045">
        <f>'Table 3 Levels 1&amp;2'!AL76</f>
        <v>5508.3397285189958</v>
      </c>
      <c r="E75" s="1142">
        <f t="shared" si="31"/>
        <v>0</v>
      </c>
      <c r="F75" s="1142">
        <f t="shared" si="35"/>
        <v>0</v>
      </c>
      <c r="G75" s="1097">
        <f t="shared" si="32"/>
        <v>0</v>
      </c>
      <c r="H75" s="1152">
        <f t="shared" si="36"/>
        <v>0</v>
      </c>
      <c r="I75" s="1097">
        <f t="shared" si="37"/>
        <v>0</v>
      </c>
      <c r="J75" s="1097"/>
      <c r="K75" s="1097">
        <f t="shared" si="38"/>
        <v>0</v>
      </c>
      <c r="L75" s="1097">
        <f t="shared" si="39"/>
        <v>0</v>
      </c>
      <c r="M75" s="1086">
        <f>'[8]FY2012-13 Initial'!$K76</f>
        <v>3233</v>
      </c>
      <c r="N75" s="1098">
        <f t="shared" si="33"/>
        <v>0</v>
      </c>
      <c r="O75" s="1157">
        <f t="shared" si="40"/>
        <v>0</v>
      </c>
      <c r="P75" s="1098">
        <f t="shared" si="41"/>
        <v>0</v>
      </c>
      <c r="Q75" s="1098"/>
      <c r="R75" s="1098">
        <f t="shared" si="42"/>
        <v>0</v>
      </c>
      <c r="S75" s="1098">
        <f t="shared" si="43"/>
        <v>0</v>
      </c>
      <c r="T75" s="1099">
        <f t="shared" si="44"/>
        <v>0</v>
      </c>
      <c r="U75" s="1099">
        <f t="shared" si="34"/>
        <v>0</v>
      </c>
    </row>
    <row r="76" spans="1:21" s="1053" customFormat="1" ht="13.5" thickBot="1">
      <c r="A76" s="1046"/>
      <c r="B76" s="1047" t="s">
        <v>167</v>
      </c>
      <c r="C76" s="1048">
        <f>SUM(C7:C75)</f>
        <v>102</v>
      </c>
      <c r="D76" s="1049">
        <f>'Table 3 Levels 1&amp;2'!AL77</f>
        <v>4325.8670725247357</v>
      </c>
      <c r="E76" s="1143">
        <f>SUM(E7:E75)</f>
        <v>403941.13356160151</v>
      </c>
      <c r="F76" s="1143">
        <f>SUM(F7:F75)</f>
        <v>67239.604618467187</v>
      </c>
      <c r="G76" s="1050">
        <f>SUM(G7:G75)</f>
        <v>471180.73818006867</v>
      </c>
      <c r="H76" s="1153">
        <f t="shared" ref="H76:J76" si="45">SUM(H7:H75)</f>
        <v>-1177.9518454501717</v>
      </c>
      <c r="I76" s="1050">
        <f t="shared" si="45"/>
        <v>470002.78633461846</v>
      </c>
      <c r="J76" s="1050">
        <f t="shared" si="45"/>
        <v>0</v>
      </c>
      <c r="K76" s="1050">
        <f>SUM(K7:K75)</f>
        <v>470002.78633461846</v>
      </c>
      <c r="L76" s="1050">
        <f>SUM(L7:L75)</f>
        <v>39167</v>
      </c>
      <c r="M76" s="1100"/>
      <c r="N76" s="1051">
        <f>SUM(N7:N75)</f>
        <v>443288</v>
      </c>
      <c r="O76" s="1158">
        <f t="shared" ref="O76" si="46">SUM(O7:O75)</f>
        <v>-1108.22</v>
      </c>
      <c r="P76" s="1051">
        <f t="shared" ref="P76:U76" si="47">SUM(P7:P75)</f>
        <v>442179.77999999997</v>
      </c>
      <c r="Q76" s="1051">
        <f t="shared" si="47"/>
        <v>0</v>
      </c>
      <c r="R76" s="1051">
        <f t="shared" si="47"/>
        <v>442179.77999999997</v>
      </c>
      <c r="S76" s="1051">
        <f t="shared" si="47"/>
        <v>36849</v>
      </c>
      <c r="T76" s="1052">
        <f t="shared" si="47"/>
        <v>912182.56633461849</v>
      </c>
      <c r="U76" s="1052">
        <f t="shared" si="47"/>
        <v>76016</v>
      </c>
    </row>
    <row r="77" spans="1:21" s="1053" customFormat="1" ht="13.5" thickTop="1">
      <c r="A77" s="1054"/>
      <c r="B77" s="1054"/>
      <c r="C77" s="1055"/>
      <c r="D77" s="1055"/>
      <c r="M77" s="1057"/>
      <c r="N77" s="1057"/>
      <c r="O77" s="1057"/>
      <c r="P77" s="1057"/>
      <c r="Q77" s="1057"/>
      <c r="R77" s="1057"/>
      <c r="S77" s="1057"/>
    </row>
    <row r="78" spans="1:21" ht="12.75" customHeight="1">
      <c r="A78" s="1059"/>
      <c r="C78" s="1060"/>
    </row>
    <row r="79" spans="1:21" ht="12.75" hidden="1" customHeight="1"/>
    <row r="80" spans="1:21" hidden="1"/>
    <row r="81" spans="3:12" hidden="1"/>
    <row r="82" spans="3:12" hidden="1"/>
    <row r="83" spans="3:12" hidden="1">
      <c r="E83" s="1061" t="s">
        <v>581</v>
      </c>
      <c r="F83" s="1061"/>
      <c r="G83" s="1061"/>
      <c r="H83" s="1061"/>
      <c r="I83" s="1061"/>
      <c r="J83" s="1061"/>
      <c r="K83" s="1061"/>
      <c r="L83" s="1061"/>
    </row>
    <row r="84" spans="3:12" ht="10.5" hidden="1" customHeight="1"/>
    <row r="85" spans="3:12" hidden="1"/>
    <row r="86" spans="3:12" hidden="1">
      <c r="C86" s="1063">
        <v>85661</v>
      </c>
      <c r="D86" s="1064" t="s">
        <v>582</v>
      </c>
    </row>
    <row r="87" spans="3:12" hidden="1">
      <c r="C87" s="1063">
        <v>650290</v>
      </c>
      <c r="D87" s="1064" t="s">
        <v>583</v>
      </c>
    </row>
    <row r="88" spans="3:12" hidden="1">
      <c r="C88" s="1065">
        <f>C86/C87</f>
        <v>0.13172738316750987</v>
      </c>
      <c r="D88" s="1064" t="s">
        <v>584</v>
      </c>
    </row>
    <row r="89" spans="3:12" hidden="1">
      <c r="C89" s="1063"/>
      <c r="D89" s="1064"/>
    </row>
    <row r="90" spans="3:12" hidden="1">
      <c r="C90" s="1063">
        <v>128510</v>
      </c>
      <c r="D90" s="1064" t="s">
        <v>585</v>
      </c>
    </row>
    <row r="91" spans="3:12" hidden="1">
      <c r="C91" s="1063">
        <v>911320</v>
      </c>
      <c r="D91" s="1064" t="s">
        <v>586</v>
      </c>
    </row>
    <row r="92" spans="3:12" hidden="1">
      <c r="C92" s="1065">
        <f>C90/C91</f>
        <v>0.14101523065443533</v>
      </c>
      <c r="D92" s="1064" t="s">
        <v>587</v>
      </c>
    </row>
    <row r="93" spans="3:12" hidden="1">
      <c r="C93" s="1063"/>
      <c r="D93" s="1064"/>
    </row>
    <row r="94" spans="3:12" hidden="1">
      <c r="C94" s="1066">
        <v>2663489616</v>
      </c>
      <c r="D94" s="1067" t="s">
        <v>588</v>
      </c>
    </row>
    <row r="95" spans="3:12" hidden="1">
      <c r="C95" s="1068">
        <f>C92</f>
        <v>0.14101523065443533</v>
      </c>
      <c r="D95" s="1067"/>
    </row>
    <row r="96" spans="3:12" hidden="1">
      <c r="C96" s="1069">
        <f>C94*C95</f>
        <v>375592602.54593337</v>
      </c>
      <c r="D96" s="1064" t="s">
        <v>589</v>
      </c>
    </row>
    <row r="97" spans="3:4" hidden="1">
      <c r="C97" s="1070">
        <f>50%/C92</f>
        <v>3.5457162866702978</v>
      </c>
      <c r="D97" s="1067" t="s">
        <v>590</v>
      </c>
    </row>
    <row r="98" spans="3:4" hidden="1">
      <c r="C98" s="1069">
        <f>C96*C97</f>
        <v>1331744808</v>
      </c>
      <c r="D98" s="1071" t="s">
        <v>591</v>
      </c>
    </row>
    <row r="99" spans="3:4" hidden="1">
      <c r="C99" s="1072">
        <f>C87</f>
        <v>650290</v>
      </c>
      <c r="D99" s="1067" t="s">
        <v>592</v>
      </c>
    </row>
    <row r="100" spans="3:4" hidden="1">
      <c r="C100" s="1069">
        <f>C98/C99</f>
        <v>2047.9244767719017</v>
      </c>
      <c r="D100" s="1067" t="s">
        <v>593</v>
      </c>
    </row>
    <row r="101" spans="3:4" hidden="1">
      <c r="C101" s="1073">
        <f>(C96/C99)*-1</f>
        <v>-577.57708490970697</v>
      </c>
      <c r="D101" s="1067" t="s">
        <v>594</v>
      </c>
    </row>
    <row r="102" spans="3:4" hidden="1">
      <c r="C102" s="1074">
        <f>SUM(C100:C101)</f>
        <v>1470.3473918621949</v>
      </c>
      <c r="D102" s="1067" t="s">
        <v>595</v>
      </c>
    </row>
    <row r="103" spans="3:4" hidden="1">
      <c r="C103" s="1074"/>
      <c r="D103" s="1067"/>
    </row>
    <row r="104" spans="3:4" hidden="1">
      <c r="C104" s="1074"/>
      <c r="D104" s="1067"/>
    </row>
    <row r="105" spans="3:4" hidden="1">
      <c r="D105" s="1067"/>
    </row>
    <row r="106" spans="3:4" hidden="1"/>
  </sheetData>
  <mergeCells count="18">
    <mergeCell ref="U2:U4"/>
    <mergeCell ref="C3:C4"/>
    <mergeCell ref="D3:D4"/>
    <mergeCell ref="E3:E4"/>
    <mergeCell ref="L3:L4"/>
    <mergeCell ref="M3:M4"/>
    <mergeCell ref="J3:J4"/>
    <mergeCell ref="K3:K4"/>
    <mergeCell ref="Q3:Q4"/>
    <mergeCell ref="R3:R4"/>
    <mergeCell ref="A2:B4"/>
    <mergeCell ref="C2:L2"/>
    <mergeCell ref="M2:S2"/>
    <mergeCell ref="T2:T4"/>
    <mergeCell ref="G3:G4"/>
    <mergeCell ref="N3:N4"/>
    <mergeCell ref="S3:S4"/>
    <mergeCell ref="I3:I4"/>
  </mergeCells>
  <printOptions horizontalCentered="1"/>
  <pageMargins left="0.27" right="0.25" top="0.87" bottom="0.2" header="0.25" footer="0.2"/>
  <pageSetup paperSize="5" scale="61" firstPageNumber="84" fitToWidth="3" orientation="portrait" useFirstPageNumber="1" r:id="rId1"/>
  <headerFooter alignWithMargins="0">
    <oddHeader xml:space="preserve">&amp;L&amp;"Arial,Bold"&amp;16Table 5D-7:  FY2012-13 MFP Budget Letter &amp;"Arial,Regular"&amp;10
&amp;"Arial,Bold"&amp;14Legacy Type 2 Charters &amp;R&amp;"Arial,Bold"&amp;12&amp;KFF0000
</oddHeader>
    <oddFooter>&amp;R&amp;P</oddFooter>
  </headerFooter>
  <colBreaks count="1" manualBreakCount="1">
    <brk id="12" min="1" max="78" man="1"/>
  </colBreaks>
</worksheet>
</file>

<file path=xl/worksheets/sheet3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Y79"/>
  <sheetViews>
    <sheetView view="pageBreakPreview" zoomScaleNormal="85" zoomScaleSheetLayoutView="10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85546875" style="1005" customWidth="1"/>
    <col min="2" max="2" width="23.7109375" style="1005" customWidth="1"/>
    <col min="3" max="3" width="11.7109375" style="1008" bestFit="1" customWidth="1"/>
    <col min="4" max="5" width="11.85546875" style="1008" customWidth="1"/>
    <col min="6" max="6" width="15.28515625" style="1008" customWidth="1"/>
    <col min="7" max="7" width="11.140625" style="1008" bestFit="1" customWidth="1"/>
    <col min="8" max="8" width="13.85546875" style="1008" customWidth="1"/>
    <col min="9" max="9" width="11.85546875" style="1008" customWidth="1"/>
    <col min="10" max="10" width="14.5703125" style="1008" customWidth="1"/>
    <col min="11" max="13" width="13.28515625" style="1008" customWidth="1"/>
    <col min="14" max="14" width="12.7109375" style="1008" customWidth="1"/>
    <col min="15" max="15" width="11.140625" style="1084" customWidth="1"/>
    <col min="16" max="16" width="13.85546875" style="1008" customWidth="1"/>
    <col min="17" max="18" width="11.85546875" style="1008" customWidth="1"/>
    <col min="19" max="19" width="12.85546875" style="1008" customWidth="1"/>
    <col min="20" max="20" width="10.85546875" style="1008" customWidth="1"/>
    <col min="21" max="21" width="11.5703125" style="1008" customWidth="1"/>
    <col min="22" max="22" width="13.7109375" style="1008" customWidth="1"/>
    <col min="23" max="23" width="11.5703125" style="1008" customWidth="1"/>
    <col min="24" max="24" width="11.28515625" style="1005" customWidth="1"/>
    <col min="25" max="25" width="10.85546875" style="1005" customWidth="1"/>
    <col min="26" max="16384" width="12.5703125" style="1005"/>
  </cols>
  <sheetData>
    <row r="1" spans="1:25" ht="9" customHeight="1">
      <c r="B1" s="1006"/>
      <c r="C1" s="1007"/>
      <c r="D1" s="1007"/>
      <c r="E1" s="1007"/>
      <c r="F1" s="1007"/>
    </row>
    <row r="2" spans="1:25" s="1010" customFormat="1" ht="39.75" customHeight="1">
      <c r="A2" s="1773" t="s">
        <v>776</v>
      </c>
      <c r="B2" s="1774"/>
      <c r="C2" s="1767" t="s">
        <v>1320</v>
      </c>
      <c r="D2" s="1768"/>
      <c r="E2" s="1768"/>
      <c r="F2" s="1768"/>
      <c r="G2" s="1768"/>
      <c r="H2" s="1768"/>
      <c r="I2" s="1769"/>
      <c r="J2" s="1767" t="s">
        <v>1320</v>
      </c>
      <c r="K2" s="1768"/>
      <c r="L2" s="1768"/>
      <c r="M2" s="1768"/>
      <c r="N2" s="1769"/>
      <c r="O2" s="1770" t="s">
        <v>772</v>
      </c>
      <c r="P2" s="1771"/>
      <c r="Q2" s="1771"/>
      <c r="R2" s="1771"/>
      <c r="S2" s="1771"/>
      <c r="T2" s="1771"/>
      <c r="U2" s="1771"/>
      <c r="V2" s="1771"/>
      <c r="W2" s="1772"/>
      <c r="X2" s="1764" t="s">
        <v>1428</v>
      </c>
      <c r="Y2" s="1764" t="s">
        <v>1389</v>
      </c>
    </row>
    <row r="3" spans="1:25" ht="81" customHeight="1">
      <c r="A3" s="1775"/>
      <c r="B3" s="1776"/>
      <c r="C3" s="1779" t="s">
        <v>1192</v>
      </c>
      <c r="D3" s="1779" t="s">
        <v>1318</v>
      </c>
      <c r="E3" s="1779" t="s">
        <v>1319</v>
      </c>
      <c r="F3" s="1781" t="s">
        <v>819</v>
      </c>
      <c r="G3" s="1781" t="s">
        <v>1406</v>
      </c>
      <c r="H3" s="1011" t="s">
        <v>779</v>
      </c>
      <c r="I3" s="1779" t="s">
        <v>1407</v>
      </c>
      <c r="J3" s="1133" t="s">
        <v>813</v>
      </c>
      <c r="K3" s="1779" t="s">
        <v>1408</v>
      </c>
      <c r="L3" s="1779" t="s">
        <v>1197</v>
      </c>
      <c r="M3" s="1779" t="s">
        <v>1409</v>
      </c>
      <c r="N3" s="1781" t="s">
        <v>1410</v>
      </c>
      <c r="O3" s="1793" t="s">
        <v>1305</v>
      </c>
      <c r="P3" s="1795" t="s">
        <v>1426</v>
      </c>
      <c r="Q3" s="1795" t="s">
        <v>1427</v>
      </c>
      <c r="R3" s="1795" t="s">
        <v>1401</v>
      </c>
      <c r="S3" s="1591" t="s">
        <v>1321</v>
      </c>
      <c r="T3" s="1135" t="s">
        <v>818</v>
      </c>
      <c r="U3" s="1795" t="s">
        <v>1197</v>
      </c>
      <c r="V3" s="1795" t="s">
        <v>1412</v>
      </c>
      <c r="W3" s="1795" t="s">
        <v>1413</v>
      </c>
      <c r="X3" s="1765"/>
      <c r="Y3" s="1765"/>
    </row>
    <row r="4" spans="1:25" ht="26.25" customHeight="1">
      <c r="A4" s="1777"/>
      <c r="B4" s="1778"/>
      <c r="C4" s="1780"/>
      <c r="D4" s="1780"/>
      <c r="E4" s="1780"/>
      <c r="F4" s="1781"/>
      <c r="G4" s="1781"/>
      <c r="H4" s="1102">
        <v>788.90242015830813</v>
      </c>
      <c r="I4" s="1780"/>
      <c r="J4" s="1144">
        <v>2.5000000000000001E-3</v>
      </c>
      <c r="K4" s="1780"/>
      <c r="L4" s="1780"/>
      <c r="M4" s="1780"/>
      <c r="N4" s="1781"/>
      <c r="O4" s="1794"/>
      <c r="P4" s="1787"/>
      <c r="Q4" s="1787"/>
      <c r="R4" s="1787"/>
      <c r="S4" s="1145">
        <v>2.5000000000000001E-3</v>
      </c>
      <c r="T4" s="1594" t="s">
        <v>1322</v>
      </c>
      <c r="U4" s="1787"/>
      <c r="V4" s="1787"/>
      <c r="W4" s="1787"/>
      <c r="X4" s="1766"/>
      <c r="Y4" s="1766"/>
    </row>
    <row r="5" spans="1:25" s="1015" customFormat="1" ht="14.25" customHeight="1">
      <c r="A5" s="1012"/>
      <c r="B5" s="1013"/>
      <c r="C5" s="1014">
        <v>1</v>
      </c>
      <c r="D5" s="1014">
        <f>C5+1</f>
        <v>2</v>
      </c>
      <c r="E5" s="1014">
        <f>D5+1</f>
        <v>3</v>
      </c>
      <c r="F5" s="1014">
        <f t="shared" ref="F5:G5" si="0">E5+1</f>
        <v>4</v>
      </c>
      <c r="G5" s="1014">
        <f t="shared" si="0"/>
        <v>5</v>
      </c>
      <c r="H5" s="1014">
        <f t="shared" ref="H5:I5" si="1">G5+1</f>
        <v>6</v>
      </c>
      <c r="I5" s="1014">
        <f t="shared" si="1"/>
        <v>7</v>
      </c>
      <c r="J5" s="1014">
        <f t="shared" ref="J5" si="2">I5+1</f>
        <v>8</v>
      </c>
      <c r="K5" s="1014">
        <f t="shared" ref="K5" si="3">J5+1</f>
        <v>9</v>
      </c>
      <c r="L5" s="1014">
        <f t="shared" ref="L5" si="4">K5+1</f>
        <v>10</v>
      </c>
      <c r="M5" s="1014">
        <f t="shared" ref="M5" si="5">L5+1</f>
        <v>11</v>
      </c>
      <c r="N5" s="1014">
        <f t="shared" ref="N5" si="6">M5+1</f>
        <v>12</v>
      </c>
      <c r="O5" s="1014">
        <f t="shared" ref="O5" si="7">N5+1</f>
        <v>13</v>
      </c>
      <c r="P5" s="1014">
        <f t="shared" ref="P5" si="8">O5+1</f>
        <v>14</v>
      </c>
      <c r="Q5" s="1014">
        <f t="shared" ref="Q5" si="9">P5+1</f>
        <v>15</v>
      </c>
      <c r="R5" s="1014">
        <f t="shared" ref="R5" si="10">Q5+1</f>
        <v>16</v>
      </c>
      <c r="S5" s="1014">
        <f t="shared" ref="S5:T5" si="11">R5+1</f>
        <v>17</v>
      </c>
      <c r="T5" s="1014">
        <f t="shared" si="11"/>
        <v>18</v>
      </c>
      <c r="U5" s="1014">
        <f t="shared" ref="U5" si="12">T5+1</f>
        <v>19</v>
      </c>
      <c r="V5" s="1014">
        <f t="shared" ref="V5" si="13">U5+1</f>
        <v>20</v>
      </c>
      <c r="W5" s="1014">
        <f t="shared" ref="W5" si="14">V5+1</f>
        <v>21</v>
      </c>
      <c r="X5" s="1014">
        <f t="shared" ref="X5" si="15">W5+1</f>
        <v>22</v>
      </c>
      <c r="Y5" s="1014">
        <f t="shared" ref="Y5" si="16">X5+1</f>
        <v>23</v>
      </c>
    </row>
    <row r="6" spans="1:25" s="1020" customFormat="1" ht="27" customHeight="1">
      <c r="A6" s="1016"/>
      <c r="B6" s="1016"/>
      <c r="C6" s="1194" t="s">
        <v>660</v>
      </c>
      <c r="D6" s="1194"/>
      <c r="E6" s="1194"/>
      <c r="F6" s="1195" t="s">
        <v>571</v>
      </c>
      <c r="G6" s="1194" t="s">
        <v>865</v>
      </c>
      <c r="H6" s="1195" t="s">
        <v>866</v>
      </c>
      <c r="I6" s="1194" t="s">
        <v>816</v>
      </c>
      <c r="J6" s="1194" t="s">
        <v>867</v>
      </c>
      <c r="K6" s="1194" t="s">
        <v>868</v>
      </c>
      <c r="L6" s="1194"/>
      <c r="M6" s="1194" t="s">
        <v>1219</v>
      </c>
      <c r="N6" s="1194" t="s">
        <v>640</v>
      </c>
      <c r="O6" s="1196" t="s">
        <v>571</v>
      </c>
      <c r="P6" s="1195" t="s">
        <v>1220</v>
      </c>
      <c r="Q6" s="1195" t="s">
        <v>1221</v>
      </c>
      <c r="R6" s="1195" t="s">
        <v>871</v>
      </c>
      <c r="S6" s="1195" t="s">
        <v>1317</v>
      </c>
      <c r="T6" s="1195" t="s">
        <v>1323</v>
      </c>
      <c r="U6" s="1195"/>
      <c r="V6" s="1195" t="s">
        <v>1222</v>
      </c>
      <c r="W6" s="1195" t="s">
        <v>1324</v>
      </c>
      <c r="X6" s="1195" t="s">
        <v>1223</v>
      </c>
      <c r="Y6" s="1195" t="s">
        <v>1224</v>
      </c>
    </row>
    <row r="7" spans="1:25">
      <c r="A7" s="1021">
        <v>1</v>
      </c>
      <c r="B7" s="1022" t="s">
        <v>102</v>
      </c>
      <c r="C7" s="1023">
        <f>'Table 8 2.1.12 MFP Funded'!P4</f>
        <v>0</v>
      </c>
      <c r="D7" s="1159"/>
      <c r="E7" s="1159">
        <f>C7+D7</f>
        <v>0</v>
      </c>
      <c r="F7" s="1024">
        <f>'Table 3 Levels 1&amp;2'!AL8</f>
        <v>4621.8175818834352</v>
      </c>
      <c r="G7" s="1136">
        <f>F7*E7</f>
        <v>0</v>
      </c>
      <c r="H7" s="1136">
        <f>E7*$H$4</f>
        <v>0</v>
      </c>
      <c r="I7" s="1087">
        <f t="shared" ref="I7:I38" si="17">G7+H7</f>
        <v>0</v>
      </c>
      <c r="J7" s="1146">
        <f>-I7*$J$4</f>
        <v>0</v>
      </c>
      <c r="K7" s="1025">
        <f>SUM(I7:J7)</f>
        <v>0</v>
      </c>
      <c r="L7" s="1025"/>
      <c r="M7" s="1025">
        <f>SUM(K7:L7)</f>
        <v>0</v>
      </c>
      <c r="N7" s="1025">
        <f>ROUND(M7/12,0)</f>
        <v>0</v>
      </c>
      <c r="O7" s="1086">
        <f>'[8]FY2012-13 Initial'!$K8</f>
        <v>2094</v>
      </c>
      <c r="P7" s="1026">
        <f>O7*C7</f>
        <v>0</v>
      </c>
      <c r="Q7" s="1026">
        <f>D7*O7</f>
        <v>0</v>
      </c>
      <c r="R7" s="1026">
        <f>P7+Q7</f>
        <v>0</v>
      </c>
      <c r="S7" s="1154">
        <f>-P7*0.25%</f>
        <v>0</v>
      </c>
      <c r="T7" s="1026">
        <f>P7+S7</f>
        <v>0</v>
      </c>
      <c r="U7" s="1026"/>
      <c r="V7" s="1026">
        <f>SUM(T7:U7)</f>
        <v>0</v>
      </c>
      <c r="W7" s="1026">
        <f>ROUND(V7/12,0)</f>
        <v>0</v>
      </c>
      <c r="X7" s="1027">
        <f t="shared" ref="X7:X38" si="18">V7+M7</f>
        <v>0</v>
      </c>
      <c r="Y7" s="1027">
        <f t="shared" ref="Y7:Y38" si="19">N7+W7</f>
        <v>0</v>
      </c>
    </row>
    <row r="8" spans="1:25">
      <c r="A8" s="1028">
        <v>2</v>
      </c>
      <c r="B8" s="1029" t="s">
        <v>103</v>
      </c>
      <c r="C8" s="1030">
        <f>'Table 8 2.1.12 MFP Funded'!P5</f>
        <v>0</v>
      </c>
      <c r="D8" s="1160"/>
      <c r="E8" s="1160">
        <f t="shared" ref="E8:E71" si="20">C8+D8</f>
        <v>0</v>
      </c>
      <c r="F8" s="1031">
        <f>'Table 3 Levels 1&amp;2'!AL9</f>
        <v>6131.8351665660375</v>
      </c>
      <c r="G8" s="1137">
        <f t="shared" ref="G8:G71" si="21">F8*E8</f>
        <v>0</v>
      </c>
      <c r="H8" s="1137">
        <f t="shared" ref="H8:H71" si="22">E8*$H$4</f>
        <v>0</v>
      </c>
      <c r="I8" s="1087">
        <f t="shared" si="17"/>
        <v>0</v>
      </c>
      <c r="J8" s="1147">
        <f t="shared" ref="J8:J71" si="23">-I8*$J$4</f>
        <v>0</v>
      </c>
      <c r="K8" s="1087">
        <f t="shared" ref="K8:K71" si="24">SUM(I8:J8)</f>
        <v>0</v>
      </c>
      <c r="L8" s="1087"/>
      <c r="M8" s="1087">
        <f t="shared" ref="M8:M71" si="25">SUM(K8:L8)</f>
        <v>0</v>
      </c>
      <c r="N8" s="1087">
        <f t="shared" ref="N8:N71" si="26">ROUND(M8/12,0)</f>
        <v>0</v>
      </c>
      <c r="O8" s="1086">
        <f>'[8]FY2012-13 Initial'!$K9</f>
        <v>2554</v>
      </c>
      <c r="P8" s="1088">
        <f t="shared" ref="P8:P71" si="27">O8*C8</f>
        <v>0</v>
      </c>
      <c r="Q8" s="1088">
        <f t="shared" ref="Q8:Q71" si="28">D8*O8</f>
        <v>0</v>
      </c>
      <c r="R8" s="1088">
        <f t="shared" ref="R8:R71" si="29">P8+Q8</f>
        <v>0</v>
      </c>
      <c r="S8" s="1154">
        <f t="shared" ref="S8:S71" si="30">-P8*0.25%</f>
        <v>0</v>
      </c>
      <c r="T8" s="1088">
        <f t="shared" ref="T8:T71" si="31">P8+S8</f>
        <v>0</v>
      </c>
      <c r="U8" s="1088"/>
      <c r="V8" s="1088">
        <f t="shared" ref="V8:V71" si="32">SUM(T8:U8)</f>
        <v>0</v>
      </c>
      <c r="W8" s="1088">
        <f t="shared" ref="W8:W71" si="33">ROUND(V8/12,0)</f>
        <v>0</v>
      </c>
      <c r="X8" s="1089">
        <f t="shared" si="18"/>
        <v>0</v>
      </c>
      <c r="Y8" s="1089">
        <f t="shared" si="19"/>
        <v>0</v>
      </c>
    </row>
    <row r="9" spans="1:25" ht="12.75" customHeight="1">
      <c r="A9" s="1028">
        <v>3</v>
      </c>
      <c r="B9" s="1029" t="s">
        <v>104</v>
      </c>
      <c r="C9" s="1030">
        <f>'Table 8 2.1.12 MFP Funded'!P6</f>
        <v>0</v>
      </c>
      <c r="D9" s="1160"/>
      <c r="E9" s="1160">
        <f t="shared" si="20"/>
        <v>0</v>
      </c>
      <c r="F9" s="1031">
        <f>'Table 3 Levels 1&amp;2'!AL10</f>
        <v>4326.5384352059973</v>
      </c>
      <c r="G9" s="1137">
        <f t="shared" si="21"/>
        <v>0</v>
      </c>
      <c r="H9" s="1137">
        <f t="shared" si="22"/>
        <v>0</v>
      </c>
      <c r="I9" s="1087">
        <f t="shared" si="17"/>
        <v>0</v>
      </c>
      <c r="J9" s="1147">
        <f t="shared" si="23"/>
        <v>0</v>
      </c>
      <c r="K9" s="1087">
        <f t="shared" si="24"/>
        <v>0</v>
      </c>
      <c r="L9" s="1087"/>
      <c r="M9" s="1087">
        <f t="shared" si="25"/>
        <v>0</v>
      </c>
      <c r="N9" s="1087">
        <f t="shared" si="26"/>
        <v>0</v>
      </c>
      <c r="O9" s="1086">
        <f>'[8]FY2012-13 Initial'!$K10</f>
        <v>4995</v>
      </c>
      <c r="P9" s="1088">
        <f t="shared" si="27"/>
        <v>0</v>
      </c>
      <c r="Q9" s="1088">
        <f t="shared" si="28"/>
        <v>0</v>
      </c>
      <c r="R9" s="1088">
        <f t="shared" si="29"/>
        <v>0</v>
      </c>
      <c r="S9" s="1154">
        <f t="shared" si="30"/>
        <v>0</v>
      </c>
      <c r="T9" s="1088">
        <f t="shared" si="31"/>
        <v>0</v>
      </c>
      <c r="U9" s="1088"/>
      <c r="V9" s="1088">
        <f t="shared" si="32"/>
        <v>0</v>
      </c>
      <c r="W9" s="1088">
        <f t="shared" si="33"/>
        <v>0</v>
      </c>
      <c r="X9" s="1089">
        <f t="shared" si="18"/>
        <v>0</v>
      </c>
      <c r="Y9" s="1089">
        <f t="shared" si="19"/>
        <v>0</v>
      </c>
    </row>
    <row r="10" spans="1:25" ht="12.75" customHeight="1">
      <c r="A10" s="1028">
        <v>4</v>
      </c>
      <c r="B10" s="1029" t="s">
        <v>105</v>
      </c>
      <c r="C10" s="1030">
        <f>'Table 8 2.1.12 MFP Funded'!P7</f>
        <v>0</v>
      </c>
      <c r="D10" s="1160"/>
      <c r="E10" s="1160">
        <f t="shared" si="20"/>
        <v>0</v>
      </c>
      <c r="F10" s="1031">
        <f>'Table 3 Levels 1&amp;2'!AL11</f>
        <v>6066.2659652331004</v>
      </c>
      <c r="G10" s="1137">
        <f t="shared" si="21"/>
        <v>0</v>
      </c>
      <c r="H10" s="1137">
        <f t="shared" si="22"/>
        <v>0</v>
      </c>
      <c r="I10" s="1087">
        <f t="shared" si="17"/>
        <v>0</v>
      </c>
      <c r="J10" s="1147">
        <f t="shared" si="23"/>
        <v>0</v>
      </c>
      <c r="K10" s="1087">
        <f t="shared" si="24"/>
        <v>0</v>
      </c>
      <c r="L10" s="1087"/>
      <c r="M10" s="1087">
        <f t="shared" si="25"/>
        <v>0</v>
      </c>
      <c r="N10" s="1087">
        <f t="shared" si="26"/>
        <v>0</v>
      </c>
      <c r="O10" s="1086">
        <f>'[8]FY2012-13 Initial'!$K11</f>
        <v>3361</v>
      </c>
      <c r="P10" s="1088">
        <f t="shared" si="27"/>
        <v>0</v>
      </c>
      <c r="Q10" s="1088">
        <f t="shared" si="28"/>
        <v>0</v>
      </c>
      <c r="R10" s="1088">
        <f t="shared" si="29"/>
        <v>0</v>
      </c>
      <c r="S10" s="1154">
        <f t="shared" si="30"/>
        <v>0</v>
      </c>
      <c r="T10" s="1088">
        <f t="shared" si="31"/>
        <v>0</v>
      </c>
      <c r="U10" s="1088"/>
      <c r="V10" s="1088">
        <f t="shared" si="32"/>
        <v>0</v>
      </c>
      <c r="W10" s="1088">
        <f t="shared" si="33"/>
        <v>0</v>
      </c>
      <c r="X10" s="1089">
        <f t="shared" si="18"/>
        <v>0</v>
      </c>
      <c r="Y10" s="1089">
        <f t="shared" si="19"/>
        <v>0</v>
      </c>
    </row>
    <row r="11" spans="1:25">
      <c r="A11" s="1032">
        <v>5</v>
      </c>
      <c r="B11" s="1033" t="s">
        <v>106</v>
      </c>
      <c r="C11" s="1034">
        <f>'Table 8 2.1.12 MFP Funded'!P8</f>
        <v>0</v>
      </c>
      <c r="D11" s="1161"/>
      <c r="E11" s="1161">
        <f t="shared" si="20"/>
        <v>0</v>
      </c>
      <c r="F11" s="1035">
        <f>'Table 3 Levels 1&amp;2'!AL12</f>
        <v>4806.2126132223084</v>
      </c>
      <c r="G11" s="1138">
        <f t="shared" si="21"/>
        <v>0</v>
      </c>
      <c r="H11" s="1138">
        <f t="shared" si="22"/>
        <v>0</v>
      </c>
      <c r="I11" s="1090">
        <f t="shared" si="17"/>
        <v>0</v>
      </c>
      <c r="J11" s="1148">
        <f t="shared" si="23"/>
        <v>0</v>
      </c>
      <c r="K11" s="1090">
        <f t="shared" si="24"/>
        <v>0</v>
      </c>
      <c r="L11" s="1090"/>
      <c r="M11" s="1090">
        <f t="shared" si="25"/>
        <v>0</v>
      </c>
      <c r="N11" s="1090">
        <f t="shared" si="26"/>
        <v>0</v>
      </c>
      <c r="O11" s="1091">
        <f>'[8]FY2012-13 Initial'!$K12</f>
        <v>1146</v>
      </c>
      <c r="P11" s="1092">
        <f t="shared" si="27"/>
        <v>0</v>
      </c>
      <c r="Q11" s="1092">
        <f t="shared" si="28"/>
        <v>0</v>
      </c>
      <c r="R11" s="1092">
        <f t="shared" si="29"/>
        <v>0</v>
      </c>
      <c r="S11" s="1593">
        <f t="shared" si="30"/>
        <v>0</v>
      </c>
      <c r="T11" s="1092">
        <f t="shared" si="31"/>
        <v>0</v>
      </c>
      <c r="U11" s="1092"/>
      <c r="V11" s="1092">
        <f t="shared" si="32"/>
        <v>0</v>
      </c>
      <c r="W11" s="1092">
        <f t="shared" si="33"/>
        <v>0</v>
      </c>
      <c r="X11" s="1093">
        <f t="shared" si="18"/>
        <v>0</v>
      </c>
      <c r="Y11" s="1093">
        <f t="shared" si="19"/>
        <v>0</v>
      </c>
    </row>
    <row r="12" spans="1:25" ht="12.75" customHeight="1">
      <c r="A12" s="1021">
        <v>6</v>
      </c>
      <c r="B12" s="1022" t="s">
        <v>107</v>
      </c>
      <c r="C12" s="1023">
        <f>'Table 8 2.1.12 MFP Funded'!P9</f>
        <v>0</v>
      </c>
      <c r="D12" s="1159"/>
      <c r="E12" s="1159">
        <f t="shared" si="20"/>
        <v>0</v>
      </c>
      <c r="F12" s="1024">
        <f>'Table 3 Levels 1&amp;2'!AL13</f>
        <v>5538.0879878550813</v>
      </c>
      <c r="G12" s="1136">
        <f t="shared" si="21"/>
        <v>0</v>
      </c>
      <c r="H12" s="1136">
        <f t="shared" si="22"/>
        <v>0</v>
      </c>
      <c r="I12" s="1025">
        <f t="shared" si="17"/>
        <v>0</v>
      </c>
      <c r="J12" s="1146">
        <f t="shared" si="23"/>
        <v>0</v>
      </c>
      <c r="K12" s="1025">
        <f t="shared" si="24"/>
        <v>0</v>
      </c>
      <c r="L12" s="1025"/>
      <c r="M12" s="1025">
        <f t="shared" si="25"/>
        <v>0</v>
      </c>
      <c r="N12" s="1025">
        <f t="shared" si="26"/>
        <v>0</v>
      </c>
      <c r="O12" s="1086">
        <f>'[8]FY2012-13 Initial'!$K13</f>
        <v>3431</v>
      </c>
      <c r="P12" s="1026">
        <f t="shared" si="27"/>
        <v>0</v>
      </c>
      <c r="Q12" s="1026">
        <f t="shared" si="28"/>
        <v>0</v>
      </c>
      <c r="R12" s="1026">
        <f t="shared" si="29"/>
        <v>0</v>
      </c>
      <c r="S12" s="1154">
        <f t="shared" si="30"/>
        <v>0</v>
      </c>
      <c r="T12" s="1026">
        <f t="shared" si="31"/>
        <v>0</v>
      </c>
      <c r="U12" s="1026"/>
      <c r="V12" s="1026">
        <f t="shared" si="32"/>
        <v>0</v>
      </c>
      <c r="W12" s="1026">
        <f t="shared" si="33"/>
        <v>0</v>
      </c>
      <c r="X12" s="1027">
        <f t="shared" si="18"/>
        <v>0</v>
      </c>
      <c r="Y12" s="1027">
        <f t="shared" si="19"/>
        <v>0</v>
      </c>
    </row>
    <row r="13" spans="1:25">
      <c r="A13" s="1028">
        <v>7</v>
      </c>
      <c r="B13" s="1029" t="s">
        <v>108</v>
      </c>
      <c r="C13" s="1030">
        <f>'Table 8 2.1.12 MFP Funded'!P10</f>
        <v>0</v>
      </c>
      <c r="D13" s="1160"/>
      <c r="E13" s="1160">
        <f t="shared" si="20"/>
        <v>0</v>
      </c>
      <c r="F13" s="1031">
        <f>'Table 3 Levels 1&amp;2'!AL14</f>
        <v>1543.5712353471597</v>
      </c>
      <c r="G13" s="1137">
        <f t="shared" si="21"/>
        <v>0</v>
      </c>
      <c r="H13" s="1137">
        <f t="shared" si="22"/>
        <v>0</v>
      </c>
      <c r="I13" s="1087">
        <f t="shared" si="17"/>
        <v>0</v>
      </c>
      <c r="J13" s="1147">
        <f t="shared" si="23"/>
        <v>0</v>
      </c>
      <c r="K13" s="1087">
        <f t="shared" si="24"/>
        <v>0</v>
      </c>
      <c r="L13" s="1087"/>
      <c r="M13" s="1087">
        <f t="shared" si="25"/>
        <v>0</v>
      </c>
      <c r="N13" s="1087">
        <f t="shared" si="26"/>
        <v>0</v>
      </c>
      <c r="O13" s="1086">
        <f>'[8]FY2012-13 Initial'!$K14</f>
        <v>12974</v>
      </c>
      <c r="P13" s="1088">
        <f t="shared" si="27"/>
        <v>0</v>
      </c>
      <c r="Q13" s="1088">
        <f t="shared" si="28"/>
        <v>0</v>
      </c>
      <c r="R13" s="1088">
        <f t="shared" si="29"/>
        <v>0</v>
      </c>
      <c r="S13" s="1154">
        <f t="shared" si="30"/>
        <v>0</v>
      </c>
      <c r="T13" s="1088">
        <f t="shared" si="31"/>
        <v>0</v>
      </c>
      <c r="U13" s="1088"/>
      <c r="V13" s="1088">
        <f t="shared" si="32"/>
        <v>0</v>
      </c>
      <c r="W13" s="1088">
        <f t="shared" si="33"/>
        <v>0</v>
      </c>
      <c r="X13" s="1089">
        <f t="shared" si="18"/>
        <v>0</v>
      </c>
      <c r="Y13" s="1089">
        <f t="shared" si="19"/>
        <v>0</v>
      </c>
    </row>
    <row r="14" spans="1:25">
      <c r="A14" s="1028">
        <v>8</v>
      </c>
      <c r="B14" s="1029" t="s">
        <v>109</v>
      </c>
      <c r="C14" s="1030">
        <f>'Table 8 2.1.12 MFP Funded'!P11</f>
        <v>0</v>
      </c>
      <c r="D14" s="1160"/>
      <c r="E14" s="1160">
        <f t="shared" si="20"/>
        <v>0</v>
      </c>
      <c r="F14" s="1031">
        <f>'Table 3 Levels 1&amp;2'!AL15</f>
        <v>4033.4866571910334</v>
      </c>
      <c r="G14" s="1137">
        <f t="shared" si="21"/>
        <v>0</v>
      </c>
      <c r="H14" s="1137">
        <f t="shared" si="22"/>
        <v>0</v>
      </c>
      <c r="I14" s="1087">
        <f t="shared" si="17"/>
        <v>0</v>
      </c>
      <c r="J14" s="1147">
        <f t="shared" si="23"/>
        <v>0</v>
      </c>
      <c r="K14" s="1087">
        <f t="shared" si="24"/>
        <v>0</v>
      </c>
      <c r="L14" s="1087"/>
      <c r="M14" s="1087">
        <f t="shared" si="25"/>
        <v>0</v>
      </c>
      <c r="N14" s="1087">
        <f t="shared" si="26"/>
        <v>0</v>
      </c>
      <c r="O14" s="1086">
        <f>'[8]FY2012-13 Initial'!$K15</f>
        <v>4234</v>
      </c>
      <c r="P14" s="1088">
        <f t="shared" si="27"/>
        <v>0</v>
      </c>
      <c r="Q14" s="1088">
        <f t="shared" si="28"/>
        <v>0</v>
      </c>
      <c r="R14" s="1088">
        <f t="shared" si="29"/>
        <v>0</v>
      </c>
      <c r="S14" s="1154">
        <f t="shared" si="30"/>
        <v>0</v>
      </c>
      <c r="T14" s="1088">
        <f t="shared" si="31"/>
        <v>0</v>
      </c>
      <c r="U14" s="1088"/>
      <c r="V14" s="1088">
        <f t="shared" si="32"/>
        <v>0</v>
      </c>
      <c r="W14" s="1088">
        <f t="shared" si="33"/>
        <v>0</v>
      </c>
      <c r="X14" s="1089">
        <f t="shared" si="18"/>
        <v>0</v>
      </c>
      <c r="Y14" s="1089">
        <f t="shared" si="19"/>
        <v>0</v>
      </c>
    </row>
    <row r="15" spans="1:25">
      <c r="A15" s="1028">
        <v>9</v>
      </c>
      <c r="B15" s="1029" t="s">
        <v>110</v>
      </c>
      <c r="C15" s="1030">
        <f>'Table 8 2.1.12 MFP Funded'!P12</f>
        <v>0</v>
      </c>
      <c r="D15" s="1160"/>
      <c r="E15" s="1160">
        <f t="shared" si="20"/>
        <v>0</v>
      </c>
      <c r="F15" s="1031">
        <f>'Table 3 Levels 1&amp;2'!AL16</f>
        <v>4268.3217271902904</v>
      </c>
      <c r="G15" s="1137">
        <f t="shared" si="21"/>
        <v>0</v>
      </c>
      <c r="H15" s="1137">
        <f t="shared" si="22"/>
        <v>0</v>
      </c>
      <c r="I15" s="1087">
        <f t="shared" si="17"/>
        <v>0</v>
      </c>
      <c r="J15" s="1147">
        <f t="shared" si="23"/>
        <v>0</v>
      </c>
      <c r="K15" s="1087">
        <f t="shared" si="24"/>
        <v>0</v>
      </c>
      <c r="L15" s="1087"/>
      <c r="M15" s="1087">
        <f t="shared" si="25"/>
        <v>0</v>
      </c>
      <c r="N15" s="1087">
        <f t="shared" si="26"/>
        <v>0</v>
      </c>
      <c r="O15" s="1086">
        <f>'[8]FY2012-13 Initial'!$K16</f>
        <v>4539</v>
      </c>
      <c r="P15" s="1088">
        <f t="shared" si="27"/>
        <v>0</v>
      </c>
      <c r="Q15" s="1088">
        <f t="shared" si="28"/>
        <v>0</v>
      </c>
      <c r="R15" s="1088">
        <f t="shared" si="29"/>
        <v>0</v>
      </c>
      <c r="S15" s="1154">
        <f t="shared" si="30"/>
        <v>0</v>
      </c>
      <c r="T15" s="1088">
        <f t="shared" si="31"/>
        <v>0</v>
      </c>
      <c r="U15" s="1088"/>
      <c r="V15" s="1088">
        <f t="shared" si="32"/>
        <v>0</v>
      </c>
      <c r="W15" s="1088">
        <f t="shared" si="33"/>
        <v>0</v>
      </c>
      <c r="X15" s="1089">
        <f t="shared" si="18"/>
        <v>0</v>
      </c>
      <c r="Y15" s="1089">
        <f t="shared" si="19"/>
        <v>0</v>
      </c>
    </row>
    <row r="16" spans="1:25">
      <c r="A16" s="1032">
        <v>10</v>
      </c>
      <c r="B16" s="1033" t="s">
        <v>111</v>
      </c>
      <c r="C16" s="1034">
        <f>'Table 8 2.1.12 MFP Funded'!P13</f>
        <v>0</v>
      </c>
      <c r="D16" s="1161"/>
      <c r="E16" s="1161">
        <f t="shared" si="20"/>
        <v>0</v>
      </c>
      <c r="F16" s="1035">
        <f>'Table 3 Levels 1&amp;2'!AL17</f>
        <v>4300.0681374076885</v>
      </c>
      <c r="G16" s="1138">
        <f t="shared" si="21"/>
        <v>0</v>
      </c>
      <c r="H16" s="1138">
        <f t="shared" si="22"/>
        <v>0</v>
      </c>
      <c r="I16" s="1090">
        <f t="shared" si="17"/>
        <v>0</v>
      </c>
      <c r="J16" s="1148">
        <f t="shared" si="23"/>
        <v>0</v>
      </c>
      <c r="K16" s="1090">
        <f t="shared" si="24"/>
        <v>0</v>
      </c>
      <c r="L16" s="1090"/>
      <c r="M16" s="1090">
        <f t="shared" si="25"/>
        <v>0</v>
      </c>
      <c r="N16" s="1090">
        <f t="shared" si="26"/>
        <v>0</v>
      </c>
      <c r="O16" s="1091">
        <f>'[8]FY2012-13 Initial'!$K17</f>
        <v>4312</v>
      </c>
      <c r="P16" s="1092">
        <f t="shared" si="27"/>
        <v>0</v>
      </c>
      <c r="Q16" s="1092">
        <f t="shared" si="28"/>
        <v>0</v>
      </c>
      <c r="R16" s="1092">
        <f t="shared" si="29"/>
        <v>0</v>
      </c>
      <c r="S16" s="1593">
        <f t="shared" si="30"/>
        <v>0</v>
      </c>
      <c r="T16" s="1092">
        <f t="shared" si="31"/>
        <v>0</v>
      </c>
      <c r="U16" s="1092"/>
      <c r="V16" s="1092">
        <f t="shared" si="32"/>
        <v>0</v>
      </c>
      <c r="W16" s="1092">
        <f t="shared" si="33"/>
        <v>0</v>
      </c>
      <c r="X16" s="1093">
        <f t="shared" si="18"/>
        <v>0</v>
      </c>
      <c r="Y16" s="1093">
        <f t="shared" si="19"/>
        <v>0</v>
      </c>
    </row>
    <row r="17" spans="1:25">
      <c r="A17" s="1021">
        <v>11</v>
      </c>
      <c r="B17" s="1022" t="s">
        <v>112</v>
      </c>
      <c r="C17" s="1023">
        <f>'Table 8 2.1.12 MFP Funded'!P14</f>
        <v>0</v>
      </c>
      <c r="D17" s="1159"/>
      <c r="E17" s="1159">
        <f t="shared" si="20"/>
        <v>0</v>
      </c>
      <c r="F17" s="1024">
        <f>'Table 3 Levels 1&amp;2'!AL18</f>
        <v>6740.2393955908683</v>
      </c>
      <c r="G17" s="1136">
        <f t="shared" si="21"/>
        <v>0</v>
      </c>
      <c r="H17" s="1136">
        <f t="shared" si="22"/>
        <v>0</v>
      </c>
      <c r="I17" s="1025">
        <f t="shared" si="17"/>
        <v>0</v>
      </c>
      <c r="J17" s="1146">
        <f t="shared" si="23"/>
        <v>0</v>
      </c>
      <c r="K17" s="1025">
        <f t="shared" si="24"/>
        <v>0</v>
      </c>
      <c r="L17" s="1025"/>
      <c r="M17" s="1025">
        <f t="shared" si="25"/>
        <v>0</v>
      </c>
      <c r="N17" s="1025">
        <f t="shared" si="26"/>
        <v>0</v>
      </c>
      <c r="O17" s="1086">
        <f>'[8]FY2012-13 Initial'!$K18</f>
        <v>3004</v>
      </c>
      <c r="P17" s="1026">
        <f t="shared" si="27"/>
        <v>0</v>
      </c>
      <c r="Q17" s="1026">
        <f t="shared" si="28"/>
        <v>0</v>
      </c>
      <c r="R17" s="1026">
        <f t="shared" si="29"/>
        <v>0</v>
      </c>
      <c r="S17" s="1154">
        <f t="shared" si="30"/>
        <v>0</v>
      </c>
      <c r="T17" s="1026">
        <f t="shared" si="31"/>
        <v>0</v>
      </c>
      <c r="U17" s="1026"/>
      <c r="V17" s="1026">
        <f t="shared" si="32"/>
        <v>0</v>
      </c>
      <c r="W17" s="1026">
        <f t="shared" si="33"/>
        <v>0</v>
      </c>
      <c r="X17" s="1027">
        <f t="shared" si="18"/>
        <v>0</v>
      </c>
      <c r="Y17" s="1027">
        <f t="shared" si="19"/>
        <v>0</v>
      </c>
    </row>
    <row r="18" spans="1:25">
      <c r="A18" s="1028">
        <v>12</v>
      </c>
      <c r="B18" s="1029" t="s">
        <v>113</v>
      </c>
      <c r="C18" s="1030">
        <f>'Table 8 2.1.12 MFP Funded'!P15</f>
        <v>0</v>
      </c>
      <c r="D18" s="1160"/>
      <c r="E18" s="1160">
        <f t="shared" si="20"/>
        <v>0</v>
      </c>
      <c r="F18" s="1031">
        <f>'Table 3 Levels 1&amp;2'!AL19</f>
        <v>1781.2877551020408</v>
      </c>
      <c r="G18" s="1137">
        <f t="shared" si="21"/>
        <v>0</v>
      </c>
      <c r="H18" s="1137">
        <f t="shared" si="22"/>
        <v>0</v>
      </c>
      <c r="I18" s="1087">
        <f t="shared" si="17"/>
        <v>0</v>
      </c>
      <c r="J18" s="1147">
        <f t="shared" si="23"/>
        <v>0</v>
      </c>
      <c r="K18" s="1087">
        <f t="shared" si="24"/>
        <v>0</v>
      </c>
      <c r="L18" s="1087"/>
      <c r="M18" s="1087">
        <f t="shared" si="25"/>
        <v>0</v>
      </c>
      <c r="N18" s="1087">
        <f t="shared" si="26"/>
        <v>0</v>
      </c>
      <c r="O18" s="1086">
        <f>'[8]FY2012-13 Initial'!$K19</f>
        <v>12439</v>
      </c>
      <c r="P18" s="1088">
        <f t="shared" si="27"/>
        <v>0</v>
      </c>
      <c r="Q18" s="1088">
        <f t="shared" si="28"/>
        <v>0</v>
      </c>
      <c r="R18" s="1088">
        <f t="shared" si="29"/>
        <v>0</v>
      </c>
      <c r="S18" s="1154">
        <f t="shared" si="30"/>
        <v>0</v>
      </c>
      <c r="T18" s="1088">
        <f t="shared" si="31"/>
        <v>0</v>
      </c>
      <c r="U18" s="1088"/>
      <c r="V18" s="1088">
        <f t="shared" si="32"/>
        <v>0</v>
      </c>
      <c r="W18" s="1088">
        <f t="shared" si="33"/>
        <v>0</v>
      </c>
      <c r="X18" s="1089">
        <f t="shared" si="18"/>
        <v>0</v>
      </c>
      <c r="Y18" s="1089">
        <f t="shared" si="19"/>
        <v>0</v>
      </c>
    </row>
    <row r="19" spans="1:25">
      <c r="A19" s="1028">
        <v>13</v>
      </c>
      <c r="B19" s="1029" t="s">
        <v>114</v>
      </c>
      <c r="C19" s="1030">
        <f>'Table 8 2.1.12 MFP Funded'!P16</f>
        <v>0</v>
      </c>
      <c r="D19" s="1160"/>
      <c r="E19" s="1160">
        <f t="shared" si="20"/>
        <v>0</v>
      </c>
      <c r="F19" s="1031">
        <f>'Table 3 Levels 1&amp;2'!AL20</f>
        <v>6125.5331903699798</v>
      </c>
      <c r="G19" s="1137">
        <f t="shared" si="21"/>
        <v>0</v>
      </c>
      <c r="H19" s="1137">
        <f t="shared" si="22"/>
        <v>0</v>
      </c>
      <c r="I19" s="1087">
        <f t="shared" si="17"/>
        <v>0</v>
      </c>
      <c r="J19" s="1147">
        <f t="shared" si="23"/>
        <v>0</v>
      </c>
      <c r="K19" s="1087">
        <f t="shared" si="24"/>
        <v>0</v>
      </c>
      <c r="L19" s="1087"/>
      <c r="M19" s="1087">
        <f t="shared" si="25"/>
        <v>0</v>
      </c>
      <c r="N19" s="1087">
        <f t="shared" si="26"/>
        <v>0</v>
      </c>
      <c r="O19" s="1086">
        <f>'[8]FY2012-13 Initial'!$K20</f>
        <v>2518</v>
      </c>
      <c r="P19" s="1088">
        <f t="shared" si="27"/>
        <v>0</v>
      </c>
      <c r="Q19" s="1088">
        <f t="shared" si="28"/>
        <v>0</v>
      </c>
      <c r="R19" s="1088">
        <f t="shared" si="29"/>
        <v>0</v>
      </c>
      <c r="S19" s="1154">
        <f t="shared" si="30"/>
        <v>0</v>
      </c>
      <c r="T19" s="1088">
        <f t="shared" si="31"/>
        <v>0</v>
      </c>
      <c r="U19" s="1088"/>
      <c r="V19" s="1088">
        <f t="shared" si="32"/>
        <v>0</v>
      </c>
      <c r="W19" s="1088">
        <f t="shared" si="33"/>
        <v>0</v>
      </c>
      <c r="X19" s="1089">
        <f t="shared" si="18"/>
        <v>0</v>
      </c>
      <c r="Y19" s="1089">
        <f t="shared" si="19"/>
        <v>0</v>
      </c>
    </row>
    <row r="20" spans="1:25" ht="12.75" customHeight="1">
      <c r="A20" s="1028">
        <v>14</v>
      </c>
      <c r="B20" s="1029" t="s">
        <v>115</v>
      </c>
      <c r="C20" s="1030">
        <f>'Table 8 2.1.12 MFP Funded'!P17</f>
        <v>0</v>
      </c>
      <c r="D20" s="1160"/>
      <c r="E20" s="1160">
        <f t="shared" si="20"/>
        <v>0</v>
      </c>
      <c r="F20" s="1031">
        <f>'Table 3 Levels 1&amp;2'!AL21</f>
        <v>5278.0936993421856</v>
      </c>
      <c r="G20" s="1137">
        <f t="shared" si="21"/>
        <v>0</v>
      </c>
      <c r="H20" s="1137">
        <f t="shared" si="22"/>
        <v>0</v>
      </c>
      <c r="I20" s="1087">
        <f t="shared" si="17"/>
        <v>0</v>
      </c>
      <c r="J20" s="1147">
        <f t="shared" si="23"/>
        <v>0</v>
      </c>
      <c r="K20" s="1087">
        <f t="shared" si="24"/>
        <v>0</v>
      </c>
      <c r="L20" s="1087"/>
      <c r="M20" s="1087">
        <f t="shared" si="25"/>
        <v>0</v>
      </c>
      <c r="N20" s="1087">
        <f t="shared" si="26"/>
        <v>0</v>
      </c>
      <c r="O20" s="1086">
        <f>'[8]FY2012-13 Initial'!$K21</f>
        <v>3605</v>
      </c>
      <c r="P20" s="1088">
        <f t="shared" si="27"/>
        <v>0</v>
      </c>
      <c r="Q20" s="1088">
        <f t="shared" si="28"/>
        <v>0</v>
      </c>
      <c r="R20" s="1088">
        <f t="shared" si="29"/>
        <v>0</v>
      </c>
      <c r="S20" s="1154">
        <f t="shared" si="30"/>
        <v>0</v>
      </c>
      <c r="T20" s="1088">
        <f t="shared" si="31"/>
        <v>0</v>
      </c>
      <c r="U20" s="1088"/>
      <c r="V20" s="1088">
        <f t="shared" si="32"/>
        <v>0</v>
      </c>
      <c r="W20" s="1088">
        <f t="shared" si="33"/>
        <v>0</v>
      </c>
      <c r="X20" s="1089">
        <f t="shared" si="18"/>
        <v>0</v>
      </c>
      <c r="Y20" s="1089">
        <f t="shared" si="19"/>
        <v>0</v>
      </c>
    </row>
    <row r="21" spans="1:25">
      <c r="A21" s="1032">
        <v>15</v>
      </c>
      <c r="B21" s="1033" t="s">
        <v>116</v>
      </c>
      <c r="C21" s="1034">
        <f>'Table 8 2.1.12 MFP Funded'!P18</f>
        <v>0</v>
      </c>
      <c r="D21" s="1161"/>
      <c r="E21" s="1161">
        <f t="shared" si="20"/>
        <v>0</v>
      </c>
      <c r="F21" s="1035">
        <f>'Table 3 Levels 1&amp;2'!AL22</f>
        <v>5428.9842692179664</v>
      </c>
      <c r="G21" s="1138">
        <f t="shared" si="21"/>
        <v>0</v>
      </c>
      <c r="H21" s="1138">
        <f t="shared" si="22"/>
        <v>0</v>
      </c>
      <c r="I21" s="1090">
        <f t="shared" si="17"/>
        <v>0</v>
      </c>
      <c r="J21" s="1148">
        <f t="shared" si="23"/>
        <v>0</v>
      </c>
      <c r="K21" s="1090">
        <f t="shared" si="24"/>
        <v>0</v>
      </c>
      <c r="L21" s="1090"/>
      <c r="M21" s="1090">
        <f t="shared" si="25"/>
        <v>0</v>
      </c>
      <c r="N21" s="1090">
        <f t="shared" si="26"/>
        <v>0</v>
      </c>
      <c r="O21" s="1091">
        <f>'[8]FY2012-13 Initial'!$K22</f>
        <v>2614</v>
      </c>
      <c r="P21" s="1092">
        <f t="shared" si="27"/>
        <v>0</v>
      </c>
      <c r="Q21" s="1092">
        <f t="shared" si="28"/>
        <v>0</v>
      </c>
      <c r="R21" s="1092">
        <f t="shared" si="29"/>
        <v>0</v>
      </c>
      <c r="S21" s="1593">
        <f t="shared" si="30"/>
        <v>0</v>
      </c>
      <c r="T21" s="1092">
        <f t="shared" si="31"/>
        <v>0</v>
      </c>
      <c r="U21" s="1092"/>
      <c r="V21" s="1092">
        <f t="shared" si="32"/>
        <v>0</v>
      </c>
      <c r="W21" s="1092">
        <f t="shared" si="33"/>
        <v>0</v>
      </c>
      <c r="X21" s="1093">
        <f t="shared" si="18"/>
        <v>0</v>
      </c>
      <c r="Y21" s="1093">
        <f t="shared" si="19"/>
        <v>0</v>
      </c>
    </row>
    <row r="22" spans="1:25">
      <c r="A22" s="1021">
        <v>16</v>
      </c>
      <c r="B22" s="1022" t="s">
        <v>117</v>
      </c>
      <c r="C22" s="1023">
        <f>'Table 8 2.1.12 MFP Funded'!P19</f>
        <v>0</v>
      </c>
      <c r="D22" s="1159"/>
      <c r="E22" s="1159">
        <f t="shared" si="20"/>
        <v>0</v>
      </c>
      <c r="F22" s="1024">
        <f>'Table 3 Levels 1&amp;2'!AL23</f>
        <v>1501.2470754125757</v>
      </c>
      <c r="G22" s="1136">
        <f t="shared" si="21"/>
        <v>0</v>
      </c>
      <c r="H22" s="1136">
        <f t="shared" si="22"/>
        <v>0</v>
      </c>
      <c r="I22" s="1025">
        <f t="shared" si="17"/>
        <v>0</v>
      </c>
      <c r="J22" s="1146">
        <f t="shared" si="23"/>
        <v>0</v>
      </c>
      <c r="K22" s="1025">
        <f t="shared" si="24"/>
        <v>0</v>
      </c>
      <c r="L22" s="1025"/>
      <c r="M22" s="1025">
        <f t="shared" si="25"/>
        <v>0</v>
      </c>
      <c r="N22" s="1025">
        <f t="shared" si="26"/>
        <v>0</v>
      </c>
      <c r="O22" s="1086">
        <f>'[8]FY2012-13 Initial'!$K23</f>
        <v>16006</v>
      </c>
      <c r="P22" s="1026">
        <f t="shared" si="27"/>
        <v>0</v>
      </c>
      <c r="Q22" s="1026">
        <f t="shared" si="28"/>
        <v>0</v>
      </c>
      <c r="R22" s="1026">
        <f t="shared" si="29"/>
        <v>0</v>
      </c>
      <c r="S22" s="1154">
        <f t="shared" si="30"/>
        <v>0</v>
      </c>
      <c r="T22" s="1026">
        <f t="shared" si="31"/>
        <v>0</v>
      </c>
      <c r="U22" s="1026"/>
      <c r="V22" s="1026">
        <f t="shared" si="32"/>
        <v>0</v>
      </c>
      <c r="W22" s="1026">
        <f t="shared" si="33"/>
        <v>0</v>
      </c>
      <c r="X22" s="1027">
        <f t="shared" si="18"/>
        <v>0</v>
      </c>
      <c r="Y22" s="1027">
        <f t="shared" si="19"/>
        <v>0</v>
      </c>
    </row>
    <row r="23" spans="1:25">
      <c r="A23" s="1028">
        <v>17</v>
      </c>
      <c r="B23" s="1029" t="s">
        <v>118</v>
      </c>
      <c r="C23" s="1030">
        <f>'Table 8 2.1.12 MFP Funded'!P20</f>
        <v>0</v>
      </c>
      <c r="D23" s="1160"/>
      <c r="E23" s="1160">
        <f t="shared" si="20"/>
        <v>0</v>
      </c>
      <c r="F23" s="1031">
        <f>'Table 3 Levels 1&amp;2'!AL24</f>
        <v>3386.5716964570697</v>
      </c>
      <c r="G23" s="1137">
        <f t="shared" si="21"/>
        <v>0</v>
      </c>
      <c r="H23" s="1137">
        <f t="shared" si="22"/>
        <v>0</v>
      </c>
      <c r="I23" s="1087">
        <f t="shared" si="17"/>
        <v>0</v>
      </c>
      <c r="J23" s="1147">
        <f t="shared" si="23"/>
        <v>0</v>
      </c>
      <c r="K23" s="1087">
        <f t="shared" si="24"/>
        <v>0</v>
      </c>
      <c r="L23" s="1087"/>
      <c r="M23" s="1087">
        <f t="shared" si="25"/>
        <v>0</v>
      </c>
      <c r="N23" s="1087">
        <f t="shared" si="26"/>
        <v>0</v>
      </c>
      <c r="O23" s="1086">
        <f>'[8]FY2012-13 Initial'!$K24</f>
        <v>6493</v>
      </c>
      <c r="P23" s="1088">
        <f t="shared" si="27"/>
        <v>0</v>
      </c>
      <c r="Q23" s="1088">
        <f t="shared" si="28"/>
        <v>0</v>
      </c>
      <c r="R23" s="1088">
        <f t="shared" si="29"/>
        <v>0</v>
      </c>
      <c r="S23" s="1154">
        <f t="shared" si="30"/>
        <v>0</v>
      </c>
      <c r="T23" s="1088">
        <f t="shared" si="31"/>
        <v>0</v>
      </c>
      <c r="U23" s="1088"/>
      <c r="V23" s="1088">
        <f t="shared" si="32"/>
        <v>0</v>
      </c>
      <c r="W23" s="1088">
        <f t="shared" si="33"/>
        <v>0</v>
      </c>
      <c r="X23" s="1089">
        <f t="shared" si="18"/>
        <v>0</v>
      </c>
      <c r="Y23" s="1089">
        <f t="shared" si="19"/>
        <v>0</v>
      </c>
    </row>
    <row r="24" spans="1:25">
      <c r="A24" s="1028">
        <v>18</v>
      </c>
      <c r="B24" s="1029" t="s">
        <v>119</v>
      </c>
      <c r="C24" s="1030">
        <f>'Table 8 2.1.12 MFP Funded'!P21</f>
        <v>0</v>
      </c>
      <c r="D24" s="1160"/>
      <c r="E24" s="1160">
        <f t="shared" si="20"/>
        <v>0</v>
      </c>
      <c r="F24" s="1031">
        <f>'Table 3 Levels 1&amp;2'!AL25</f>
        <v>5798.0598063231446</v>
      </c>
      <c r="G24" s="1137">
        <f t="shared" si="21"/>
        <v>0</v>
      </c>
      <c r="H24" s="1137">
        <f t="shared" si="22"/>
        <v>0</v>
      </c>
      <c r="I24" s="1087">
        <f t="shared" si="17"/>
        <v>0</v>
      </c>
      <c r="J24" s="1147">
        <f t="shared" si="23"/>
        <v>0</v>
      </c>
      <c r="K24" s="1087">
        <f t="shared" si="24"/>
        <v>0</v>
      </c>
      <c r="L24" s="1087"/>
      <c r="M24" s="1087">
        <f t="shared" si="25"/>
        <v>0</v>
      </c>
      <c r="N24" s="1087">
        <f t="shared" si="26"/>
        <v>0</v>
      </c>
      <c r="O24" s="1086">
        <f>'[8]FY2012-13 Initial'!$K25</f>
        <v>2088</v>
      </c>
      <c r="P24" s="1088">
        <f t="shared" si="27"/>
        <v>0</v>
      </c>
      <c r="Q24" s="1088">
        <f t="shared" si="28"/>
        <v>0</v>
      </c>
      <c r="R24" s="1088">
        <f t="shared" si="29"/>
        <v>0</v>
      </c>
      <c r="S24" s="1154">
        <f t="shared" si="30"/>
        <v>0</v>
      </c>
      <c r="T24" s="1088">
        <f t="shared" si="31"/>
        <v>0</v>
      </c>
      <c r="U24" s="1088"/>
      <c r="V24" s="1088">
        <f t="shared" si="32"/>
        <v>0</v>
      </c>
      <c r="W24" s="1088">
        <f t="shared" si="33"/>
        <v>0</v>
      </c>
      <c r="X24" s="1089">
        <f t="shared" si="18"/>
        <v>0</v>
      </c>
      <c r="Y24" s="1089">
        <f t="shared" si="19"/>
        <v>0</v>
      </c>
    </row>
    <row r="25" spans="1:25">
      <c r="A25" s="1028">
        <v>19</v>
      </c>
      <c r="B25" s="1029" t="s">
        <v>120</v>
      </c>
      <c r="C25" s="1030">
        <f>'Table 8 2.1.12 MFP Funded'!P22</f>
        <v>0</v>
      </c>
      <c r="D25" s="1160"/>
      <c r="E25" s="1160">
        <f t="shared" si="20"/>
        <v>0</v>
      </c>
      <c r="F25" s="1031">
        <f>'Table 3 Levels 1&amp;2'!AL26</f>
        <v>5219.1012787873206</v>
      </c>
      <c r="G25" s="1137">
        <f t="shared" si="21"/>
        <v>0</v>
      </c>
      <c r="H25" s="1137">
        <f t="shared" si="22"/>
        <v>0</v>
      </c>
      <c r="I25" s="1087">
        <f t="shared" si="17"/>
        <v>0</v>
      </c>
      <c r="J25" s="1147">
        <f t="shared" si="23"/>
        <v>0</v>
      </c>
      <c r="K25" s="1087">
        <f t="shared" si="24"/>
        <v>0</v>
      </c>
      <c r="L25" s="1087"/>
      <c r="M25" s="1087">
        <f t="shared" si="25"/>
        <v>0</v>
      </c>
      <c r="N25" s="1087">
        <f t="shared" si="26"/>
        <v>0</v>
      </c>
      <c r="O25" s="1086">
        <f>'[8]FY2012-13 Initial'!$K26</f>
        <v>2275</v>
      </c>
      <c r="P25" s="1088">
        <f t="shared" si="27"/>
        <v>0</v>
      </c>
      <c r="Q25" s="1088">
        <f t="shared" si="28"/>
        <v>0</v>
      </c>
      <c r="R25" s="1088">
        <f t="shared" si="29"/>
        <v>0</v>
      </c>
      <c r="S25" s="1154">
        <f t="shared" si="30"/>
        <v>0</v>
      </c>
      <c r="T25" s="1088">
        <f t="shared" si="31"/>
        <v>0</v>
      </c>
      <c r="U25" s="1088"/>
      <c r="V25" s="1088">
        <f t="shared" si="32"/>
        <v>0</v>
      </c>
      <c r="W25" s="1088">
        <f t="shared" si="33"/>
        <v>0</v>
      </c>
      <c r="X25" s="1089">
        <f t="shared" si="18"/>
        <v>0</v>
      </c>
      <c r="Y25" s="1089">
        <f t="shared" si="19"/>
        <v>0</v>
      </c>
    </row>
    <row r="26" spans="1:25">
      <c r="A26" s="1032">
        <v>20</v>
      </c>
      <c r="B26" s="1033" t="s">
        <v>121</v>
      </c>
      <c r="C26" s="1034">
        <f>'Table 8 2.1.12 MFP Funded'!P23</f>
        <v>0</v>
      </c>
      <c r="D26" s="1161"/>
      <c r="E26" s="1161">
        <f t="shared" si="20"/>
        <v>0</v>
      </c>
      <c r="F26" s="1035">
        <f>'Table 3 Levels 1&amp;2'!AL27</f>
        <v>5441.7799844976798</v>
      </c>
      <c r="G26" s="1138">
        <f t="shared" si="21"/>
        <v>0</v>
      </c>
      <c r="H26" s="1138">
        <f t="shared" si="22"/>
        <v>0</v>
      </c>
      <c r="I26" s="1090">
        <f t="shared" si="17"/>
        <v>0</v>
      </c>
      <c r="J26" s="1148">
        <f t="shared" si="23"/>
        <v>0</v>
      </c>
      <c r="K26" s="1090">
        <f t="shared" si="24"/>
        <v>0</v>
      </c>
      <c r="L26" s="1090"/>
      <c r="M26" s="1090">
        <f t="shared" si="25"/>
        <v>0</v>
      </c>
      <c r="N26" s="1090">
        <f t="shared" si="26"/>
        <v>0</v>
      </c>
      <c r="O26" s="1091">
        <f>'[8]FY2012-13 Initial'!$K27</f>
        <v>2308</v>
      </c>
      <c r="P26" s="1092">
        <f t="shared" si="27"/>
        <v>0</v>
      </c>
      <c r="Q26" s="1092">
        <f t="shared" si="28"/>
        <v>0</v>
      </c>
      <c r="R26" s="1092">
        <f t="shared" si="29"/>
        <v>0</v>
      </c>
      <c r="S26" s="1593">
        <f t="shared" si="30"/>
        <v>0</v>
      </c>
      <c r="T26" s="1092">
        <f t="shared" si="31"/>
        <v>0</v>
      </c>
      <c r="U26" s="1092"/>
      <c r="V26" s="1092">
        <f t="shared" si="32"/>
        <v>0</v>
      </c>
      <c r="W26" s="1092">
        <f t="shared" si="33"/>
        <v>0</v>
      </c>
      <c r="X26" s="1093">
        <f t="shared" si="18"/>
        <v>0</v>
      </c>
      <c r="Y26" s="1093">
        <f t="shared" si="19"/>
        <v>0</v>
      </c>
    </row>
    <row r="27" spans="1:25">
      <c r="A27" s="1021">
        <v>21</v>
      </c>
      <c r="B27" s="1022" t="s">
        <v>122</v>
      </c>
      <c r="C27" s="1023">
        <f>'Table 8 2.1.12 MFP Funded'!P24</f>
        <v>0</v>
      </c>
      <c r="D27" s="1159"/>
      <c r="E27" s="1159">
        <f t="shared" si="20"/>
        <v>0</v>
      </c>
      <c r="F27" s="1024">
        <f>'Table 3 Levels 1&amp;2'!AL28</f>
        <v>5718.7800910915075</v>
      </c>
      <c r="G27" s="1136">
        <f t="shared" si="21"/>
        <v>0</v>
      </c>
      <c r="H27" s="1136">
        <f t="shared" si="22"/>
        <v>0</v>
      </c>
      <c r="I27" s="1025">
        <f t="shared" si="17"/>
        <v>0</v>
      </c>
      <c r="J27" s="1146">
        <f t="shared" si="23"/>
        <v>0</v>
      </c>
      <c r="K27" s="1025">
        <f t="shared" si="24"/>
        <v>0</v>
      </c>
      <c r="L27" s="1025"/>
      <c r="M27" s="1025">
        <f t="shared" si="25"/>
        <v>0</v>
      </c>
      <c r="N27" s="1025">
        <f t="shared" si="26"/>
        <v>0</v>
      </c>
      <c r="O27" s="1086">
        <f>'[8]FY2012-13 Initial'!$K28</f>
        <v>2245</v>
      </c>
      <c r="P27" s="1026">
        <f t="shared" si="27"/>
        <v>0</v>
      </c>
      <c r="Q27" s="1026">
        <f t="shared" si="28"/>
        <v>0</v>
      </c>
      <c r="R27" s="1026">
        <f t="shared" si="29"/>
        <v>0</v>
      </c>
      <c r="S27" s="1154">
        <f t="shared" si="30"/>
        <v>0</v>
      </c>
      <c r="T27" s="1026">
        <f t="shared" si="31"/>
        <v>0</v>
      </c>
      <c r="U27" s="1026"/>
      <c r="V27" s="1026">
        <f t="shared" si="32"/>
        <v>0</v>
      </c>
      <c r="W27" s="1026">
        <f t="shared" si="33"/>
        <v>0</v>
      </c>
      <c r="X27" s="1027">
        <f t="shared" si="18"/>
        <v>0</v>
      </c>
      <c r="Y27" s="1027">
        <f t="shared" si="19"/>
        <v>0</v>
      </c>
    </row>
    <row r="28" spans="1:25">
      <c r="A28" s="1028">
        <v>22</v>
      </c>
      <c r="B28" s="1029" t="s">
        <v>123</v>
      </c>
      <c r="C28" s="1030">
        <f>'Table 8 2.1.12 MFP Funded'!P25</f>
        <v>0</v>
      </c>
      <c r="D28" s="1160"/>
      <c r="E28" s="1160">
        <f t="shared" si="20"/>
        <v>0</v>
      </c>
      <c r="F28" s="1031">
        <f>'Table 3 Levels 1&amp;2'!AL29</f>
        <v>6198.830003500153</v>
      </c>
      <c r="G28" s="1137">
        <f t="shared" si="21"/>
        <v>0</v>
      </c>
      <c r="H28" s="1137">
        <f t="shared" si="22"/>
        <v>0</v>
      </c>
      <c r="I28" s="1087">
        <f t="shared" si="17"/>
        <v>0</v>
      </c>
      <c r="J28" s="1147">
        <f t="shared" si="23"/>
        <v>0</v>
      </c>
      <c r="K28" s="1087">
        <f t="shared" si="24"/>
        <v>0</v>
      </c>
      <c r="L28" s="1087"/>
      <c r="M28" s="1087">
        <f t="shared" si="25"/>
        <v>0</v>
      </c>
      <c r="N28" s="1087">
        <f t="shared" si="26"/>
        <v>0</v>
      </c>
      <c r="O28" s="1086">
        <f>'[8]FY2012-13 Initial'!$K29</f>
        <v>1445</v>
      </c>
      <c r="P28" s="1088">
        <f t="shared" si="27"/>
        <v>0</v>
      </c>
      <c r="Q28" s="1088">
        <f t="shared" si="28"/>
        <v>0</v>
      </c>
      <c r="R28" s="1088">
        <f t="shared" si="29"/>
        <v>0</v>
      </c>
      <c r="S28" s="1154">
        <f t="shared" si="30"/>
        <v>0</v>
      </c>
      <c r="T28" s="1088">
        <f t="shared" si="31"/>
        <v>0</v>
      </c>
      <c r="U28" s="1088"/>
      <c r="V28" s="1088">
        <f t="shared" si="32"/>
        <v>0</v>
      </c>
      <c r="W28" s="1088">
        <f t="shared" si="33"/>
        <v>0</v>
      </c>
      <c r="X28" s="1089">
        <f t="shared" si="18"/>
        <v>0</v>
      </c>
      <c r="Y28" s="1089">
        <f t="shared" si="19"/>
        <v>0</v>
      </c>
    </row>
    <row r="29" spans="1:25">
      <c r="A29" s="1028">
        <v>23</v>
      </c>
      <c r="B29" s="1029" t="s">
        <v>124</v>
      </c>
      <c r="C29" s="1030">
        <f>'Table 8 2.1.12 MFP Funded'!P26</f>
        <v>0</v>
      </c>
      <c r="D29" s="1160"/>
      <c r="E29" s="1160">
        <f t="shared" si="20"/>
        <v>0</v>
      </c>
      <c r="F29" s="1031">
        <f>'Table 3 Levels 1&amp;2'!AL30</f>
        <v>4809.0299298140199</v>
      </c>
      <c r="G29" s="1137">
        <f t="shared" si="21"/>
        <v>0</v>
      </c>
      <c r="H29" s="1137">
        <f t="shared" si="22"/>
        <v>0</v>
      </c>
      <c r="I29" s="1087">
        <f t="shared" si="17"/>
        <v>0</v>
      </c>
      <c r="J29" s="1147">
        <f t="shared" si="23"/>
        <v>0</v>
      </c>
      <c r="K29" s="1087">
        <f t="shared" si="24"/>
        <v>0</v>
      </c>
      <c r="L29" s="1087"/>
      <c r="M29" s="1087">
        <f t="shared" si="25"/>
        <v>0</v>
      </c>
      <c r="N29" s="1087">
        <f t="shared" si="26"/>
        <v>0</v>
      </c>
      <c r="O29" s="1086">
        <f>'[8]FY2012-13 Initial'!$K30</f>
        <v>3295</v>
      </c>
      <c r="P29" s="1088">
        <f t="shared" si="27"/>
        <v>0</v>
      </c>
      <c r="Q29" s="1088">
        <f t="shared" si="28"/>
        <v>0</v>
      </c>
      <c r="R29" s="1088">
        <f t="shared" si="29"/>
        <v>0</v>
      </c>
      <c r="S29" s="1154">
        <f t="shared" si="30"/>
        <v>0</v>
      </c>
      <c r="T29" s="1088">
        <f t="shared" si="31"/>
        <v>0</v>
      </c>
      <c r="U29" s="1088"/>
      <c r="V29" s="1088">
        <f t="shared" si="32"/>
        <v>0</v>
      </c>
      <c r="W29" s="1088">
        <f t="shared" si="33"/>
        <v>0</v>
      </c>
      <c r="X29" s="1089">
        <f t="shared" si="18"/>
        <v>0</v>
      </c>
      <c r="Y29" s="1089">
        <f t="shared" si="19"/>
        <v>0</v>
      </c>
    </row>
    <row r="30" spans="1:25">
      <c r="A30" s="1028">
        <v>24</v>
      </c>
      <c r="B30" s="1029" t="s">
        <v>125</v>
      </c>
      <c r="C30" s="1030">
        <f>'Table 8 2.1.12 MFP Funded'!P27</f>
        <v>0</v>
      </c>
      <c r="D30" s="1160"/>
      <c r="E30" s="1160">
        <f t="shared" si="20"/>
        <v>0</v>
      </c>
      <c r="F30" s="1031">
        <f>'Table 3 Levels 1&amp;2'!AL31</f>
        <v>2649.7787452556372</v>
      </c>
      <c r="G30" s="1137">
        <f t="shared" si="21"/>
        <v>0</v>
      </c>
      <c r="H30" s="1137">
        <f t="shared" si="22"/>
        <v>0</v>
      </c>
      <c r="I30" s="1087">
        <f t="shared" si="17"/>
        <v>0</v>
      </c>
      <c r="J30" s="1147">
        <f t="shared" si="23"/>
        <v>0</v>
      </c>
      <c r="K30" s="1087">
        <f t="shared" si="24"/>
        <v>0</v>
      </c>
      <c r="L30" s="1087"/>
      <c r="M30" s="1087">
        <f t="shared" si="25"/>
        <v>0</v>
      </c>
      <c r="N30" s="1087">
        <f t="shared" si="26"/>
        <v>0</v>
      </c>
      <c r="O30" s="1086">
        <f>'[8]FY2012-13 Initial'!$K31</f>
        <v>8769</v>
      </c>
      <c r="P30" s="1088">
        <f t="shared" si="27"/>
        <v>0</v>
      </c>
      <c r="Q30" s="1088">
        <f t="shared" si="28"/>
        <v>0</v>
      </c>
      <c r="R30" s="1088">
        <f t="shared" si="29"/>
        <v>0</v>
      </c>
      <c r="S30" s="1154">
        <f t="shared" si="30"/>
        <v>0</v>
      </c>
      <c r="T30" s="1088">
        <f t="shared" si="31"/>
        <v>0</v>
      </c>
      <c r="U30" s="1088"/>
      <c r="V30" s="1088">
        <f t="shared" si="32"/>
        <v>0</v>
      </c>
      <c r="W30" s="1088">
        <f t="shared" si="33"/>
        <v>0</v>
      </c>
      <c r="X30" s="1089">
        <f t="shared" si="18"/>
        <v>0</v>
      </c>
      <c r="Y30" s="1089">
        <f t="shared" si="19"/>
        <v>0</v>
      </c>
    </row>
    <row r="31" spans="1:25">
      <c r="A31" s="1032">
        <v>25</v>
      </c>
      <c r="B31" s="1033" t="s">
        <v>126</v>
      </c>
      <c r="C31" s="1034">
        <f>'Table 8 2.1.12 MFP Funded'!P28</f>
        <v>0</v>
      </c>
      <c r="D31" s="1161"/>
      <c r="E31" s="1161">
        <f t="shared" si="20"/>
        <v>0</v>
      </c>
      <c r="F31" s="1035">
        <f>'Table 3 Levels 1&amp;2'!AL32</f>
        <v>3848.3923674564248</v>
      </c>
      <c r="G31" s="1138">
        <f t="shared" si="21"/>
        <v>0</v>
      </c>
      <c r="H31" s="1138">
        <f t="shared" si="22"/>
        <v>0</v>
      </c>
      <c r="I31" s="1090">
        <f t="shared" si="17"/>
        <v>0</v>
      </c>
      <c r="J31" s="1148">
        <f t="shared" si="23"/>
        <v>0</v>
      </c>
      <c r="K31" s="1090">
        <f t="shared" si="24"/>
        <v>0</v>
      </c>
      <c r="L31" s="1090"/>
      <c r="M31" s="1090">
        <f t="shared" si="25"/>
        <v>0</v>
      </c>
      <c r="N31" s="1090">
        <f t="shared" si="26"/>
        <v>0</v>
      </c>
      <c r="O31" s="1091">
        <f>'[8]FY2012-13 Initial'!$K32</f>
        <v>5187</v>
      </c>
      <c r="P31" s="1092">
        <f t="shared" si="27"/>
        <v>0</v>
      </c>
      <c r="Q31" s="1092">
        <f t="shared" si="28"/>
        <v>0</v>
      </c>
      <c r="R31" s="1092">
        <f t="shared" si="29"/>
        <v>0</v>
      </c>
      <c r="S31" s="1593">
        <f t="shared" si="30"/>
        <v>0</v>
      </c>
      <c r="T31" s="1092">
        <f t="shared" si="31"/>
        <v>0</v>
      </c>
      <c r="U31" s="1092"/>
      <c r="V31" s="1092">
        <f t="shared" si="32"/>
        <v>0</v>
      </c>
      <c r="W31" s="1092">
        <f t="shared" si="33"/>
        <v>0</v>
      </c>
      <c r="X31" s="1093">
        <f t="shared" si="18"/>
        <v>0</v>
      </c>
      <c r="Y31" s="1093">
        <f t="shared" si="19"/>
        <v>0</v>
      </c>
    </row>
    <row r="32" spans="1:25">
      <c r="A32" s="1021">
        <v>26</v>
      </c>
      <c r="B32" s="1022" t="s">
        <v>127</v>
      </c>
      <c r="C32" s="1023">
        <f>'Table 8 2.1.12 MFP Funded'!P29</f>
        <v>248</v>
      </c>
      <c r="D32" s="1159"/>
      <c r="E32" s="1159">
        <f t="shared" si="20"/>
        <v>248</v>
      </c>
      <c r="F32" s="1024">
        <f>'Table 3 Levels 1&amp;2'!AL33</f>
        <v>3145.9192082835102</v>
      </c>
      <c r="G32" s="1136">
        <f t="shared" si="21"/>
        <v>780187.96365431056</v>
      </c>
      <c r="H32" s="1136">
        <f t="shared" si="22"/>
        <v>195647.80019926041</v>
      </c>
      <c r="I32" s="1025">
        <f t="shared" si="17"/>
        <v>975835.76385357091</v>
      </c>
      <c r="J32" s="1146">
        <f t="shared" si="23"/>
        <v>-2439.5894096339275</v>
      </c>
      <c r="K32" s="1025">
        <f t="shared" si="24"/>
        <v>973396.17444393702</v>
      </c>
      <c r="L32" s="1025"/>
      <c r="M32" s="1025">
        <f t="shared" si="25"/>
        <v>973396.17444393702</v>
      </c>
      <c r="N32" s="1025">
        <f t="shared" si="26"/>
        <v>81116</v>
      </c>
      <c r="O32" s="1086">
        <f>'[8]FY2012-13 Initial'!$K33</f>
        <v>5197</v>
      </c>
      <c r="P32" s="1026">
        <f t="shared" si="27"/>
        <v>1288856</v>
      </c>
      <c r="Q32" s="1026">
        <f t="shared" si="28"/>
        <v>0</v>
      </c>
      <c r="R32" s="1026">
        <f t="shared" si="29"/>
        <v>1288856</v>
      </c>
      <c r="S32" s="1154">
        <f t="shared" si="30"/>
        <v>-3222.14</v>
      </c>
      <c r="T32" s="1026">
        <f t="shared" si="31"/>
        <v>1285633.8600000001</v>
      </c>
      <c r="U32" s="1026"/>
      <c r="V32" s="1026">
        <f t="shared" si="32"/>
        <v>1285633.8600000001</v>
      </c>
      <c r="W32" s="1026">
        <f t="shared" si="33"/>
        <v>107136</v>
      </c>
      <c r="X32" s="1027">
        <f t="shared" si="18"/>
        <v>2259030.0344439372</v>
      </c>
      <c r="Y32" s="1027">
        <f t="shared" si="19"/>
        <v>188252</v>
      </c>
    </row>
    <row r="33" spans="1:25">
      <c r="A33" s="1028">
        <v>27</v>
      </c>
      <c r="B33" s="1029" t="s">
        <v>128</v>
      </c>
      <c r="C33" s="1036">
        <f>'Table 8 2.1.12 MFP Funded'!P30</f>
        <v>0</v>
      </c>
      <c r="D33" s="1162"/>
      <c r="E33" s="1162">
        <f t="shared" si="20"/>
        <v>0</v>
      </c>
      <c r="F33" s="1037">
        <f>'Table 3 Levels 1&amp;2'!AL34</f>
        <v>5653.5502977926608</v>
      </c>
      <c r="G33" s="1139">
        <f t="shared" si="21"/>
        <v>0</v>
      </c>
      <c r="H33" s="1139">
        <f t="shared" si="22"/>
        <v>0</v>
      </c>
      <c r="I33" s="1094">
        <f t="shared" si="17"/>
        <v>0</v>
      </c>
      <c r="J33" s="1149">
        <f t="shared" si="23"/>
        <v>0</v>
      </c>
      <c r="K33" s="1094">
        <f t="shared" si="24"/>
        <v>0</v>
      </c>
      <c r="L33" s="1094"/>
      <c r="M33" s="1094">
        <f t="shared" si="25"/>
        <v>0</v>
      </c>
      <c r="N33" s="1094">
        <f t="shared" si="26"/>
        <v>0</v>
      </c>
      <c r="O33" s="1086">
        <f>'[8]FY2012-13 Initial'!$K34</f>
        <v>3073</v>
      </c>
      <c r="P33" s="1088">
        <f t="shared" si="27"/>
        <v>0</v>
      </c>
      <c r="Q33" s="1088">
        <f t="shared" si="28"/>
        <v>0</v>
      </c>
      <c r="R33" s="1088">
        <f t="shared" si="29"/>
        <v>0</v>
      </c>
      <c r="S33" s="1154">
        <f t="shared" si="30"/>
        <v>0</v>
      </c>
      <c r="T33" s="1088">
        <f t="shared" si="31"/>
        <v>0</v>
      </c>
      <c r="U33" s="1088"/>
      <c r="V33" s="1088">
        <f t="shared" si="32"/>
        <v>0</v>
      </c>
      <c r="W33" s="1088">
        <f t="shared" si="33"/>
        <v>0</v>
      </c>
      <c r="X33" s="1089">
        <f t="shared" si="18"/>
        <v>0</v>
      </c>
      <c r="Y33" s="1089">
        <f t="shared" si="19"/>
        <v>0</v>
      </c>
    </row>
    <row r="34" spans="1:25">
      <c r="A34" s="1028">
        <v>28</v>
      </c>
      <c r="B34" s="1029" t="s">
        <v>129</v>
      </c>
      <c r="C34" s="1036">
        <f>'Table 8 2.1.12 MFP Funded'!P31</f>
        <v>0</v>
      </c>
      <c r="D34" s="1162"/>
      <c r="E34" s="1162">
        <f t="shared" si="20"/>
        <v>0</v>
      </c>
      <c r="F34" s="1037">
        <f>'Table 3 Levels 1&amp;2'!AL35</f>
        <v>3200.5356505169011</v>
      </c>
      <c r="G34" s="1139">
        <f t="shared" si="21"/>
        <v>0</v>
      </c>
      <c r="H34" s="1139">
        <f t="shared" si="22"/>
        <v>0</v>
      </c>
      <c r="I34" s="1094">
        <f t="shared" si="17"/>
        <v>0</v>
      </c>
      <c r="J34" s="1149">
        <f t="shared" si="23"/>
        <v>0</v>
      </c>
      <c r="K34" s="1094">
        <f t="shared" si="24"/>
        <v>0</v>
      </c>
      <c r="L34" s="1094"/>
      <c r="M34" s="1094">
        <f t="shared" si="25"/>
        <v>0</v>
      </c>
      <c r="N34" s="1094">
        <f t="shared" si="26"/>
        <v>0</v>
      </c>
      <c r="O34" s="1086">
        <f>'[8]FY2012-13 Initial'!$K35</f>
        <v>5082</v>
      </c>
      <c r="P34" s="1088">
        <f t="shared" si="27"/>
        <v>0</v>
      </c>
      <c r="Q34" s="1088">
        <f t="shared" si="28"/>
        <v>0</v>
      </c>
      <c r="R34" s="1088">
        <f t="shared" si="29"/>
        <v>0</v>
      </c>
      <c r="S34" s="1154">
        <f t="shared" si="30"/>
        <v>0</v>
      </c>
      <c r="T34" s="1088">
        <f t="shared" si="31"/>
        <v>0</v>
      </c>
      <c r="U34" s="1088"/>
      <c r="V34" s="1088">
        <f t="shared" si="32"/>
        <v>0</v>
      </c>
      <c r="W34" s="1088">
        <f t="shared" si="33"/>
        <v>0</v>
      </c>
      <c r="X34" s="1089">
        <f t="shared" si="18"/>
        <v>0</v>
      </c>
      <c r="Y34" s="1089">
        <f t="shared" si="19"/>
        <v>0</v>
      </c>
    </row>
    <row r="35" spans="1:25">
      <c r="A35" s="1028">
        <v>29</v>
      </c>
      <c r="B35" s="1029" t="s">
        <v>130</v>
      </c>
      <c r="C35" s="1036">
        <f>'Table 8 2.1.12 MFP Funded'!P32</f>
        <v>0</v>
      </c>
      <c r="D35" s="1162"/>
      <c r="E35" s="1162">
        <f t="shared" si="20"/>
        <v>0</v>
      </c>
      <c r="F35" s="1037">
        <f>'Table 3 Levels 1&amp;2'!AL36</f>
        <v>3945.0399545376122</v>
      </c>
      <c r="G35" s="1139">
        <f t="shared" si="21"/>
        <v>0</v>
      </c>
      <c r="H35" s="1139">
        <f t="shared" si="22"/>
        <v>0</v>
      </c>
      <c r="I35" s="1094">
        <f t="shared" si="17"/>
        <v>0</v>
      </c>
      <c r="J35" s="1149">
        <f t="shared" si="23"/>
        <v>0</v>
      </c>
      <c r="K35" s="1094">
        <f t="shared" si="24"/>
        <v>0</v>
      </c>
      <c r="L35" s="1094"/>
      <c r="M35" s="1094">
        <f t="shared" si="25"/>
        <v>0</v>
      </c>
      <c r="N35" s="1094">
        <f t="shared" si="26"/>
        <v>0</v>
      </c>
      <c r="O35" s="1086">
        <f>'[8]FY2012-13 Initial'!$K36</f>
        <v>4295</v>
      </c>
      <c r="P35" s="1088">
        <f t="shared" si="27"/>
        <v>0</v>
      </c>
      <c r="Q35" s="1088">
        <f t="shared" si="28"/>
        <v>0</v>
      </c>
      <c r="R35" s="1088">
        <f t="shared" si="29"/>
        <v>0</v>
      </c>
      <c r="S35" s="1154">
        <f t="shared" si="30"/>
        <v>0</v>
      </c>
      <c r="T35" s="1088">
        <f t="shared" si="31"/>
        <v>0</v>
      </c>
      <c r="U35" s="1088"/>
      <c r="V35" s="1088">
        <f t="shared" si="32"/>
        <v>0</v>
      </c>
      <c r="W35" s="1088">
        <f t="shared" si="33"/>
        <v>0</v>
      </c>
      <c r="X35" s="1089">
        <f t="shared" si="18"/>
        <v>0</v>
      </c>
      <c r="Y35" s="1089">
        <f t="shared" si="19"/>
        <v>0</v>
      </c>
    </row>
    <row r="36" spans="1:25">
      <c r="A36" s="1032">
        <v>30</v>
      </c>
      <c r="B36" s="1033" t="s">
        <v>131</v>
      </c>
      <c r="C36" s="1038">
        <f>'Table 8 2.1.12 MFP Funded'!P33</f>
        <v>0</v>
      </c>
      <c r="D36" s="1163"/>
      <c r="E36" s="1163">
        <f t="shared" si="20"/>
        <v>0</v>
      </c>
      <c r="F36" s="1039">
        <f>'Table 3 Levels 1&amp;2'!AL37</f>
        <v>5594.8916667625617</v>
      </c>
      <c r="G36" s="1140">
        <f t="shared" si="21"/>
        <v>0</v>
      </c>
      <c r="H36" s="1140">
        <f t="shared" si="22"/>
        <v>0</v>
      </c>
      <c r="I36" s="1095">
        <f t="shared" si="17"/>
        <v>0</v>
      </c>
      <c r="J36" s="1150">
        <f t="shared" si="23"/>
        <v>0</v>
      </c>
      <c r="K36" s="1095">
        <f t="shared" si="24"/>
        <v>0</v>
      </c>
      <c r="L36" s="1095"/>
      <c r="M36" s="1095">
        <f t="shared" si="25"/>
        <v>0</v>
      </c>
      <c r="N36" s="1095">
        <f t="shared" si="26"/>
        <v>0</v>
      </c>
      <c r="O36" s="1091">
        <f>'[8]FY2012-13 Initial'!$K37</f>
        <v>3553</v>
      </c>
      <c r="P36" s="1092">
        <f t="shared" si="27"/>
        <v>0</v>
      </c>
      <c r="Q36" s="1092">
        <f t="shared" si="28"/>
        <v>0</v>
      </c>
      <c r="R36" s="1092">
        <f t="shared" si="29"/>
        <v>0</v>
      </c>
      <c r="S36" s="1593">
        <f t="shared" si="30"/>
        <v>0</v>
      </c>
      <c r="T36" s="1092">
        <f t="shared" si="31"/>
        <v>0</v>
      </c>
      <c r="U36" s="1092"/>
      <c r="V36" s="1092">
        <f t="shared" si="32"/>
        <v>0</v>
      </c>
      <c r="W36" s="1092">
        <f t="shared" si="33"/>
        <v>0</v>
      </c>
      <c r="X36" s="1093">
        <f t="shared" si="18"/>
        <v>0</v>
      </c>
      <c r="Y36" s="1093">
        <f t="shared" si="19"/>
        <v>0</v>
      </c>
    </row>
    <row r="37" spans="1:25">
      <c r="A37" s="1021">
        <v>31</v>
      </c>
      <c r="B37" s="1022" t="s">
        <v>132</v>
      </c>
      <c r="C37" s="1040">
        <f>'Table 8 2.1.12 MFP Funded'!P34</f>
        <v>0</v>
      </c>
      <c r="D37" s="1164"/>
      <c r="E37" s="1164">
        <f t="shared" si="20"/>
        <v>0</v>
      </c>
      <c r="F37" s="1041">
        <f>'Table 3 Levels 1&amp;2'!AL38</f>
        <v>4159.5846806435638</v>
      </c>
      <c r="G37" s="1141">
        <f t="shared" si="21"/>
        <v>0</v>
      </c>
      <c r="H37" s="1141">
        <f t="shared" si="22"/>
        <v>0</v>
      </c>
      <c r="I37" s="1096">
        <f t="shared" si="17"/>
        <v>0</v>
      </c>
      <c r="J37" s="1151">
        <f t="shared" si="23"/>
        <v>0</v>
      </c>
      <c r="K37" s="1096">
        <f t="shared" si="24"/>
        <v>0</v>
      </c>
      <c r="L37" s="1096"/>
      <c r="M37" s="1096">
        <f t="shared" si="25"/>
        <v>0</v>
      </c>
      <c r="N37" s="1096">
        <f t="shared" si="26"/>
        <v>0</v>
      </c>
      <c r="O37" s="1086">
        <f>'[8]FY2012-13 Initial'!$K38</f>
        <v>4719</v>
      </c>
      <c r="P37" s="1026">
        <f t="shared" si="27"/>
        <v>0</v>
      </c>
      <c r="Q37" s="1026">
        <f t="shared" si="28"/>
        <v>0</v>
      </c>
      <c r="R37" s="1026">
        <f t="shared" si="29"/>
        <v>0</v>
      </c>
      <c r="S37" s="1154">
        <f t="shared" si="30"/>
        <v>0</v>
      </c>
      <c r="T37" s="1026">
        <f t="shared" si="31"/>
        <v>0</v>
      </c>
      <c r="U37" s="1026"/>
      <c r="V37" s="1026">
        <f t="shared" si="32"/>
        <v>0</v>
      </c>
      <c r="W37" s="1026">
        <f t="shared" si="33"/>
        <v>0</v>
      </c>
      <c r="X37" s="1027">
        <f t="shared" si="18"/>
        <v>0</v>
      </c>
      <c r="Y37" s="1027">
        <f t="shared" si="19"/>
        <v>0</v>
      </c>
    </row>
    <row r="38" spans="1:25">
      <c r="A38" s="1028">
        <v>32</v>
      </c>
      <c r="B38" s="1029" t="s">
        <v>133</v>
      </c>
      <c r="C38" s="1036">
        <f>'Table 8 2.1.12 MFP Funded'!P35</f>
        <v>0</v>
      </c>
      <c r="D38" s="1162"/>
      <c r="E38" s="1162">
        <f t="shared" si="20"/>
        <v>0</v>
      </c>
      <c r="F38" s="1037">
        <f>'Table 3 Levels 1&amp;2'!AL39</f>
        <v>5475.1436637248598</v>
      </c>
      <c r="G38" s="1139">
        <f t="shared" si="21"/>
        <v>0</v>
      </c>
      <c r="H38" s="1139">
        <f t="shared" si="22"/>
        <v>0</v>
      </c>
      <c r="I38" s="1094">
        <f t="shared" si="17"/>
        <v>0</v>
      </c>
      <c r="J38" s="1149">
        <f t="shared" si="23"/>
        <v>0</v>
      </c>
      <c r="K38" s="1094">
        <f t="shared" si="24"/>
        <v>0</v>
      </c>
      <c r="L38" s="1094"/>
      <c r="M38" s="1094">
        <f t="shared" si="25"/>
        <v>0</v>
      </c>
      <c r="N38" s="1094">
        <f t="shared" si="26"/>
        <v>0</v>
      </c>
      <c r="O38" s="1086">
        <f>'[8]FY2012-13 Initial'!$K39</f>
        <v>1979</v>
      </c>
      <c r="P38" s="1088">
        <f t="shared" si="27"/>
        <v>0</v>
      </c>
      <c r="Q38" s="1088">
        <f t="shared" si="28"/>
        <v>0</v>
      </c>
      <c r="R38" s="1088">
        <f t="shared" si="29"/>
        <v>0</v>
      </c>
      <c r="S38" s="1154">
        <f t="shared" si="30"/>
        <v>0</v>
      </c>
      <c r="T38" s="1088">
        <f t="shared" si="31"/>
        <v>0</v>
      </c>
      <c r="U38" s="1088"/>
      <c r="V38" s="1088">
        <f t="shared" si="32"/>
        <v>0</v>
      </c>
      <c r="W38" s="1088">
        <f t="shared" si="33"/>
        <v>0</v>
      </c>
      <c r="X38" s="1089">
        <f t="shared" si="18"/>
        <v>0</v>
      </c>
      <c r="Y38" s="1089">
        <f t="shared" si="19"/>
        <v>0</v>
      </c>
    </row>
    <row r="39" spans="1:25">
      <c r="A39" s="1028">
        <v>33</v>
      </c>
      <c r="B39" s="1029" t="s">
        <v>134</v>
      </c>
      <c r="C39" s="1036">
        <f>'Table 8 2.1.12 MFP Funded'!P36</f>
        <v>0</v>
      </c>
      <c r="D39" s="1162"/>
      <c r="E39" s="1162">
        <f t="shared" si="20"/>
        <v>0</v>
      </c>
      <c r="F39" s="1037">
        <f>'Table 3 Levels 1&amp;2'!AL40</f>
        <v>5397.5678422891451</v>
      </c>
      <c r="G39" s="1139">
        <f t="shared" si="21"/>
        <v>0</v>
      </c>
      <c r="H39" s="1139">
        <f t="shared" si="22"/>
        <v>0</v>
      </c>
      <c r="I39" s="1094">
        <f t="shared" ref="I39:I70" si="34">G39+H39</f>
        <v>0</v>
      </c>
      <c r="J39" s="1149">
        <f t="shared" si="23"/>
        <v>0</v>
      </c>
      <c r="K39" s="1094">
        <f t="shared" si="24"/>
        <v>0</v>
      </c>
      <c r="L39" s="1094"/>
      <c r="M39" s="1094">
        <f t="shared" si="25"/>
        <v>0</v>
      </c>
      <c r="N39" s="1094">
        <f t="shared" si="26"/>
        <v>0</v>
      </c>
      <c r="O39" s="1086">
        <f>'[8]FY2012-13 Initial'!$K40</f>
        <v>3055</v>
      </c>
      <c r="P39" s="1088">
        <f t="shared" si="27"/>
        <v>0</v>
      </c>
      <c r="Q39" s="1088">
        <f t="shared" si="28"/>
        <v>0</v>
      </c>
      <c r="R39" s="1088">
        <f t="shared" si="29"/>
        <v>0</v>
      </c>
      <c r="S39" s="1154">
        <f t="shared" si="30"/>
        <v>0</v>
      </c>
      <c r="T39" s="1088">
        <f t="shared" si="31"/>
        <v>0</v>
      </c>
      <c r="U39" s="1088"/>
      <c r="V39" s="1088">
        <f t="shared" si="32"/>
        <v>0</v>
      </c>
      <c r="W39" s="1088">
        <f t="shared" si="33"/>
        <v>0</v>
      </c>
      <c r="X39" s="1089">
        <f t="shared" ref="X39:X75" si="35">V39+M39</f>
        <v>0</v>
      </c>
      <c r="Y39" s="1089">
        <f t="shared" ref="Y39:Y75" si="36">N39+W39</f>
        <v>0</v>
      </c>
    </row>
    <row r="40" spans="1:25">
      <c r="A40" s="1028">
        <v>34</v>
      </c>
      <c r="B40" s="1029" t="s">
        <v>135</v>
      </c>
      <c r="C40" s="1036">
        <f>'Table 8 2.1.12 MFP Funded'!P37</f>
        <v>0</v>
      </c>
      <c r="D40" s="1162"/>
      <c r="E40" s="1162">
        <f t="shared" si="20"/>
        <v>0</v>
      </c>
      <c r="F40" s="1037">
        <f>'Table 3 Levels 1&amp;2'!AL41</f>
        <v>5843.9642210290731</v>
      </c>
      <c r="G40" s="1139">
        <f t="shared" si="21"/>
        <v>0</v>
      </c>
      <c r="H40" s="1139">
        <f t="shared" si="22"/>
        <v>0</v>
      </c>
      <c r="I40" s="1094">
        <f t="shared" si="34"/>
        <v>0</v>
      </c>
      <c r="J40" s="1149">
        <f t="shared" si="23"/>
        <v>0</v>
      </c>
      <c r="K40" s="1094">
        <f t="shared" si="24"/>
        <v>0</v>
      </c>
      <c r="L40" s="1094"/>
      <c r="M40" s="1094">
        <f t="shared" si="25"/>
        <v>0</v>
      </c>
      <c r="N40" s="1094">
        <f t="shared" si="26"/>
        <v>0</v>
      </c>
      <c r="O40" s="1086">
        <f>'[8]FY2012-13 Initial'!$K41</f>
        <v>2782</v>
      </c>
      <c r="P40" s="1088">
        <f t="shared" si="27"/>
        <v>0</v>
      </c>
      <c r="Q40" s="1088">
        <f t="shared" si="28"/>
        <v>0</v>
      </c>
      <c r="R40" s="1088">
        <f t="shared" si="29"/>
        <v>0</v>
      </c>
      <c r="S40" s="1154">
        <f t="shared" si="30"/>
        <v>0</v>
      </c>
      <c r="T40" s="1088">
        <f t="shared" si="31"/>
        <v>0</v>
      </c>
      <c r="U40" s="1088"/>
      <c r="V40" s="1088">
        <f t="shared" si="32"/>
        <v>0</v>
      </c>
      <c r="W40" s="1088">
        <f t="shared" si="33"/>
        <v>0</v>
      </c>
      <c r="X40" s="1089">
        <f t="shared" si="35"/>
        <v>0</v>
      </c>
      <c r="Y40" s="1089">
        <f t="shared" si="36"/>
        <v>0</v>
      </c>
    </row>
    <row r="41" spans="1:25">
      <c r="A41" s="1032">
        <v>35</v>
      </c>
      <c r="B41" s="1033" t="s">
        <v>136</v>
      </c>
      <c r="C41" s="1038">
        <f>'Table 8 2.1.12 MFP Funded'!P38</f>
        <v>0</v>
      </c>
      <c r="D41" s="1163"/>
      <c r="E41" s="1163">
        <f t="shared" si="20"/>
        <v>0</v>
      </c>
      <c r="F41" s="1039">
        <f>'Table 3 Levels 1&amp;2'!AL42</f>
        <v>4830.9633412658623</v>
      </c>
      <c r="G41" s="1140">
        <f t="shared" si="21"/>
        <v>0</v>
      </c>
      <c r="H41" s="1140">
        <f t="shared" si="22"/>
        <v>0</v>
      </c>
      <c r="I41" s="1095">
        <f t="shared" si="34"/>
        <v>0</v>
      </c>
      <c r="J41" s="1150">
        <f t="shared" si="23"/>
        <v>0</v>
      </c>
      <c r="K41" s="1095">
        <f t="shared" si="24"/>
        <v>0</v>
      </c>
      <c r="L41" s="1095"/>
      <c r="M41" s="1095">
        <f t="shared" si="25"/>
        <v>0</v>
      </c>
      <c r="N41" s="1095">
        <f t="shared" si="26"/>
        <v>0</v>
      </c>
      <c r="O41" s="1091">
        <f>'[8]FY2012-13 Initial'!$K42</f>
        <v>3175</v>
      </c>
      <c r="P41" s="1092">
        <f t="shared" si="27"/>
        <v>0</v>
      </c>
      <c r="Q41" s="1092">
        <f t="shared" si="28"/>
        <v>0</v>
      </c>
      <c r="R41" s="1092">
        <f t="shared" si="29"/>
        <v>0</v>
      </c>
      <c r="S41" s="1593">
        <f t="shared" si="30"/>
        <v>0</v>
      </c>
      <c r="T41" s="1092">
        <f t="shared" si="31"/>
        <v>0</v>
      </c>
      <c r="U41" s="1092"/>
      <c r="V41" s="1092">
        <f t="shared" si="32"/>
        <v>0</v>
      </c>
      <c r="W41" s="1092">
        <f t="shared" si="33"/>
        <v>0</v>
      </c>
      <c r="X41" s="1093">
        <f t="shared" si="35"/>
        <v>0</v>
      </c>
      <c r="Y41" s="1093">
        <f t="shared" si="36"/>
        <v>0</v>
      </c>
    </row>
    <row r="42" spans="1:25">
      <c r="A42" s="1021">
        <v>36</v>
      </c>
      <c r="B42" s="1022" t="s">
        <v>137</v>
      </c>
      <c r="C42" s="1040">
        <f>'Table 8 2.1.12 MFP Funded'!P39-D42</f>
        <v>134</v>
      </c>
      <c r="D42" s="1180">
        <v>60</v>
      </c>
      <c r="E42" s="1180">
        <f t="shared" si="20"/>
        <v>194</v>
      </c>
      <c r="F42" s="1041">
        <f>'Table 3 Levels 1&amp;2'!AL43</f>
        <v>3493.4615493208294</v>
      </c>
      <c r="G42" s="1141">
        <f t="shared" si="21"/>
        <v>677731.54056824092</v>
      </c>
      <c r="H42" s="1141">
        <f t="shared" si="22"/>
        <v>153047.06951071176</v>
      </c>
      <c r="I42" s="1096">
        <f t="shared" si="34"/>
        <v>830778.61007895274</v>
      </c>
      <c r="J42" s="1151">
        <f t="shared" si="23"/>
        <v>-2076.946525197382</v>
      </c>
      <c r="K42" s="1096">
        <f t="shared" si="24"/>
        <v>828701.66355375538</v>
      </c>
      <c r="L42" s="1096"/>
      <c r="M42" s="1096">
        <f t="shared" si="25"/>
        <v>828701.66355375538</v>
      </c>
      <c r="N42" s="1096">
        <f t="shared" si="26"/>
        <v>69058</v>
      </c>
      <c r="O42" s="1086">
        <f>'[8]FY2012-13 Initial'!$K43</f>
        <v>4785</v>
      </c>
      <c r="P42" s="1026">
        <f t="shared" si="27"/>
        <v>641190</v>
      </c>
      <c r="Q42" s="1026">
        <f t="shared" si="28"/>
        <v>287100</v>
      </c>
      <c r="R42" s="1026">
        <f t="shared" si="29"/>
        <v>928290</v>
      </c>
      <c r="S42" s="1154">
        <f t="shared" si="30"/>
        <v>-1602.9750000000001</v>
      </c>
      <c r="T42" s="1026">
        <f t="shared" si="31"/>
        <v>639587.02500000002</v>
      </c>
      <c r="U42" s="1026"/>
      <c r="V42" s="1026">
        <f t="shared" si="32"/>
        <v>639587.02500000002</v>
      </c>
      <c r="W42" s="1026">
        <f t="shared" si="33"/>
        <v>53299</v>
      </c>
      <c r="X42" s="1027">
        <f t="shared" si="35"/>
        <v>1468288.6885537554</v>
      </c>
      <c r="Y42" s="1027">
        <f t="shared" si="36"/>
        <v>122357</v>
      </c>
    </row>
    <row r="43" spans="1:25">
      <c r="A43" s="1028">
        <v>37</v>
      </c>
      <c r="B43" s="1029" t="s">
        <v>138</v>
      </c>
      <c r="C43" s="1036">
        <f>'Table 8 2.1.12 MFP Funded'!P40</f>
        <v>0</v>
      </c>
      <c r="D43" s="1181"/>
      <c r="E43" s="1181">
        <f t="shared" si="20"/>
        <v>0</v>
      </c>
      <c r="F43" s="1037">
        <f>'Table 3 Levels 1&amp;2'!AL44</f>
        <v>5484.3026094077886</v>
      </c>
      <c r="G43" s="1139">
        <f t="shared" si="21"/>
        <v>0</v>
      </c>
      <c r="H43" s="1139">
        <f t="shared" si="22"/>
        <v>0</v>
      </c>
      <c r="I43" s="1094">
        <f t="shared" si="34"/>
        <v>0</v>
      </c>
      <c r="J43" s="1149">
        <f t="shared" si="23"/>
        <v>0</v>
      </c>
      <c r="K43" s="1094">
        <f t="shared" si="24"/>
        <v>0</v>
      </c>
      <c r="L43" s="1094"/>
      <c r="M43" s="1094">
        <f t="shared" si="25"/>
        <v>0</v>
      </c>
      <c r="N43" s="1094">
        <f t="shared" si="26"/>
        <v>0</v>
      </c>
      <c r="O43" s="1086">
        <f>'[8]FY2012-13 Initial'!$K44</f>
        <v>3112</v>
      </c>
      <c r="P43" s="1088">
        <f t="shared" si="27"/>
        <v>0</v>
      </c>
      <c r="Q43" s="1088">
        <f t="shared" si="28"/>
        <v>0</v>
      </c>
      <c r="R43" s="1088">
        <f t="shared" si="29"/>
        <v>0</v>
      </c>
      <c r="S43" s="1154">
        <f t="shared" si="30"/>
        <v>0</v>
      </c>
      <c r="T43" s="1088">
        <f t="shared" si="31"/>
        <v>0</v>
      </c>
      <c r="U43" s="1088"/>
      <c r="V43" s="1088">
        <f t="shared" si="32"/>
        <v>0</v>
      </c>
      <c r="W43" s="1088">
        <f t="shared" si="33"/>
        <v>0</v>
      </c>
      <c r="X43" s="1089">
        <f t="shared" si="35"/>
        <v>0</v>
      </c>
      <c r="Y43" s="1089">
        <f t="shared" si="36"/>
        <v>0</v>
      </c>
    </row>
    <row r="44" spans="1:25">
      <c r="A44" s="1028">
        <v>38</v>
      </c>
      <c r="B44" s="1029" t="s">
        <v>139</v>
      </c>
      <c r="C44" s="1036">
        <f>'Table 8 2.1.12 MFP Funded'!P41-D44</f>
        <v>78</v>
      </c>
      <c r="D44" s="1181">
        <v>386</v>
      </c>
      <c r="E44" s="1181">
        <f t="shared" si="20"/>
        <v>464</v>
      </c>
      <c r="F44" s="1037">
        <f>'Table 3 Levels 1&amp;2'!AL45</f>
        <v>2191.7415364583335</v>
      </c>
      <c r="G44" s="1139">
        <f t="shared" si="21"/>
        <v>1016968.0729166667</v>
      </c>
      <c r="H44" s="1139">
        <f t="shared" si="22"/>
        <v>366050.722953455</v>
      </c>
      <c r="I44" s="1094">
        <f t="shared" si="34"/>
        <v>1383018.7958701218</v>
      </c>
      <c r="J44" s="1149">
        <f t="shared" si="23"/>
        <v>-3457.5469896753048</v>
      </c>
      <c r="K44" s="1094">
        <f t="shared" si="24"/>
        <v>1379561.2488804464</v>
      </c>
      <c r="L44" s="1094"/>
      <c r="M44" s="1094">
        <f t="shared" si="25"/>
        <v>1379561.2488804464</v>
      </c>
      <c r="N44" s="1094">
        <f t="shared" si="26"/>
        <v>114963</v>
      </c>
      <c r="O44" s="1086">
        <f>'[8]FY2012-13 Initial'!$K45</f>
        <v>9771</v>
      </c>
      <c r="P44" s="1088">
        <f t="shared" si="27"/>
        <v>762138</v>
      </c>
      <c r="Q44" s="1088">
        <f t="shared" si="28"/>
        <v>3771606</v>
      </c>
      <c r="R44" s="1088">
        <f t="shared" si="29"/>
        <v>4533744</v>
      </c>
      <c r="S44" s="1154">
        <f t="shared" si="30"/>
        <v>-1905.345</v>
      </c>
      <c r="T44" s="1088">
        <f t="shared" si="31"/>
        <v>760232.65500000003</v>
      </c>
      <c r="U44" s="1088"/>
      <c r="V44" s="1088">
        <f t="shared" si="32"/>
        <v>760232.65500000003</v>
      </c>
      <c r="W44" s="1088">
        <f t="shared" si="33"/>
        <v>63353</v>
      </c>
      <c r="X44" s="1089">
        <f t="shared" si="35"/>
        <v>2139793.9038804462</v>
      </c>
      <c r="Y44" s="1089">
        <f t="shared" si="36"/>
        <v>178316</v>
      </c>
    </row>
    <row r="45" spans="1:25">
      <c r="A45" s="1028">
        <v>39</v>
      </c>
      <c r="B45" s="1029" t="s">
        <v>140</v>
      </c>
      <c r="C45" s="1036">
        <f>'Table 8 2.1.12 MFP Funded'!P42</f>
        <v>0</v>
      </c>
      <c r="D45" s="1162"/>
      <c r="E45" s="1162">
        <f t="shared" si="20"/>
        <v>0</v>
      </c>
      <c r="F45" s="1037">
        <f>'Table 3 Levels 1&amp;2'!AL46</f>
        <v>3686.1886996918806</v>
      </c>
      <c r="G45" s="1139">
        <f t="shared" si="21"/>
        <v>0</v>
      </c>
      <c r="H45" s="1139">
        <f t="shared" si="22"/>
        <v>0</v>
      </c>
      <c r="I45" s="1094">
        <f t="shared" si="34"/>
        <v>0</v>
      </c>
      <c r="J45" s="1149">
        <f t="shared" si="23"/>
        <v>0</v>
      </c>
      <c r="K45" s="1094">
        <f t="shared" si="24"/>
        <v>0</v>
      </c>
      <c r="L45" s="1094"/>
      <c r="M45" s="1094">
        <f t="shared" si="25"/>
        <v>0</v>
      </c>
      <c r="N45" s="1094">
        <f t="shared" si="26"/>
        <v>0</v>
      </c>
      <c r="O45" s="1086">
        <f>'[8]FY2012-13 Initial'!$K46</f>
        <v>4190</v>
      </c>
      <c r="P45" s="1088">
        <f t="shared" si="27"/>
        <v>0</v>
      </c>
      <c r="Q45" s="1088">
        <f t="shared" si="28"/>
        <v>0</v>
      </c>
      <c r="R45" s="1088">
        <f t="shared" si="29"/>
        <v>0</v>
      </c>
      <c r="S45" s="1154">
        <f t="shared" si="30"/>
        <v>0</v>
      </c>
      <c r="T45" s="1088">
        <f t="shared" si="31"/>
        <v>0</v>
      </c>
      <c r="U45" s="1088"/>
      <c r="V45" s="1088">
        <f t="shared" si="32"/>
        <v>0</v>
      </c>
      <c r="W45" s="1088">
        <f t="shared" si="33"/>
        <v>0</v>
      </c>
      <c r="X45" s="1089">
        <f t="shared" si="35"/>
        <v>0</v>
      </c>
      <c r="Y45" s="1089">
        <f t="shared" si="36"/>
        <v>0</v>
      </c>
    </row>
    <row r="46" spans="1:25">
      <c r="A46" s="1032">
        <v>40</v>
      </c>
      <c r="B46" s="1033" t="s">
        <v>141</v>
      </c>
      <c r="C46" s="1038">
        <f>'Table 8 2.1.12 MFP Funded'!P43</f>
        <v>0</v>
      </c>
      <c r="D46" s="1163"/>
      <c r="E46" s="1163">
        <f t="shared" si="20"/>
        <v>0</v>
      </c>
      <c r="F46" s="1039">
        <f>'Table 3 Levels 1&amp;2'!AL47</f>
        <v>4879.0185326187402</v>
      </c>
      <c r="G46" s="1140">
        <f t="shared" si="21"/>
        <v>0</v>
      </c>
      <c r="H46" s="1140">
        <f t="shared" si="22"/>
        <v>0</v>
      </c>
      <c r="I46" s="1095">
        <f t="shared" si="34"/>
        <v>0</v>
      </c>
      <c r="J46" s="1150">
        <f t="shared" si="23"/>
        <v>0</v>
      </c>
      <c r="K46" s="1095">
        <f t="shared" si="24"/>
        <v>0</v>
      </c>
      <c r="L46" s="1095"/>
      <c r="M46" s="1095">
        <f t="shared" si="25"/>
        <v>0</v>
      </c>
      <c r="N46" s="1095">
        <f t="shared" si="26"/>
        <v>0</v>
      </c>
      <c r="O46" s="1091">
        <f>'[8]FY2012-13 Initial'!$K47</f>
        <v>2887</v>
      </c>
      <c r="P46" s="1092">
        <f t="shared" si="27"/>
        <v>0</v>
      </c>
      <c r="Q46" s="1092">
        <f t="shared" si="28"/>
        <v>0</v>
      </c>
      <c r="R46" s="1092">
        <f t="shared" si="29"/>
        <v>0</v>
      </c>
      <c r="S46" s="1593">
        <f t="shared" si="30"/>
        <v>0</v>
      </c>
      <c r="T46" s="1092">
        <f t="shared" si="31"/>
        <v>0</v>
      </c>
      <c r="U46" s="1092"/>
      <c r="V46" s="1092">
        <f t="shared" si="32"/>
        <v>0</v>
      </c>
      <c r="W46" s="1092">
        <f t="shared" si="33"/>
        <v>0</v>
      </c>
      <c r="X46" s="1093">
        <f t="shared" si="35"/>
        <v>0</v>
      </c>
      <c r="Y46" s="1093">
        <f t="shared" si="36"/>
        <v>0</v>
      </c>
    </row>
    <row r="47" spans="1:25">
      <c r="A47" s="1021">
        <v>41</v>
      </c>
      <c r="B47" s="1022" t="s">
        <v>142</v>
      </c>
      <c r="C47" s="1040">
        <f>'Table 8 2.1.12 MFP Funded'!P44</f>
        <v>0</v>
      </c>
      <c r="D47" s="1164"/>
      <c r="E47" s="1164">
        <f t="shared" si="20"/>
        <v>0</v>
      </c>
      <c r="F47" s="1041">
        <f>'Table 3 Levels 1&amp;2'!AL48</f>
        <v>1608.4303482587065</v>
      </c>
      <c r="G47" s="1141">
        <f t="shared" si="21"/>
        <v>0</v>
      </c>
      <c r="H47" s="1141">
        <f t="shared" si="22"/>
        <v>0</v>
      </c>
      <c r="I47" s="1096">
        <f t="shared" si="34"/>
        <v>0</v>
      </c>
      <c r="J47" s="1151">
        <f t="shared" si="23"/>
        <v>0</v>
      </c>
      <c r="K47" s="1096">
        <f t="shared" si="24"/>
        <v>0</v>
      </c>
      <c r="L47" s="1096"/>
      <c r="M47" s="1096">
        <f t="shared" si="25"/>
        <v>0</v>
      </c>
      <c r="N47" s="1096">
        <f t="shared" si="26"/>
        <v>0</v>
      </c>
      <c r="O47" s="1086">
        <f>'[8]FY2012-13 Initial'!$K48</f>
        <v>12470</v>
      </c>
      <c r="P47" s="1026">
        <f t="shared" si="27"/>
        <v>0</v>
      </c>
      <c r="Q47" s="1026">
        <f t="shared" si="28"/>
        <v>0</v>
      </c>
      <c r="R47" s="1026">
        <f t="shared" si="29"/>
        <v>0</v>
      </c>
      <c r="S47" s="1154">
        <f t="shared" si="30"/>
        <v>0</v>
      </c>
      <c r="T47" s="1026">
        <f t="shared" si="31"/>
        <v>0</v>
      </c>
      <c r="U47" s="1026"/>
      <c r="V47" s="1026">
        <f t="shared" si="32"/>
        <v>0</v>
      </c>
      <c r="W47" s="1026">
        <f t="shared" si="33"/>
        <v>0</v>
      </c>
      <c r="X47" s="1027">
        <f t="shared" si="35"/>
        <v>0</v>
      </c>
      <c r="Y47" s="1027">
        <f t="shared" si="36"/>
        <v>0</v>
      </c>
    </row>
    <row r="48" spans="1:25">
      <c r="A48" s="1028">
        <v>42</v>
      </c>
      <c r="B48" s="1029" t="s">
        <v>143</v>
      </c>
      <c r="C48" s="1036">
        <f>'Table 8 2.1.12 MFP Funded'!P45</f>
        <v>0</v>
      </c>
      <c r="D48" s="1162"/>
      <c r="E48" s="1162">
        <f t="shared" si="20"/>
        <v>0</v>
      </c>
      <c r="F48" s="1037">
        <f>'Table 3 Levels 1&amp;2'!AL49</f>
        <v>5260.3047779801664</v>
      </c>
      <c r="G48" s="1139">
        <f t="shared" si="21"/>
        <v>0</v>
      </c>
      <c r="H48" s="1139">
        <f t="shared" si="22"/>
        <v>0</v>
      </c>
      <c r="I48" s="1094">
        <f t="shared" si="34"/>
        <v>0</v>
      </c>
      <c r="J48" s="1149">
        <f t="shared" si="23"/>
        <v>0</v>
      </c>
      <c r="K48" s="1094">
        <f t="shared" si="24"/>
        <v>0</v>
      </c>
      <c r="L48" s="1094"/>
      <c r="M48" s="1094">
        <f t="shared" si="25"/>
        <v>0</v>
      </c>
      <c r="N48" s="1094">
        <f t="shared" si="26"/>
        <v>0</v>
      </c>
      <c r="O48" s="1086">
        <f>'[8]FY2012-13 Initial'!$K49</f>
        <v>2353</v>
      </c>
      <c r="P48" s="1088">
        <f t="shared" si="27"/>
        <v>0</v>
      </c>
      <c r="Q48" s="1088">
        <f t="shared" si="28"/>
        <v>0</v>
      </c>
      <c r="R48" s="1088">
        <f t="shared" si="29"/>
        <v>0</v>
      </c>
      <c r="S48" s="1154">
        <f t="shared" si="30"/>
        <v>0</v>
      </c>
      <c r="T48" s="1088">
        <f t="shared" si="31"/>
        <v>0</v>
      </c>
      <c r="U48" s="1088"/>
      <c r="V48" s="1088">
        <f t="shared" si="32"/>
        <v>0</v>
      </c>
      <c r="W48" s="1088">
        <f t="shared" si="33"/>
        <v>0</v>
      </c>
      <c r="X48" s="1089">
        <f t="shared" si="35"/>
        <v>0</v>
      </c>
      <c r="Y48" s="1089">
        <f t="shared" si="36"/>
        <v>0</v>
      </c>
    </row>
    <row r="49" spans="1:25">
      <c r="A49" s="1028">
        <v>43</v>
      </c>
      <c r="B49" s="1029" t="s">
        <v>144</v>
      </c>
      <c r="C49" s="1036">
        <f>'Table 8 2.1.12 MFP Funded'!P46</f>
        <v>0</v>
      </c>
      <c r="D49" s="1162"/>
      <c r="E49" s="1162">
        <f t="shared" si="20"/>
        <v>0</v>
      </c>
      <c r="F49" s="1037">
        <f>'Table 3 Levels 1&amp;2'!AL50</f>
        <v>5587.3492327608728</v>
      </c>
      <c r="G49" s="1139">
        <f t="shared" si="21"/>
        <v>0</v>
      </c>
      <c r="H49" s="1139">
        <f t="shared" si="22"/>
        <v>0</v>
      </c>
      <c r="I49" s="1094">
        <f t="shared" si="34"/>
        <v>0</v>
      </c>
      <c r="J49" s="1149">
        <f t="shared" si="23"/>
        <v>0</v>
      </c>
      <c r="K49" s="1094">
        <f t="shared" si="24"/>
        <v>0</v>
      </c>
      <c r="L49" s="1094"/>
      <c r="M49" s="1094">
        <f t="shared" si="25"/>
        <v>0</v>
      </c>
      <c r="N49" s="1094">
        <f t="shared" si="26"/>
        <v>0</v>
      </c>
      <c r="O49" s="1086">
        <f>'[8]FY2012-13 Initial'!$K50</f>
        <v>5599</v>
      </c>
      <c r="P49" s="1088">
        <f t="shared" si="27"/>
        <v>0</v>
      </c>
      <c r="Q49" s="1088">
        <f t="shared" si="28"/>
        <v>0</v>
      </c>
      <c r="R49" s="1088">
        <f t="shared" si="29"/>
        <v>0</v>
      </c>
      <c r="S49" s="1154">
        <f t="shared" si="30"/>
        <v>0</v>
      </c>
      <c r="T49" s="1088">
        <f t="shared" si="31"/>
        <v>0</v>
      </c>
      <c r="U49" s="1088"/>
      <c r="V49" s="1088">
        <f t="shared" si="32"/>
        <v>0</v>
      </c>
      <c r="W49" s="1088">
        <f t="shared" si="33"/>
        <v>0</v>
      </c>
      <c r="X49" s="1089">
        <f t="shared" si="35"/>
        <v>0</v>
      </c>
      <c r="Y49" s="1089">
        <f t="shared" si="36"/>
        <v>0</v>
      </c>
    </row>
    <row r="50" spans="1:25">
      <c r="A50" s="1028">
        <v>44</v>
      </c>
      <c r="B50" s="1029" t="s">
        <v>145</v>
      </c>
      <c r="C50" s="1036">
        <f>'Table 8 2.1.12 MFP Funded'!P47</f>
        <v>0</v>
      </c>
      <c r="D50" s="1162"/>
      <c r="E50" s="1162">
        <f t="shared" si="20"/>
        <v>0</v>
      </c>
      <c r="F50" s="1037">
        <f>'Table 3 Levels 1&amp;2'!AL51</f>
        <v>4113.1787591918992</v>
      </c>
      <c r="G50" s="1139">
        <f t="shared" si="21"/>
        <v>0</v>
      </c>
      <c r="H50" s="1139">
        <f t="shared" si="22"/>
        <v>0</v>
      </c>
      <c r="I50" s="1094">
        <f t="shared" si="34"/>
        <v>0</v>
      </c>
      <c r="J50" s="1149">
        <f t="shared" si="23"/>
        <v>0</v>
      </c>
      <c r="K50" s="1094">
        <f t="shared" si="24"/>
        <v>0</v>
      </c>
      <c r="L50" s="1094"/>
      <c r="M50" s="1094">
        <f t="shared" si="25"/>
        <v>0</v>
      </c>
      <c r="N50" s="1094">
        <f t="shared" si="26"/>
        <v>0</v>
      </c>
      <c r="O50" s="1086">
        <f>'[8]FY2012-13 Initial'!$K51</f>
        <v>4661</v>
      </c>
      <c r="P50" s="1088">
        <f t="shared" si="27"/>
        <v>0</v>
      </c>
      <c r="Q50" s="1088">
        <f t="shared" si="28"/>
        <v>0</v>
      </c>
      <c r="R50" s="1088">
        <f t="shared" si="29"/>
        <v>0</v>
      </c>
      <c r="S50" s="1154">
        <f t="shared" si="30"/>
        <v>0</v>
      </c>
      <c r="T50" s="1088">
        <f t="shared" si="31"/>
        <v>0</v>
      </c>
      <c r="U50" s="1088"/>
      <c r="V50" s="1088">
        <f t="shared" si="32"/>
        <v>0</v>
      </c>
      <c r="W50" s="1088">
        <f t="shared" si="33"/>
        <v>0</v>
      </c>
      <c r="X50" s="1089">
        <f t="shared" si="35"/>
        <v>0</v>
      </c>
      <c r="Y50" s="1089">
        <f t="shared" si="36"/>
        <v>0</v>
      </c>
    </row>
    <row r="51" spans="1:25">
      <c r="A51" s="1032">
        <v>45</v>
      </c>
      <c r="B51" s="1033" t="s">
        <v>146</v>
      </c>
      <c r="C51" s="1038">
        <f>'Table 8 2.1.12 MFP Funded'!P48</f>
        <v>1</v>
      </c>
      <c r="D51" s="1163"/>
      <c r="E51" s="1163">
        <f t="shared" si="20"/>
        <v>1</v>
      </c>
      <c r="F51" s="1039">
        <f>'Table 3 Levels 1&amp;2'!AL52</f>
        <v>2414.8479898164846</v>
      </c>
      <c r="G51" s="1140">
        <f t="shared" si="21"/>
        <v>2414.8479898164846</v>
      </c>
      <c r="H51" s="1140">
        <f t="shared" si="22"/>
        <v>788.90242015830813</v>
      </c>
      <c r="I51" s="1095">
        <f t="shared" si="34"/>
        <v>3203.750409974793</v>
      </c>
      <c r="J51" s="1150">
        <f t="shared" si="23"/>
        <v>-8.0093760249369819</v>
      </c>
      <c r="K51" s="1095">
        <f t="shared" si="24"/>
        <v>3195.741033949856</v>
      </c>
      <c r="L51" s="1095"/>
      <c r="M51" s="1095">
        <f t="shared" si="25"/>
        <v>3195.741033949856</v>
      </c>
      <c r="N51" s="1095">
        <f t="shared" si="26"/>
        <v>266</v>
      </c>
      <c r="O51" s="1091">
        <f>'[8]FY2012-13 Initial'!$K52</f>
        <v>11650</v>
      </c>
      <c r="P51" s="1092">
        <f t="shared" si="27"/>
        <v>11650</v>
      </c>
      <c r="Q51" s="1092">
        <f t="shared" si="28"/>
        <v>0</v>
      </c>
      <c r="R51" s="1092">
        <f t="shared" si="29"/>
        <v>11650</v>
      </c>
      <c r="S51" s="1593">
        <f t="shared" si="30"/>
        <v>-29.125</v>
      </c>
      <c r="T51" s="1092">
        <f t="shared" si="31"/>
        <v>11620.875</v>
      </c>
      <c r="U51" s="1092"/>
      <c r="V51" s="1092">
        <f t="shared" si="32"/>
        <v>11620.875</v>
      </c>
      <c r="W51" s="1092">
        <f t="shared" si="33"/>
        <v>968</v>
      </c>
      <c r="X51" s="1093">
        <f t="shared" si="35"/>
        <v>14816.616033949857</v>
      </c>
      <c r="Y51" s="1093">
        <f t="shared" si="36"/>
        <v>1234</v>
      </c>
    </row>
    <row r="52" spans="1:25">
      <c r="A52" s="1021">
        <v>46</v>
      </c>
      <c r="B52" s="1022" t="s">
        <v>147</v>
      </c>
      <c r="C52" s="1040">
        <f>'Table 8 2.1.12 MFP Funded'!P49</f>
        <v>0</v>
      </c>
      <c r="D52" s="1164"/>
      <c r="E52" s="1164">
        <f t="shared" si="20"/>
        <v>0</v>
      </c>
      <c r="F52" s="1041">
        <f>'Table 3 Levels 1&amp;2'!AL53</f>
        <v>5765.0314518803261</v>
      </c>
      <c r="G52" s="1141">
        <f t="shared" si="21"/>
        <v>0</v>
      </c>
      <c r="H52" s="1141">
        <f t="shared" si="22"/>
        <v>0</v>
      </c>
      <c r="I52" s="1096">
        <f t="shared" si="34"/>
        <v>0</v>
      </c>
      <c r="J52" s="1151">
        <f t="shared" si="23"/>
        <v>0</v>
      </c>
      <c r="K52" s="1096">
        <f t="shared" si="24"/>
        <v>0</v>
      </c>
      <c r="L52" s="1096"/>
      <c r="M52" s="1096">
        <f t="shared" si="25"/>
        <v>0</v>
      </c>
      <c r="N52" s="1096">
        <f t="shared" si="26"/>
        <v>0</v>
      </c>
      <c r="O52" s="1086">
        <f>'[8]FY2012-13 Initial'!$K53</f>
        <v>1789</v>
      </c>
      <c r="P52" s="1026">
        <f t="shared" si="27"/>
        <v>0</v>
      </c>
      <c r="Q52" s="1026">
        <f t="shared" si="28"/>
        <v>0</v>
      </c>
      <c r="R52" s="1026">
        <f t="shared" si="29"/>
        <v>0</v>
      </c>
      <c r="S52" s="1154">
        <f t="shared" si="30"/>
        <v>0</v>
      </c>
      <c r="T52" s="1026">
        <f t="shared" si="31"/>
        <v>0</v>
      </c>
      <c r="U52" s="1026"/>
      <c r="V52" s="1026">
        <f t="shared" si="32"/>
        <v>0</v>
      </c>
      <c r="W52" s="1026">
        <f t="shared" si="33"/>
        <v>0</v>
      </c>
      <c r="X52" s="1027">
        <f t="shared" si="35"/>
        <v>0</v>
      </c>
      <c r="Y52" s="1027">
        <f t="shared" si="36"/>
        <v>0</v>
      </c>
    </row>
    <row r="53" spans="1:25">
      <c r="A53" s="1028">
        <v>47</v>
      </c>
      <c r="B53" s="1029" t="s">
        <v>148</v>
      </c>
      <c r="C53" s="1036">
        <f>'Table 8 2.1.12 MFP Funded'!P50</f>
        <v>0</v>
      </c>
      <c r="D53" s="1162"/>
      <c r="E53" s="1162">
        <f t="shared" si="20"/>
        <v>0</v>
      </c>
      <c r="F53" s="1037">
        <f>'Table 3 Levels 1&amp;2'!AL54</f>
        <v>3186.1712081166847</v>
      </c>
      <c r="G53" s="1139">
        <f t="shared" si="21"/>
        <v>0</v>
      </c>
      <c r="H53" s="1139">
        <f t="shared" si="22"/>
        <v>0</v>
      </c>
      <c r="I53" s="1094">
        <f t="shared" si="34"/>
        <v>0</v>
      </c>
      <c r="J53" s="1149">
        <f t="shared" si="23"/>
        <v>0</v>
      </c>
      <c r="K53" s="1094">
        <f t="shared" si="24"/>
        <v>0</v>
      </c>
      <c r="L53" s="1094"/>
      <c r="M53" s="1094">
        <f t="shared" si="25"/>
        <v>0</v>
      </c>
      <c r="N53" s="1094">
        <f t="shared" si="26"/>
        <v>0</v>
      </c>
      <c r="O53" s="1086">
        <f>'[8]FY2012-13 Initial'!$K54</f>
        <v>9947</v>
      </c>
      <c r="P53" s="1088">
        <f t="shared" si="27"/>
        <v>0</v>
      </c>
      <c r="Q53" s="1088">
        <f t="shared" si="28"/>
        <v>0</v>
      </c>
      <c r="R53" s="1088">
        <f t="shared" si="29"/>
        <v>0</v>
      </c>
      <c r="S53" s="1154">
        <f t="shared" si="30"/>
        <v>0</v>
      </c>
      <c r="T53" s="1088">
        <f t="shared" si="31"/>
        <v>0</v>
      </c>
      <c r="U53" s="1088"/>
      <c r="V53" s="1088">
        <f t="shared" si="32"/>
        <v>0</v>
      </c>
      <c r="W53" s="1088">
        <f t="shared" si="33"/>
        <v>0</v>
      </c>
      <c r="X53" s="1089">
        <f t="shared" si="35"/>
        <v>0</v>
      </c>
      <c r="Y53" s="1089">
        <f t="shared" si="36"/>
        <v>0</v>
      </c>
    </row>
    <row r="54" spans="1:25">
      <c r="A54" s="1028">
        <v>48</v>
      </c>
      <c r="B54" s="1029" t="s">
        <v>222</v>
      </c>
      <c r="C54" s="1036">
        <f>'Table 8 2.1.12 MFP Funded'!P51</f>
        <v>0</v>
      </c>
      <c r="D54" s="1162"/>
      <c r="E54" s="1162">
        <f t="shared" si="20"/>
        <v>0</v>
      </c>
      <c r="F54" s="1037">
        <f>'Table 3 Levels 1&amp;2'!AL55</f>
        <v>4260.4872196136057</v>
      </c>
      <c r="G54" s="1139">
        <f t="shared" si="21"/>
        <v>0</v>
      </c>
      <c r="H54" s="1139">
        <f t="shared" si="22"/>
        <v>0</v>
      </c>
      <c r="I54" s="1094">
        <f t="shared" si="34"/>
        <v>0</v>
      </c>
      <c r="J54" s="1149">
        <f t="shared" si="23"/>
        <v>0</v>
      </c>
      <c r="K54" s="1094">
        <f t="shared" si="24"/>
        <v>0</v>
      </c>
      <c r="L54" s="1094"/>
      <c r="M54" s="1094">
        <f t="shared" si="25"/>
        <v>0</v>
      </c>
      <c r="N54" s="1094">
        <f t="shared" si="26"/>
        <v>0</v>
      </c>
      <c r="O54" s="1086">
        <f>'[8]FY2012-13 Initial'!$K55</f>
        <v>5325</v>
      </c>
      <c r="P54" s="1088">
        <f t="shared" si="27"/>
        <v>0</v>
      </c>
      <c r="Q54" s="1088">
        <f t="shared" si="28"/>
        <v>0</v>
      </c>
      <c r="R54" s="1088">
        <f t="shared" si="29"/>
        <v>0</v>
      </c>
      <c r="S54" s="1154">
        <f t="shared" si="30"/>
        <v>0</v>
      </c>
      <c r="T54" s="1088">
        <f t="shared" si="31"/>
        <v>0</v>
      </c>
      <c r="U54" s="1088"/>
      <c r="V54" s="1088">
        <f t="shared" si="32"/>
        <v>0</v>
      </c>
      <c r="W54" s="1088">
        <f t="shared" si="33"/>
        <v>0</v>
      </c>
      <c r="X54" s="1089">
        <f t="shared" si="35"/>
        <v>0</v>
      </c>
      <c r="Y54" s="1089">
        <f t="shared" si="36"/>
        <v>0</v>
      </c>
    </row>
    <row r="55" spans="1:25">
      <c r="A55" s="1028">
        <v>49</v>
      </c>
      <c r="B55" s="1029" t="s">
        <v>149</v>
      </c>
      <c r="C55" s="1036">
        <f>'Table 8 2.1.12 MFP Funded'!P52</f>
        <v>0</v>
      </c>
      <c r="D55" s="1162"/>
      <c r="E55" s="1162">
        <f t="shared" si="20"/>
        <v>0</v>
      </c>
      <c r="F55" s="1037">
        <f>'Table 3 Levels 1&amp;2'!AL56</f>
        <v>4800.2172145077111</v>
      </c>
      <c r="G55" s="1139">
        <f t="shared" si="21"/>
        <v>0</v>
      </c>
      <c r="H55" s="1139">
        <f t="shared" si="22"/>
        <v>0</v>
      </c>
      <c r="I55" s="1094">
        <f t="shared" si="34"/>
        <v>0</v>
      </c>
      <c r="J55" s="1149">
        <f t="shared" si="23"/>
        <v>0</v>
      </c>
      <c r="K55" s="1094">
        <f t="shared" si="24"/>
        <v>0</v>
      </c>
      <c r="L55" s="1094"/>
      <c r="M55" s="1094">
        <f t="shared" si="25"/>
        <v>0</v>
      </c>
      <c r="N55" s="1094">
        <f t="shared" si="26"/>
        <v>0</v>
      </c>
      <c r="O55" s="1086">
        <f>'[8]FY2012-13 Initial'!$K56</f>
        <v>2326</v>
      </c>
      <c r="P55" s="1088">
        <f t="shared" si="27"/>
        <v>0</v>
      </c>
      <c r="Q55" s="1088">
        <f t="shared" si="28"/>
        <v>0</v>
      </c>
      <c r="R55" s="1088">
        <f t="shared" si="29"/>
        <v>0</v>
      </c>
      <c r="S55" s="1154">
        <f t="shared" si="30"/>
        <v>0</v>
      </c>
      <c r="T55" s="1088">
        <f t="shared" si="31"/>
        <v>0</v>
      </c>
      <c r="U55" s="1088"/>
      <c r="V55" s="1088">
        <f t="shared" si="32"/>
        <v>0</v>
      </c>
      <c r="W55" s="1088">
        <f t="shared" si="33"/>
        <v>0</v>
      </c>
      <c r="X55" s="1089">
        <f t="shared" si="35"/>
        <v>0</v>
      </c>
      <c r="Y55" s="1089">
        <f t="shared" si="36"/>
        <v>0</v>
      </c>
    </row>
    <row r="56" spans="1:25">
      <c r="A56" s="1032">
        <v>50</v>
      </c>
      <c r="B56" s="1033" t="s">
        <v>150</v>
      </c>
      <c r="C56" s="1038">
        <f>'Table 8 2.1.12 MFP Funded'!P53</f>
        <v>0</v>
      </c>
      <c r="D56" s="1163"/>
      <c r="E56" s="1163">
        <f t="shared" si="20"/>
        <v>0</v>
      </c>
      <c r="F56" s="1039">
        <f>'Table 3 Levels 1&amp;2'!AL57</f>
        <v>5059.523754419537</v>
      </c>
      <c r="G56" s="1140">
        <f t="shared" si="21"/>
        <v>0</v>
      </c>
      <c r="H56" s="1140">
        <f t="shared" si="22"/>
        <v>0</v>
      </c>
      <c r="I56" s="1095">
        <f t="shared" si="34"/>
        <v>0</v>
      </c>
      <c r="J56" s="1150">
        <f t="shared" si="23"/>
        <v>0</v>
      </c>
      <c r="K56" s="1095">
        <f t="shared" si="24"/>
        <v>0</v>
      </c>
      <c r="L56" s="1095"/>
      <c r="M56" s="1095">
        <f t="shared" si="25"/>
        <v>0</v>
      </c>
      <c r="N56" s="1095">
        <f t="shared" si="26"/>
        <v>0</v>
      </c>
      <c r="O56" s="1091">
        <f>'[8]FY2012-13 Initial'!$K57</f>
        <v>2574</v>
      </c>
      <c r="P56" s="1092">
        <f t="shared" si="27"/>
        <v>0</v>
      </c>
      <c r="Q56" s="1092">
        <f t="shared" si="28"/>
        <v>0</v>
      </c>
      <c r="R56" s="1092">
        <f t="shared" si="29"/>
        <v>0</v>
      </c>
      <c r="S56" s="1593">
        <f t="shared" si="30"/>
        <v>0</v>
      </c>
      <c r="T56" s="1092">
        <f t="shared" si="31"/>
        <v>0</v>
      </c>
      <c r="U56" s="1092"/>
      <c r="V56" s="1092">
        <f t="shared" si="32"/>
        <v>0</v>
      </c>
      <c r="W56" s="1092">
        <f t="shared" si="33"/>
        <v>0</v>
      </c>
      <c r="X56" s="1093">
        <f t="shared" si="35"/>
        <v>0</v>
      </c>
      <c r="Y56" s="1093">
        <f t="shared" si="36"/>
        <v>0</v>
      </c>
    </row>
    <row r="57" spans="1:25">
      <c r="A57" s="1021">
        <v>51</v>
      </c>
      <c r="B57" s="1022" t="s">
        <v>151</v>
      </c>
      <c r="C57" s="1040">
        <f>'Table 8 2.1.12 MFP Funded'!P54</f>
        <v>0</v>
      </c>
      <c r="D57" s="1164"/>
      <c r="E57" s="1164">
        <f t="shared" si="20"/>
        <v>0</v>
      </c>
      <c r="F57" s="1041">
        <f>'Table 3 Levels 1&amp;2'!AL58</f>
        <v>4384.0477116019692</v>
      </c>
      <c r="G57" s="1141">
        <f t="shared" si="21"/>
        <v>0</v>
      </c>
      <c r="H57" s="1141">
        <f t="shared" si="22"/>
        <v>0</v>
      </c>
      <c r="I57" s="1096">
        <f t="shared" si="34"/>
        <v>0</v>
      </c>
      <c r="J57" s="1151">
        <f t="shared" si="23"/>
        <v>0</v>
      </c>
      <c r="K57" s="1096">
        <f t="shared" si="24"/>
        <v>0</v>
      </c>
      <c r="L57" s="1096"/>
      <c r="M57" s="1096">
        <f t="shared" si="25"/>
        <v>0</v>
      </c>
      <c r="N57" s="1096">
        <f t="shared" si="26"/>
        <v>0</v>
      </c>
      <c r="O57" s="1086">
        <f>'[8]FY2012-13 Initial'!$K58</f>
        <v>3943</v>
      </c>
      <c r="P57" s="1026">
        <f t="shared" si="27"/>
        <v>0</v>
      </c>
      <c r="Q57" s="1026">
        <f t="shared" si="28"/>
        <v>0</v>
      </c>
      <c r="R57" s="1026">
        <f t="shared" si="29"/>
        <v>0</v>
      </c>
      <c r="S57" s="1154">
        <f t="shared" si="30"/>
        <v>0</v>
      </c>
      <c r="T57" s="1026">
        <f t="shared" si="31"/>
        <v>0</v>
      </c>
      <c r="U57" s="1026"/>
      <c r="V57" s="1026">
        <f t="shared" si="32"/>
        <v>0</v>
      </c>
      <c r="W57" s="1026">
        <f t="shared" si="33"/>
        <v>0</v>
      </c>
      <c r="X57" s="1027">
        <f t="shared" si="35"/>
        <v>0</v>
      </c>
      <c r="Y57" s="1027">
        <f t="shared" si="36"/>
        <v>0</v>
      </c>
    </row>
    <row r="58" spans="1:25">
      <c r="A58" s="1028">
        <v>52</v>
      </c>
      <c r="B58" s="1029" t="s">
        <v>152</v>
      </c>
      <c r="C58" s="1036">
        <f>'Table 8 2.1.12 MFP Funded'!P55</f>
        <v>7</v>
      </c>
      <c r="D58" s="1162"/>
      <c r="E58" s="1162">
        <f t="shared" si="20"/>
        <v>7</v>
      </c>
      <c r="F58" s="1037">
        <f>'Table 3 Levels 1&amp;2'!AL59</f>
        <v>4920.0697942988754</v>
      </c>
      <c r="G58" s="1139">
        <f t="shared" si="21"/>
        <v>34440.488560092126</v>
      </c>
      <c r="H58" s="1139">
        <f t="shared" si="22"/>
        <v>5522.3169411081572</v>
      </c>
      <c r="I58" s="1094">
        <f t="shared" si="34"/>
        <v>39962.805501200281</v>
      </c>
      <c r="J58" s="1149">
        <f t="shared" si="23"/>
        <v>-99.907013753000697</v>
      </c>
      <c r="K58" s="1094">
        <f t="shared" si="24"/>
        <v>39862.898487447281</v>
      </c>
      <c r="L58" s="1094"/>
      <c r="M58" s="1094">
        <f t="shared" si="25"/>
        <v>39862.898487447281</v>
      </c>
      <c r="N58" s="1094">
        <f t="shared" si="26"/>
        <v>3322</v>
      </c>
      <c r="O58" s="1086">
        <f>'[8]FY2012-13 Initial'!$K59</f>
        <v>4750</v>
      </c>
      <c r="P58" s="1088">
        <f t="shared" si="27"/>
        <v>33250</v>
      </c>
      <c r="Q58" s="1088">
        <f t="shared" si="28"/>
        <v>0</v>
      </c>
      <c r="R58" s="1088">
        <f t="shared" si="29"/>
        <v>33250</v>
      </c>
      <c r="S58" s="1154">
        <f t="shared" si="30"/>
        <v>-83.125</v>
      </c>
      <c r="T58" s="1088">
        <f t="shared" si="31"/>
        <v>33166.875</v>
      </c>
      <c r="U58" s="1088"/>
      <c r="V58" s="1088">
        <f t="shared" si="32"/>
        <v>33166.875</v>
      </c>
      <c r="W58" s="1088">
        <f t="shared" si="33"/>
        <v>2764</v>
      </c>
      <c r="X58" s="1089">
        <f t="shared" si="35"/>
        <v>73029.773487447281</v>
      </c>
      <c r="Y58" s="1089">
        <f t="shared" si="36"/>
        <v>6086</v>
      </c>
    </row>
    <row r="59" spans="1:25">
      <c r="A59" s="1028">
        <v>53</v>
      </c>
      <c r="B59" s="1029" t="s">
        <v>153</v>
      </c>
      <c r="C59" s="1036">
        <f>'Table 8 2.1.12 MFP Funded'!P56</f>
        <v>1</v>
      </c>
      <c r="D59" s="1162"/>
      <c r="E59" s="1162">
        <f t="shared" si="20"/>
        <v>1</v>
      </c>
      <c r="F59" s="1037">
        <f>'Table 3 Levels 1&amp;2'!AL60</f>
        <v>4784.2719870767614</v>
      </c>
      <c r="G59" s="1139">
        <f t="shared" si="21"/>
        <v>4784.2719870767614</v>
      </c>
      <c r="H59" s="1139">
        <f t="shared" si="22"/>
        <v>788.90242015830813</v>
      </c>
      <c r="I59" s="1094">
        <f t="shared" si="34"/>
        <v>5573.1744072350693</v>
      </c>
      <c r="J59" s="1149">
        <f t="shared" si="23"/>
        <v>-13.932936018087673</v>
      </c>
      <c r="K59" s="1094">
        <f t="shared" si="24"/>
        <v>5559.2414712169821</v>
      </c>
      <c r="L59" s="1094"/>
      <c r="M59" s="1094">
        <f t="shared" si="25"/>
        <v>5559.2414712169821</v>
      </c>
      <c r="N59" s="1094">
        <f t="shared" si="26"/>
        <v>463</v>
      </c>
      <c r="O59" s="1086">
        <f>'[8]FY2012-13 Initial'!$K60</f>
        <v>1913</v>
      </c>
      <c r="P59" s="1088">
        <f t="shared" si="27"/>
        <v>1913</v>
      </c>
      <c r="Q59" s="1088">
        <f t="shared" si="28"/>
        <v>0</v>
      </c>
      <c r="R59" s="1088">
        <f t="shared" si="29"/>
        <v>1913</v>
      </c>
      <c r="S59" s="1154">
        <f t="shared" si="30"/>
        <v>-4.7824999999999998</v>
      </c>
      <c r="T59" s="1088">
        <f t="shared" si="31"/>
        <v>1908.2175</v>
      </c>
      <c r="U59" s="1088"/>
      <c r="V59" s="1088">
        <f t="shared" si="32"/>
        <v>1908.2175</v>
      </c>
      <c r="W59" s="1088">
        <f t="shared" si="33"/>
        <v>159</v>
      </c>
      <c r="X59" s="1089">
        <f t="shared" si="35"/>
        <v>7467.4589712169818</v>
      </c>
      <c r="Y59" s="1089">
        <f t="shared" si="36"/>
        <v>622</v>
      </c>
    </row>
    <row r="60" spans="1:25">
      <c r="A60" s="1028">
        <v>54</v>
      </c>
      <c r="B60" s="1029" t="s">
        <v>154</v>
      </c>
      <c r="C60" s="1036">
        <f>'Table 8 2.1.12 MFP Funded'!P57</f>
        <v>0</v>
      </c>
      <c r="D60" s="1162"/>
      <c r="E60" s="1162">
        <f t="shared" si="20"/>
        <v>0</v>
      </c>
      <c r="F60" s="1037">
        <f>'Table 3 Levels 1&amp;2'!AL61</f>
        <v>5982.5555386476462</v>
      </c>
      <c r="G60" s="1139">
        <f t="shared" si="21"/>
        <v>0</v>
      </c>
      <c r="H60" s="1139">
        <f t="shared" si="22"/>
        <v>0</v>
      </c>
      <c r="I60" s="1094">
        <f t="shared" si="34"/>
        <v>0</v>
      </c>
      <c r="J60" s="1149">
        <f t="shared" si="23"/>
        <v>0</v>
      </c>
      <c r="K60" s="1094">
        <f t="shared" si="24"/>
        <v>0</v>
      </c>
      <c r="L60" s="1094"/>
      <c r="M60" s="1094">
        <f t="shared" si="25"/>
        <v>0</v>
      </c>
      <c r="N60" s="1094">
        <f t="shared" si="26"/>
        <v>0</v>
      </c>
      <c r="O60" s="1086">
        <f>'[8]FY2012-13 Initial'!$K61</f>
        <v>3264</v>
      </c>
      <c r="P60" s="1088">
        <f t="shared" si="27"/>
        <v>0</v>
      </c>
      <c r="Q60" s="1088">
        <f t="shared" si="28"/>
        <v>0</v>
      </c>
      <c r="R60" s="1088">
        <f t="shared" si="29"/>
        <v>0</v>
      </c>
      <c r="S60" s="1154">
        <f t="shared" si="30"/>
        <v>0</v>
      </c>
      <c r="T60" s="1088">
        <f t="shared" si="31"/>
        <v>0</v>
      </c>
      <c r="U60" s="1088"/>
      <c r="V60" s="1088">
        <f t="shared" si="32"/>
        <v>0</v>
      </c>
      <c r="W60" s="1088">
        <f t="shared" si="33"/>
        <v>0</v>
      </c>
      <c r="X60" s="1089">
        <f t="shared" si="35"/>
        <v>0</v>
      </c>
      <c r="Y60" s="1089">
        <f t="shared" si="36"/>
        <v>0</v>
      </c>
    </row>
    <row r="61" spans="1:25">
      <c r="A61" s="1032">
        <v>55</v>
      </c>
      <c r="B61" s="1033" t="s">
        <v>155</v>
      </c>
      <c r="C61" s="1038">
        <f>'Table 8 2.1.12 MFP Funded'!P58</f>
        <v>0</v>
      </c>
      <c r="D61" s="1163"/>
      <c r="E61" s="1163">
        <f t="shared" si="20"/>
        <v>0</v>
      </c>
      <c r="F61" s="1039">
        <f>'Table 3 Levels 1&amp;2'!AL62</f>
        <v>4087.4017448818722</v>
      </c>
      <c r="G61" s="1140">
        <f t="shared" si="21"/>
        <v>0</v>
      </c>
      <c r="H61" s="1140">
        <f t="shared" si="22"/>
        <v>0</v>
      </c>
      <c r="I61" s="1095">
        <f t="shared" si="34"/>
        <v>0</v>
      </c>
      <c r="J61" s="1150">
        <f t="shared" si="23"/>
        <v>0</v>
      </c>
      <c r="K61" s="1095">
        <f t="shared" si="24"/>
        <v>0</v>
      </c>
      <c r="L61" s="1095"/>
      <c r="M61" s="1095">
        <f t="shared" si="25"/>
        <v>0</v>
      </c>
      <c r="N61" s="1095">
        <f t="shared" si="26"/>
        <v>0</v>
      </c>
      <c r="O61" s="1091">
        <f>'[8]FY2012-13 Initial'!$K62</f>
        <v>3071</v>
      </c>
      <c r="P61" s="1092">
        <f t="shared" si="27"/>
        <v>0</v>
      </c>
      <c r="Q61" s="1092">
        <f t="shared" si="28"/>
        <v>0</v>
      </c>
      <c r="R61" s="1092">
        <f t="shared" si="29"/>
        <v>0</v>
      </c>
      <c r="S61" s="1593">
        <f t="shared" si="30"/>
        <v>0</v>
      </c>
      <c r="T61" s="1092">
        <f t="shared" si="31"/>
        <v>0</v>
      </c>
      <c r="U61" s="1092"/>
      <c r="V61" s="1092">
        <f t="shared" si="32"/>
        <v>0</v>
      </c>
      <c r="W61" s="1092">
        <f t="shared" si="33"/>
        <v>0</v>
      </c>
      <c r="X61" s="1093">
        <f t="shared" si="35"/>
        <v>0</v>
      </c>
      <c r="Y61" s="1093">
        <f t="shared" si="36"/>
        <v>0</v>
      </c>
    </row>
    <row r="62" spans="1:25">
      <c r="A62" s="1021">
        <v>56</v>
      </c>
      <c r="B62" s="1022" t="s">
        <v>156</v>
      </c>
      <c r="C62" s="1040">
        <f>'Table 8 2.1.12 MFP Funded'!P59</f>
        <v>0</v>
      </c>
      <c r="D62" s="1164"/>
      <c r="E62" s="1164">
        <f t="shared" si="20"/>
        <v>0</v>
      </c>
      <c r="F62" s="1041">
        <f>'Table 3 Levels 1&amp;2'!AL63</f>
        <v>5052.2250942802684</v>
      </c>
      <c r="G62" s="1141">
        <f t="shared" si="21"/>
        <v>0</v>
      </c>
      <c r="H62" s="1141">
        <f t="shared" si="22"/>
        <v>0</v>
      </c>
      <c r="I62" s="1096">
        <f t="shared" si="34"/>
        <v>0</v>
      </c>
      <c r="J62" s="1151">
        <f t="shared" si="23"/>
        <v>0</v>
      </c>
      <c r="K62" s="1096">
        <f t="shared" si="24"/>
        <v>0</v>
      </c>
      <c r="L62" s="1096"/>
      <c r="M62" s="1096">
        <f t="shared" si="25"/>
        <v>0</v>
      </c>
      <c r="N62" s="1096">
        <f t="shared" si="26"/>
        <v>0</v>
      </c>
      <c r="O62" s="1086">
        <f>'[8]FY2012-13 Initial'!$K63</f>
        <v>2630</v>
      </c>
      <c r="P62" s="1026">
        <f t="shared" si="27"/>
        <v>0</v>
      </c>
      <c r="Q62" s="1026">
        <f t="shared" si="28"/>
        <v>0</v>
      </c>
      <c r="R62" s="1026">
        <f t="shared" si="29"/>
        <v>0</v>
      </c>
      <c r="S62" s="1154">
        <f t="shared" si="30"/>
        <v>0</v>
      </c>
      <c r="T62" s="1026">
        <f t="shared" si="31"/>
        <v>0</v>
      </c>
      <c r="U62" s="1026"/>
      <c r="V62" s="1026">
        <f t="shared" si="32"/>
        <v>0</v>
      </c>
      <c r="W62" s="1026">
        <f t="shared" si="33"/>
        <v>0</v>
      </c>
      <c r="X62" s="1027">
        <f t="shared" si="35"/>
        <v>0</v>
      </c>
      <c r="Y62" s="1027">
        <f t="shared" si="36"/>
        <v>0</v>
      </c>
    </row>
    <row r="63" spans="1:25">
      <c r="A63" s="1028">
        <v>57</v>
      </c>
      <c r="B63" s="1029" t="s">
        <v>157</v>
      </c>
      <c r="C63" s="1036">
        <f>'Table 8 2.1.12 MFP Funded'!P60</f>
        <v>0</v>
      </c>
      <c r="D63" s="1162"/>
      <c r="E63" s="1162">
        <f t="shared" si="20"/>
        <v>0</v>
      </c>
      <c r="F63" s="1037">
        <f>'Table 3 Levels 1&amp;2'!AL64</f>
        <v>4389.3863180380931</v>
      </c>
      <c r="G63" s="1139">
        <f t="shared" si="21"/>
        <v>0</v>
      </c>
      <c r="H63" s="1139">
        <f t="shared" si="22"/>
        <v>0</v>
      </c>
      <c r="I63" s="1094">
        <f t="shared" si="34"/>
        <v>0</v>
      </c>
      <c r="J63" s="1149">
        <f t="shared" si="23"/>
        <v>0</v>
      </c>
      <c r="K63" s="1094">
        <f t="shared" si="24"/>
        <v>0</v>
      </c>
      <c r="L63" s="1094"/>
      <c r="M63" s="1094">
        <f t="shared" si="25"/>
        <v>0</v>
      </c>
      <c r="N63" s="1094">
        <f t="shared" si="26"/>
        <v>0</v>
      </c>
      <c r="O63" s="1086">
        <f>'[8]FY2012-13 Initial'!$K64</f>
        <v>3053</v>
      </c>
      <c r="P63" s="1088">
        <f t="shared" si="27"/>
        <v>0</v>
      </c>
      <c r="Q63" s="1088">
        <f t="shared" si="28"/>
        <v>0</v>
      </c>
      <c r="R63" s="1088">
        <f t="shared" si="29"/>
        <v>0</v>
      </c>
      <c r="S63" s="1154">
        <f t="shared" si="30"/>
        <v>0</v>
      </c>
      <c r="T63" s="1088">
        <f t="shared" si="31"/>
        <v>0</v>
      </c>
      <c r="U63" s="1088"/>
      <c r="V63" s="1088">
        <f t="shared" si="32"/>
        <v>0</v>
      </c>
      <c r="W63" s="1088">
        <f t="shared" si="33"/>
        <v>0</v>
      </c>
      <c r="X63" s="1089">
        <f t="shared" si="35"/>
        <v>0</v>
      </c>
      <c r="Y63" s="1089">
        <f t="shared" si="36"/>
        <v>0</v>
      </c>
    </row>
    <row r="64" spans="1:25">
      <c r="A64" s="1028">
        <v>58</v>
      </c>
      <c r="B64" s="1029" t="s">
        <v>158</v>
      </c>
      <c r="C64" s="1036">
        <f>'Table 8 2.1.12 MFP Funded'!P61</f>
        <v>0</v>
      </c>
      <c r="D64" s="1162"/>
      <c r="E64" s="1162">
        <f t="shared" si="20"/>
        <v>0</v>
      </c>
      <c r="F64" s="1037">
        <f>'Table 3 Levels 1&amp;2'!AL65</f>
        <v>5325.8881107130073</v>
      </c>
      <c r="G64" s="1139">
        <f t="shared" si="21"/>
        <v>0</v>
      </c>
      <c r="H64" s="1139">
        <f t="shared" si="22"/>
        <v>0</v>
      </c>
      <c r="I64" s="1094">
        <f t="shared" si="34"/>
        <v>0</v>
      </c>
      <c r="J64" s="1149">
        <f t="shared" si="23"/>
        <v>0</v>
      </c>
      <c r="K64" s="1094">
        <f t="shared" si="24"/>
        <v>0</v>
      </c>
      <c r="L64" s="1094"/>
      <c r="M64" s="1094">
        <f t="shared" si="25"/>
        <v>0</v>
      </c>
      <c r="N64" s="1094">
        <f t="shared" si="26"/>
        <v>0</v>
      </c>
      <c r="O64" s="1086">
        <f>'[8]FY2012-13 Initial'!$K65</f>
        <v>1917</v>
      </c>
      <c r="P64" s="1088">
        <f t="shared" si="27"/>
        <v>0</v>
      </c>
      <c r="Q64" s="1088">
        <f t="shared" si="28"/>
        <v>0</v>
      </c>
      <c r="R64" s="1088">
        <f t="shared" si="29"/>
        <v>0</v>
      </c>
      <c r="S64" s="1154">
        <f t="shared" si="30"/>
        <v>0</v>
      </c>
      <c r="T64" s="1088">
        <f t="shared" si="31"/>
        <v>0</v>
      </c>
      <c r="U64" s="1088"/>
      <c r="V64" s="1088">
        <f t="shared" si="32"/>
        <v>0</v>
      </c>
      <c r="W64" s="1088">
        <f t="shared" si="33"/>
        <v>0</v>
      </c>
      <c r="X64" s="1089">
        <f t="shared" si="35"/>
        <v>0</v>
      </c>
      <c r="Y64" s="1089">
        <f t="shared" si="36"/>
        <v>0</v>
      </c>
    </row>
    <row r="65" spans="1:25">
      <c r="A65" s="1028">
        <v>59</v>
      </c>
      <c r="B65" s="1029" t="s">
        <v>159</v>
      </c>
      <c r="C65" s="1036">
        <f>'Table 8 2.1.12 MFP Funded'!P62</f>
        <v>0</v>
      </c>
      <c r="D65" s="1162"/>
      <c r="E65" s="1162">
        <f t="shared" si="20"/>
        <v>0</v>
      </c>
      <c r="F65" s="1037">
        <f>'Table 3 Levels 1&amp;2'!AL66</f>
        <v>6328.4963620482158</v>
      </c>
      <c r="G65" s="1139">
        <f t="shared" si="21"/>
        <v>0</v>
      </c>
      <c r="H65" s="1139">
        <f t="shared" si="22"/>
        <v>0</v>
      </c>
      <c r="I65" s="1094">
        <f t="shared" si="34"/>
        <v>0</v>
      </c>
      <c r="J65" s="1149">
        <f t="shared" si="23"/>
        <v>0</v>
      </c>
      <c r="K65" s="1094">
        <f t="shared" si="24"/>
        <v>0</v>
      </c>
      <c r="L65" s="1094"/>
      <c r="M65" s="1094">
        <f t="shared" si="25"/>
        <v>0</v>
      </c>
      <c r="N65" s="1094">
        <f t="shared" si="26"/>
        <v>0</v>
      </c>
      <c r="O65" s="1086">
        <f>'[8]FY2012-13 Initial'!$K66</f>
        <v>1553</v>
      </c>
      <c r="P65" s="1088">
        <f t="shared" si="27"/>
        <v>0</v>
      </c>
      <c r="Q65" s="1088">
        <f t="shared" si="28"/>
        <v>0</v>
      </c>
      <c r="R65" s="1088">
        <f t="shared" si="29"/>
        <v>0</v>
      </c>
      <c r="S65" s="1154">
        <f t="shared" si="30"/>
        <v>0</v>
      </c>
      <c r="T65" s="1088">
        <f t="shared" si="31"/>
        <v>0</v>
      </c>
      <c r="U65" s="1088"/>
      <c r="V65" s="1088">
        <f t="shared" si="32"/>
        <v>0</v>
      </c>
      <c r="W65" s="1088">
        <f t="shared" si="33"/>
        <v>0</v>
      </c>
      <c r="X65" s="1089">
        <f t="shared" si="35"/>
        <v>0</v>
      </c>
      <c r="Y65" s="1089">
        <f t="shared" si="36"/>
        <v>0</v>
      </c>
    </row>
    <row r="66" spans="1:25">
      <c r="A66" s="1032">
        <v>60</v>
      </c>
      <c r="B66" s="1033" t="s">
        <v>160</v>
      </c>
      <c r="C66" s="1038">
        <f>'Table 8 2.1.12 MFP Funded'!P63</f>
        <v>0</v>
      </c>
      <c r="D66" s="1163"/>
      <c r="E66" s="1163">
        <f t="shared" si="20"/>
        <v>0</v>
      </c>
      <c r="F66" s="1039">
        <f>'Table 3 Levels 1&amp;2'!AL67</f>
        <v>4825.1723230627122</v>
      </c>
      <c r="G66" s="1140">
        <f t="shared" si="21"/>
        <v>0</v>
      </c>
      <c r="H66" s="1140">
        <f t="shared" si="22"/>
        <v>0</v>
      </c>
      <c r="I66" s="1095">
        <f t="shared" si="34"/>
        <v>0</v>
      </c>
      <c r="J66" s="1150">
        <f t="shared" si="23"/>
        <v>0</v>
      </c>
      <c r="K66" s="1095">
        <f t="shared" si="24"/>
        <v>0</v>
      </c>
      <c r="L66" s="1095"/>
      <c r="M66" s="1095">
        <f t="shared" si="25"/>
        <v>0</v>
      </c>
      <c r="N66" s="1095">
        <f t="shared" si="26"/>
        <v>0</v>
      </c>
      <c r="O66" s="1091">
        <f>'[8]FY2012-13 Initial'!$K67</f>
        <v>3798</v>
      </c>
      <c r="P66" s="1092">
        <f t="shared" si="27"/>
        <v>0</v>
      </c>
      <c r="Q66" s="1092">
        <f t="shared" si="28"/>
        <v>0</v>
      </c>
      <c r="R66" s="1092">
        <f t="shared" si="29"/>
        <v>0</v>
      </c>
      <c r="S66" s="1593">
        <f t="shared" si="30"/>
        <v>0</v>
      </c>
      <c r="T66" s="1092">
        <f t="shared" si="31"/>
        <v>0</v>
      </c>
      <c r="U66" s="1092"/>
      <c r="V66" s="1092">
        <f t="shared" si="32"/>
        <v>0</v>
      </c>
      <c r="W66" s="1092">
        <f t="shared" si="33"/>
        <v>0</v>
      </c>
      <c r="X66" s="1093">
        <f t="shared" si="35"/>
        <v>0</v>
      </c>
      <c r="Y66" s="1093">
        <f t="shared" si="36"/>
        <v>0</v>
      </c>
    </row>
    <row r="67" spans="1:25">
      <c r="A67" s="1021">
        <v>61</v>
      </c>
      <c r="B67" s="1022" t="s">
        <v>161</v>
      </c>
      <c r="C67" s="1040">
        <f>'Table 8 2.1.12 MFP Funded'!P64</f>
        <v>0</v>
      </c>
      <c r="D67" s="1164"/>
      <c r="E67" s="1164">
        <f t="shared" si="20"/>
        <v>0</v>
      </c>
      <c r="F67" s="1041">
        <f>'Table 3 Levels 1&amp;2'!AL68</f>
        <v>3063.3110364585282</v>
      </c>
      <c r="G67" s="1141">
        <f t="shared" si="21"/>
        <v>0</v>
      </c>
      <c r="H67" s="1141">
        <f t="shared" si="22"/>
        <v>0</v>
      </c>
      <c r="I67" s="1096">
        <f t="shared" si="34"/>
        <v>0</v>
      </c>
      <c r="J67" s="1151">
        <f t="shared" si="23"/>
        <v>0</v>
      </c>
      <c r="K67" s="1096">
        <f t="shared" si="24"/>
        <v>0</v>
      </c>
      <c r="L67" s="1096"/>
      <c r="M67" s="1096">
        <f t="shared" si="25"/>
        <v>0</v>
      </c>
      <c r="N67" s="1096">
        <f t="shared" si="26"/>
        <v>0</v>
      </c>
      <c r="O67" s="1086">
        <f>'[8]FY2012-13 Initial'!$K68</f>
        <v>6727</v>
      </c>
      <c r="P67" s="1026">
        <f t="shared" si="27"/>
        <v>0</v>
      </c>
      <c r="Q67" s="1026">
        <f t="shared" si="28"/>
        <v>0</v>
      </c>
      <c r="R67" s="1026">
        <f t="shared" si="29"/>
        <v>0</v>
      </c>
      <c r="S67" s="1154">
        <f t="shared" si="30"/>
        <v>0</v>
      </c>
      <c r="T67" s="1026">
        <f t="shared" si="31"/>
        <v>0</v>
      </c>
      <c r="U67" s="1026"/>
      <c r="V67" s="1026">
        <f t="shared" si="32"/>
        <v>0</v>
      </c>
      <c r="W67" s="1026">
        <f t="shared" si="33"/>
        <v>0</v>
      </c>
      <c r="X67" s="1027">
        <f t="shared" si="35"/>
        <v>0</v>
      </c>
      <c r="Y67" s="1027">
        <f t="shared" si="36"/>
        <v>0</v>
      </c>
    </row>
    <row r="68" spans="1:25">
      <c r="A68" s="1028">
        <v>62</v>
      </c>
      <c r="B68" s="1029" t="s">
        <v>162</v>
      </c>
      <c r="C68" s="1036">
        <f>'Table 8 2.1.12 MFP Funded'!P65</f>
        <v>0</v>
      </c>
      <c r="D68" s="1162"/>
      <c r="E68" s="1162">
        <f t="shared" si="20"/>
        <v>0</v>
      </c>
      <c r="F68" s="1037">
        <f>'Table 3 Levels 1&amp;2'!AL69</f>
        <v>5564.645485869667</v>
      </c>
      <c r="G68" s="1139">
        <f t="shared" si="21"/>
        <v>0</v>
      </c>
      <c r="H68" s="1139">
        <f t="shared" si="22"/>
        <v>0</v>
      </c>
      <c r="I68" s="1094">
        <f t="shared" si="34"/>
        <v>0</v>
      </c>
      <c r="J68" s="1149">
        <f t="shared" si="23"/>
        <v>0</v>
      </c>
      <c r="K68" s="1094">
        <f t="shared" si="24"/>
        <v>0</v>
      </c>
      <c r="L68" s="1094"/>
      <c r="M68" s="1094">
        <f t="shared" si="25"/>
        <v>0</v>
      </c>
      <c r="N68" s="1094">
        <f t="shared" si="26"/>
        <v>0</v>
      </c>
      <c r="O68" s="1086">
        <f>'[8]FY2012-13 Initial'!$K69</f>
        <v>1678</v>
      </c>
      <c r="P68" s="1088">
        <f t="shared" si="27"/>
        <v>0</v>
      </c>
      <c r="Q68" s="1088">
        <f t="shared" si="28"/>
        <v>0</v>
      </c>
      <c r="R68" s="1088">
        <f t="shared" si="29"/>
        <v>0</v>
      </c>
      <c r="S68" s="1154">
        <f t="shared" si="30"/>
        <v>0</v>
      </c>
      <c r="T68" s="1088">
        <f t="shared" si="31"/>
        <v>0</v>
      </c>
      <c r="U68" s="1088"/>
      <c r="V68" s="1088">
        <f t="shared" si="32"/>
        <v>0</v>
      </c>
      <c r="W68" s="1088">
        <f t="shared" si="33"/>
        <v>0</v>
      </c>
      <c r="X68" s="1089">
        <f t="shared" si="35"/>
        <v>0</v>
      </c>
      <c r="Y68" s="1089">
        <f t="shared" si="36"/>
        <v>0</v>
      </c>
    </row>
    <row r="69" spans="1:25">
      <c r="A69" s="1028">
        <v>63</v>
      </c>
      <c r="B69" s="1029" t="s">
        <v>163</v>
      </c>
      <c r="C69" s="1036">
        <f>'Table 8 2.1.12 MFP Funded'!P66</f>
        <v>0</v>
      </c>
      <c r="D69" s="1162"/>
      <c r="E69" s="1162">
        <f t="shared" si="20"/>
        <v>0</v>
      </c>
      <c r="F69" s="1037">
        <f>'Table 3 Levels 1&amp;2'!AL70</f>
        <v>4414.1775336636538</v>
      </c>
      <c r="G69" s="1139">
        <f t="shared" si="21"/>
        <v>0</v>
      </c>
      <c r="H69" s="1139">
        <f t="shared" si="22"/>
        <v>0</v>
      </c>
      <c r="I69" s="1094">
        <f t="shared" si="34"/>
        <v>0</v>
      </c>
      <c r="J69" s="1149">
        <f t="shared" si="23"/>
        <v>0</v>
      </c>
      <c r="K69" s="1094">
        <f t="shared" si="24"/>
        <v>0</v>
      </c>
      <c r="L69" s="1094"/>
      <c r="M69" s="1094">
        <f t="shared" si="25"/>
        <v>0</v>
      </c>
      <c r="N69" s="1094">
        <f t="shared" si="26"/>
        <v>0</v>
      </c>
      <c r="O69" s="1086">
        <f>'[8]FY2012-13 Initial'!$K70</f>
        <v>6524</v>
      </c>
      <c r="P69" s="1088">
        <f t="shared" si="27"/>
        <v>0</v>
      </c>
      <c r="Q69" s="1088">
        <f t="shared" si="28"/>
        <v>0</v>
      </c>
      <c r="R69" s="1088">
        <f t="shared" si="29"/>
        <v>0</v>
      </c>
      <c r="S69" s="1154">
        <f t="shared" si="30"/>
        <v>0</v>
      </c>
      <c r="T69" s="1088">
        <f t="shared" si="31"/>
        <v>0</v>
      </c>
      <c r="U69" s="1088"/>
      <c r="V69" s="1088">
        <f t="shared" si="32"/>
        <v>0</v>
      </c>
      <c r="W69" s="1088">
        <f t="shared" si="33"/>
        <v>0</v>
      </c>
      <c r="X69" s="1089">
        <f t="shared" si="35"/>
        <v>0</v>
      </c>
      <c r="Y69" s="1089">
        <f t="shared" si="36"/>
        <v>0</v>
      </c>
    </row>
    <row r="70" spans="1:25">
      <c r="A70" s="1028">
        <v>64</v>
      </c>
      <c r="B70" s="1029" t="s">
        <v>164</v>
      </c>
      <c r="C70" s="1036">
        <f>'Table 8 2.1.12 MFP Funded'!P67</f>
        <v>0</v>
      </c>
      <c r="D70" s="1162"/>
      <c r="E70" s="1162">
        <f t="shared" si="20"/>
        <v>0</v>
      </c>
      <c r="F70" s="1037">
        <f>'Table 3 Levels 1&amp;2'!AL71</f>
        <v>5871.0485811924027</v>
      </c>
      <c r="G70" s="1139">
        <f t="shared" si="21"/>
        <v>0</v>
      </c>
      <c r="H70" s="1139">
        <f t="shared" si="22"/>
        <v>0</v>
      </c>
      <c r="I70" s="1094">
        <f t="shared" si="34"/>
        <v>0</v>
      </c>
      <c r="J70" s="1149">
        <f t="shared" si="23"/>
        <v>0</v>
      </c>
      <c r="K70" s="1094">
        <f t="shared" si="24"/>
        <v>0</v>
      </c>
      <c r="L70" s="1094"/>
      <c r="M70" s="1094">
        <f t="shared" si="25"/>
        <v>0</v>
      </c>
      <c r="N70" s="1094">
        <f t="shared" si="26"/>
        <v>0</v>
      </c>
      <c r="O70" s="1086">
        <f>'[8]FY2012-13 Initial'!$K71</f>
        <v>2658</v>
      </c>
      <c r="P70" s="1088">
        <f t="shared" si="27"/>
        <v>0</v>
      </c>
      <c r="Q70" s="1088">
        <f t="shared" si="28"/>
        <v>0</v>
      </c>
      <c r="R70" s="1088">
        <f t="shared" si="29"/>
        <v>0</v>
      </c>
      <c r="S70" s="1154">
        <f t="shared" si="30"/>
        <v>0</v>
      </c>
      <c r="T70" s="1088">
        <f t="shared" si="31"/>
        <v>0</v>
      </c>
      <c r="U70" s="1088"/>
      <c r="V70" s="1088">
        <f t="shared" si="32"/>
        <v>0</v>
      </c>
      <c r="W70" s="1088">
        <f t="shared" si="33"/>
        <v>0</v>
      </c>
      <c r="X70" s="1089">
        <f t="shared" si="35"/>
        <v>0</v>
      </c>
      <c r="Y70" s="1089">
        <f t="shared" si="36"/>
        <v>0</v>
      </c>
    </row>
    <row r="71" spans="1:25">
      <c r="A71" s="1032">
        <v>65</v>
      </c>
      <c r="B71" s="1033" t="s">
        <v>165</v>
      </c>
      <c r="C71" s="1038">
        <f>'Table 8 2.1.12 MFP Funded'!P68</f>
        <v>0</v>
      </c>
      <c r="D71" s="1163"/>
      <c r="E71" s="1163">
        <f t="shared" si="20"/>
        <v>0</v>
      </c>
      <c r="F71" s="1039">
        <f>'Table 3 Levels 1&amp;2'!AL72</f>
        <v>4602.2046951319899</v>
      </c>
      <c r="G71" s="1140">
        <f t="shared" si="21"/>
        <v>0</v>
      </c>
      <c r="H71" s="1140">
        <f t="shared" si="22"/>
        <v>0</v>
      </c>
      <c r="I71" s="1095">
        <f t="shared" ref="I71:I75" si="37">G71+H71</f>
        <v>0</v>
      </c>
      <c r="J71" s="1150">
        <f t="shared" si="23"/>
        <v>0</v>
      </c>
      <c r="K71" s="1095">
        <f t="shared" si="24"/>
        <v>0</v>
      </c>
      <c r="L71" s="1095"/>
      <c r="M71" s="1095">
        <f t="shared" si="25"/>
        <v>0</v>
      </c>
      <c r="N71" s="1095">
        <f t="shared" si="26"/>
        <v>0</v>
      </c>
      <c r="O71" s="1091">
        <f>'[8]FY2012-13 Initial'!$K72</f>
        <v>4631</v>
      </c>
      <c r="P71" s="1092">
        <f t="shared" si="27"/>
        <v>0</v>
      </c>
      <c r="Q71" s="1092">
        <f t="shared" si="28"/>
        <v>0</v>
      </c>
      <c r="R71" s="1092">
        <f t="shared" si="29"/>
        <v>0</v>
      </c>
      <c r="S71" s="1593">
        <f t="shared" si="30"/>
        <v>0</v>
      </c>
      <c r="T71" s="1092">
        <f t="shared" si="31"/>
        <v>0</v>
      </c>
      <c r="U71" s="1092"/>
      <c r="V71" s="1092">
        <f t="shared" si="32"/>
        <v>0</v>
      </c>
      <c r="W71" s="1092">
        <f t="shared" si="33"/>
        <v>0</v>
      </c>
      <c r="X71" s="1093">
        <f t="shared" si="35"/>
        <v>0</v>
      </c>
      <c r="Y71" s="1093">
        <f t="shared" si="36"/>
        <v>0</v>
      </c>
    </row>
    <row r="72" spans="1:25">
      <c r="A72" s="1021">
        <v>66</v>
      </c>
      <c r="B72" s="1022" t="s">
        <v>166</v>
      </c>
      <c r="C72" s="1040">
        <f>'Table 8 2.1.12 MFP Funded'!P69</f>
        <v>0</v>
      </c>
      <c r="D72" s="1164"/>
      <c r="E72" s="1164">
        <f t="shared" ref="E72:E75" si="38">C72+D72</f>
        <v>0</v>
      </c>
      <c r="F72" s="1041">
        <f>'Table 3 Levels 1&amp;2'!AL73</f>
        <v>6243.8912249150071</v>
      </c>
      <c r="G72" s="1141">
        <f t="shared" ref="G72:G75" si="39">F72*E72</f>
        <v>0</v>
      </c>
      <c r="H72" s="1141">
        <f t="shared" ref="H72:H75" si="40">E72*$H$4</f>
        <v>0</v>
      </c>
      <c r="I72" s="1096">
        <f t="shared" si="37"/>
        <v>0</v>
      </c>
      <c r="J72" s="1151">
        <f t="shared" ref="J72:J75" si="41">-I72*$J$4</f>
        <v>0</v>
      </c>
      <c r="K72" s="1096">
        <f t="shared" ref="K72:K75" si="42">SUM(I72:J72)</f>
        <v>0</v>
      </c>
      <c r="L72" s="1096"/>
      <c r="M72" s="1096">
        <f t="shared" ref="M72:M75" si="43">SUM(K72:L72)</f>
        <v>0</v>
      </c>
      <c r="N72" s="1096">
        <f t="shared" ref="N72:N75" si="44">ROUND(M72/12,0)</f>
        <v>0</v>
      </c>
      <c r="O72" s="1086">
        <f>'[8]FY2012-13 Initial'!$K73</f>
        <v>3443</v>
      </c>
      <c r="P72" s="1026">
        <f t="shared" ref="P72:P75" si="45">O72*C72</f>
        <v>0</v>
      </c>
      <c r="Q72" s="1026">
        <f t="shared" ref="Q72:Q75" si="46">D72*O72</f>
        <v>0</v>
      </c>
      <c r="R72" s="1026">
        <f t="shared" ref="R72:R75" si="47">P72+Q72</f>
        <v>0</v>
      </c>
      <c r="S72" s="1154">
        <f t="shared" ref="S72:S75" si="48">-P72*0.25%</f>
        <v>0</v>
      </c>
      <c r="T72" s="1026">
        <f t="shared" ref="T72:T75" si="49">P72+S72</f>
        <v>0</v>
      </c>
      <c r="U72" s="1026"/>
      <c r="V72" s="1026">
        <f t="shared" ref="V72:V75" si="50">SUM(T72:U72)</f>
        <v>0</v>
      </c>
      <c r="W72" s="1026">
        <f t="shared" ref="W72:W75" si="51">ROUND(V72/12,0)</f>
        <v>0</v>
      </c>
      <c r="X72" s="1027">
        <f t="shared" si="35"/>
        <v>0</v>
      </c>
      <c r="Y72" s="1027">
        <f t="shared" si="36"/>
        <v>0</v>
      </c>
    </row>
    <row r="73" spans="1:25">
      <c r="A73" s="1028">
        <v>67</v>
      </c>
      <c r="B73" s="1029" t="s">
        <v>33</v>
      </c>
      <c r="C73" s="1036">
        <f>'Table 8 2.1.12 MFP Funded'!P70</f>
        <v>0</v>
      </c>
      <c r="D73" s="1162"/>
      <c r="E73" s="1162">
        <f t="shared" si="38"/>
        <v>0</v>
      </c>
      <c r="F73" s="1037">
        <f>'Table 3 Levels 1&amp;2'!AL74</f>
        <v>5049.6489898847567</v>
      </c>
      <c r="G73" s="1139">
        <f t="shared" si="39"/>
        <v>0</v>
      </c>
      <c r="H73" s="1139">
        <f t="shared" si="40"/>
        <v>0</v>
      </c>
      <c r="I73" s="1094">
        <f t="shared" si="37"/>
        <v>0</v>
      </c>
      <c r="J73" s="1149">
        <f t="shared" si="41"/>
        <v>0</v>
      </c>
      <c r="K73" s="1094">
        <f t="shared" si="42"/>
        <v>0</v>
      </c>
      <c r="L73" s="1094"/>
      <c r="M73" s="1094">
        <f t="shared" si="43"/>
        <v>0</v>
      </c>
      <c r="N73" s="1094">
        <f t="shared" si="44"/>
        <v>0</v>
      </c>
      <c r="O73" s="1086">
        <f>'[8]FY2012-13 Initial'!$K74</f>
        <v>4502</v>
      </c>
      <c r="P73" s="1088">
        <f t="shared" si="45"/>
        <v>0</v>
      </c>
      <c r="Q73" s="1088">
        <f t="shared" si="46"/>
        <v>0</v>
      </c>
      <c r="R73" s="1088">
        <f t="shared" si="47"/>
        <v>0</v>
      </c>
      <c r="S73" s="1154">
        <f t="shared" si="48"/>
        <v>0</v>
      </c>
      <c r="T73" s="1088">
        <f>P73+S73</f>
        <v>0</v>
      </c>
      <c r="U73" s="1088"/>
      <c r="V73" s="1088">
        <f t="shared" si="50"/>
        <v>0</v>
      </c>
      <c r="W73" s="1088">
        <f t="shared" si="51"/>
        <v>0</v>
      </c>
      <c r="X73" s="1089">
        <f t="shared" si="35"/>
        <v>0</v>
      </c>
      <c r="Y73" s="1089">
        <f t="shared" si="36"/>
        <v>0</v>
      </c>
    </row>
    <row r="74" spans="1:25">
      <c r="A74" s="1028">
        <v>68</v>
      </c>
      <c r="B74" s="1029" t="s">
        <v>31</v>
      </c>
      <c r="C74" s="1036">
        <f>'Table 8 2.1.12 MFP Funded'!P71</f>
        <v>0</v>
      </c>
      <c r="D74" s="1162"/>
      <c r="E74" s="1162">
        <f t="shared" si="38"/>
        <v>0</v>
      </c>
      <c r="F74" s="1037">
        <f>'Table 3 Levels 1&amp;2'!AL75</f>
        <v>5861.7500805575619</v>
      </c>
      <c r="G74" s="1139">
        <f t="shared" si="39"/>
        <v>0</v>
      </c>
      <c r="H74" s="1139">
        <f t="shared" si="40"/>
        <v>0</v>
      </c>
      <c r="I74" s="1094">
        <f t="shared" si="37"/>
        <v>0</v>
      </c>
      <c r="J74" s="1149">
        <f t="shared" si="41"/>
        <v>0</v>
      </c>
      <c r="K74" s="1094">
        <f t="shared" si="42"/>
        <v>0</v>
      </c>
      <c r="L74" s="1094"/>
      <c r="M74" s="1094">
        <f t="shared" si="43"/>
        <v>0</v>
      </c>
      <c r="N74" s="1094">
        <f t="shared" si="44"/>
        <v>0</v>
      </c>
      <c r="O74" s="1086">
        <f>'[8]FY2012-13 Initial'!$K75</f>
        <v>2587</v>
      </c>
      <c r="P74" s="1088">
        <f t="shared" si="45"/>
        <v>0</v>
      </c>
      <c r="Q74" s="1088">
        <f t="shared" si="46"/>
        <v>0</v>
      </c>
      <c r="R74" s="1088">
        <f t="shared" si="47"/>
        <v>0</v>
      </c>
      <c r="S74" s="1154">
        <f t="shared" si="48"/>
        <v>0</v>
      </c>
      <c r="T74" s="1088">
        <f t="shared" si="49"/>
        <v>0</v>
      </c>
      <c r="U74" s="1088"/>
      <c r="V74" s="1088">
        <f t="shared" si="50"/>
        <v>0</v>
      </c>
      <c r="W74" s="1088">
        <f t="shared" si="51"/>
        <v>0</v>
      </c>
      <c r="X74" s="1089">
        <f t="shared" si="35"/>
        <v>0</v>
      </c>
      <c r="Y74" s="1089">
        <f t="shared" si="36"/>
        <v>0</v>
      </c>
    </row>
    <row r="75" spans="1:25">
      <c r="A75" s="1042">
        <v>69</v>
      </c>
      <c r="B75" s="1043" t="s">
        <v>235</v>
      </c>
      <c r="C75" s="1044">
        <f>'Table 8 2.1.12 MFP Funded'!P72</f>
        <v>0</v>
      </c>
      <c r="D75" s="1165"/>
      <c r="E75" s="1165">
        <f t="shared" si="38"/>
        <v>0</v>
      </c>
      <c r="F75" s="1045">
        <f>'Table 3 Levels 1&amp;2'!AL76</f>
        <v>5508.3397285189958</v>
      </c>
      <c r="G75" s="1142">
        <f t="shared" si="39"/>
        <v>0</v>
      </c>
      <c r="H75" s="1142">
        <f t="shared" si="40"/>
        <v>0</v>
      </c>
      <c r="I75" s="1097">
        <f t="shared" si="37"/>
        <v>0</v>
      </c>
      <c r="J75" s="1152">
        <f t="shared" si="41"/>
        <v>0</v>
      </c>
      <c r="K75" s="1097">
        <f t="shared" si="42"/>
        <v>0</v>
      </c>
      <c r="L75" s="1097"/>
      <c r="M75" s="1097">
        <f t="shared" si="43"/>
        <v>0</v>
      </c>
      <c r="N75" s="1097">
        <f t="shared" si="44"/>
        <v>0</v>
      </c>
      <c r="O75" s="1086">
        <f>'[8]FY2012-13 Initial'!$K76</f>
        <v>3233</v>
      </c>
      <c r="P75" s="1098">
        <f t="shared" si="45"/>
        <v>0</v>
      </c>
      <c r="Q75" s="1098">
        <f t="shared" si="46"/>
        <v>0</v>
      </c>
      <c r="R75" s="1098">
        <f t="shared" si="47"/>
        <v>0</v>
      </c>
      <c r="S75" s="1154">
        <f t="shared" si="48"/>
        <v>0</v>
      </c>
      <c r="T75" s="1098">
        <f t="shared" si="49"/>
        <v>0</v>
      </c>
      <c r="U75" s="1098"/>
      <c r="V75" s="1098">
        <f t="shared" si="50"/>
        <v>0</v>
      </c>
      <c r="W75" s="1098">
        <f t="shared" si="51"/>
        <v>0</v>
      </c>
      <c r="X75" s="1099">
        <f t="shared" si="35"/>
        <v>0</v>
      </c>
      <c r="Y75" s="1099">
        <f t="shared" si="36"/>
        <v>0</v>
      </c>
    </row>
    <row r="76" spans="1:25" s="1053" customFormat="1" ht="13.5" thickBot="1">
      <c r="A76" s="1046"/>
      <c r="B76" s="1047" t="s">
        <v>167</v>
      </c>
      <c r="C76" s="1048">
        <f>SUM(C7:C75)</f>
        <v>469</v>
      </c>
      <c r="D76" s="1048">
        <f>SUM(D7:D75)</f>
        <v>446</v>
      </c>
      <c r="E76" s="1048">
        <f>SUM(E7:E75)</f>
        <v>915</v>
      </c>
      <c r="F76" s="1049">
        <f>'Table 3 Levels 1&amp;2'!AL77</f>
        <v>4325.8670725247357</v>
      </c>
      <c r="G76" s="1143">
        <f>SUM(G7:G75)</f>
        <v>2516527.185676204</v>
      </c>
      <c r="H76" s="1143">
        <f>SUM(H7:H75)</f>
        <v>721845.71444485185</v>
      </c>
      <c r="I76" s="1050">
        <f>SUM(I7:I75)</f>
        <v>3238372.9001210551</v>
      </c>
      <c r="J76" s="1153">
        <f t="shared" ref="J76:L76" si="52">SUM(J7:J75)</f>
        <v>-8095.9322503026397</v>
      </c>
      <c r="K76" s="1050">
        <f t="shared" si="52"/>
        <v>3230276.9678707528</v>
      </c>
      <c r="L76" s="1050">
        <f t="shared" si="52"/>
        <v>0</v>
      </c>
      <c r="M76" s="1050">
        <f>SUM(M7:M75)</f>
        <v>3230276.9678707528</v>
      </c>
      <c r="N76" s="1050">
        <f>SUM(N7:N75)</f>
        <v>269188</v>
      </c>
      <c r="O76" s="1100"/>
      <c r="P76" s="1051">
        <f>SUM(P7:P75)</f>
        <v>2738997</v>
      </c>
      <c r="Q76" s="1051">
        <f>SUM(Q7:Q75)</f>
        <v>4058706</v>
      </c>
      <c r="R76" s="1051">
        <f>SUM(R7:R75)</f>
        <v>6797703</v>
      </c>
      <c r="S76" s="1158">
        <f>SUM(S7:S75)</f>
        <v>-6847.4925000000003</v>
      </c>
      <c r="T76" s="1051">
        <f t="shared" ref="T76:Y76" si="53">SUM(T7:T75)</f>
        <v>2732149.5074999998</v>
      </c>
      <c r="U76" s="1051">
        <f t="shared" si="53"/>
        <v>0</v>
      </c>
      <c r="V76" s="1051">
        <f t="shared" si="53"/>
        <v>2732149.5074999998</v>
      </c>
      <c r="W76" s="1051">
        <f t="shared" si="53"/>
        <v>227679</v>
      </c>
      <c r="X76" s="1052">
        <f t="shared" si="53"/>
        <v>5962426.4753707526</v>
      </c>
      <c r="Y76" s="1052">
        <f t="shared" si="53"/>
        <v>496867</v>
      </c>
    </row>
    <row r="77" spans="1:25" ht="39" thickTop="1">
      <c r="A77" s="1059"/>
      <c r="B77" s="1183" t="s">
        <v>837</v>
      </c>
      <c r="C77" s="1060"/>
      <c r="D77" s="1060"/>
      <c r="E77" s="1060"/>
      <c r="I77" s="1182">
        <f>Q76</f>
        <v>4058706</v>
      </c>
      <c r="J77" s="1074">
        <f>-I77*0.25%</f>
        <v>-10146.764999999999</v>
      </c>
      <c r="K77" s="1182">
        <f t="shared" ref="K77" si="54">SUM(I77:J77)</f>
        <v>4048559.2349999999</v>
      </c>
      <c r="L77" s="1182"/>
      <c r="M77" s="1182">
        <f t="shared" ref="M77" si="55">SUM(K77:L77)</f>
        <v>4048559.2349999999</v>
      </c>
      <c r="N77" s="1182">
        <f t="shared" ref="N77" si="56">ROUND(M77/12,0)</f>
        <v>337380</v>
      </c>
      <c r="Q77" s="1182">
        <f>-Q76</f>
        <v>-4058706</v>
      </c>
      <c r="R77" s="1182">
        <f>Q77</f>
        <v>-4058706</v>
      </c>
      <c r="S77" s="1592"/>
      <c r="V77" s="1056"/>
      <c r="W77" s="1056"/>
      <c r="X77" s="1056">
        <f>V77+M77</f>
        <v>4048559.2349999999</v>
      </c>
      <c r="Y77" s="1056">
        <f>N77+W77</f>
        <v>337380</v>
      </c>
    </row>
    <row r="78" spans="1:25" s="1053" customFormat="1" ht="13.5" thickBot="1">
      <c r="A78" s="1046"/>
      <c r="B78" s="1047" t="s">
        <v>829</v>
      </c>
      <c r="C78" s="1048"/>
      <c r="D78" s="1179"/>
      <c r="E78" s="1179"/>
      <c r="F78" s="1049"/>
      <c r="G78" s="1143"/>
      <c r="H78" s="1143"/>
      <c r="I78" s="1050">
        <f>SUM(I76:I77)</f>
        <v>7297078.9001210555</v>
      </c>
      <c r="J78" s="1383">
        <f>SUM(J76:J77)</f>
        <v>-18242.697250302641</v>
      </c>
      <c r="K78" s="1050">
        <f>SUM(K76:K77)</f>
        <v>7278836.2028707527</v>
      </c>
      <c r="L78" s="1050">
        <f t="shared" ref="L78:N78" si="57">SUM(L76:L77)</f>
        <v>0</v>
      </c>
      <c r="M78" s="1050">
        <f t="shared" si="57"/>
        <v>7278836.2028707527</v>
      </c>
      <c r="N78" s="1050">
        <f t="shared" si="57"/>
        <v>606568</v>
      </c>
      <c r="O78" s="1100"/>
      <c r="P78" s="1051">
        <f>SUM(P76:P77)</f>
        <v>2738997</v>
      </c>
      <c r="Q78" s="1051">
        <f>SUM(Q76:Q77)</f>
        <v>0</v>
      </c>
      <c r="R78" s="1051">
        <f>SUM(R76:R77)</f>
        <v>2738997</v>
      </c>
      <c r="S78" s="1158">
        <f t="shared" ref="S78:U78" si="58">SUM(S76:S77)</f>
        <v>-6847.4925000000003</v>
      </c>
      <c r="T78" s="1051">
        <f t="shared" si="58"/>
        <v>2732149.5074999998</v>
      </c>
      <c r="U78" s="1051">
        <f t="shared" si="58"/>
        <v>0</v>
      </c>
      <c r="V78" s="1051">
        <f>SUM(V76:V77)</f>
        <v>2732149.5074999998</v>
      </c>
      <c r="W78" s="1051">
        <f>SUM(W76:W77)</f>
        <v>227679</v>
      </c>
      <c r="X78" s="1052">
        <f t="shared" ref="X78:Y78" si="59">SUM(X76:X77)</f>
        <v>10010985.710370753</v>
      </c>
      <c r="Y78" s="1052">
        <f t="shared" si="59"/>
        <v>834247</v>
      </c>
    </row>
    <row r="79" spans="1:25" ht="13.5" thickTop="1"/>
  </sheetData>
  <mergeCells count="23">
    <mergeCell ref="Y2:Y4"/>
    <mergeCell ref="C3:C4"/>
    <mergeCell ref="F3:F4"/>
    <mergeCell ref="G3:G4"/>
    <mergeCell ref="N3:N4"/>
    <mergeCell ref="O3:O4"/>
    <mergeCell ref="L3:L4"/>
    <mergeCell ref="M3:M4"/>
    <mergeCell ref="U3:U4"/>
    <mergeCell ref="V3:V4"/>
    <mergeCell ref="A2:B4"/>
    <mergeCell ref="O2:W2"/>
    <mergeCell ref="X2:X4"/>
    <mergeCell ref="I3:I4"/>
    <mergeCell ref="P3:P4"/>
    <mergeCell ref="W3:W4"/>
    <mergeCell ref="K3:K4"/>
    <mergeCell ref="D3:D4"/>
    <mergeCell ref="E3:E4"/>
    <mergeCell ref="Q3:Q4"/>
    <mergeCell ref="R3:R4"/>
    <mergeCell ref="C2:I2"/>
    <mergeCell ref="J2:N2"/>
  </mergeCells>
  <printOptions horizontalCentered="1"/>
  <pageMargins left="0.27" right="0.25" top="1.07" bottom="0.2" header="0.37" footer="0.2"/>
  <pageSetup paperSize="5" scale="75" firstPageNumber="86" fitToWidth="3" orientation="portrait" useFirstPageNumber="1" r:id="rId1"/>
  <headerFooter alignWithMargins="0">
    <oddHeader xml:space="preserve">&amp;L&amp;"Arial,Bold"&amp;16Table 5D-8:  FY2012-13 MFP Budget Letter &amp;"Arial,Regular"&amp;10
&amp;"Arial,Bold"&amp;14Legacy Type 2 Charters &amp;R&amp;"Arial,Bold"&amp;12&amp;KFF0000
</oddHeader>
    <oddFooter>&amp;R&amp;P</oddFooter>
  </headerFooter>
  <colBreaks count="3" manualBreakCount="3">
    <brk id="9" min="1" max="79" man="1"/>
    <brk id="14" min="1" max="79" man="1"/>
    <brk id="23" min="1" max="79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transitionEvaluation="1" transitionEntry="1"/>
  <dimension ref="A1:W105"/>
  <sheetViews>
    <sheetView view="pageBreakPreview" zoomScale="90" zoomScaleNormal="85" zoomScaleSheetLayoutView="9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85546875" style="2" customWidth="1"/>
    <col min="2" max="2" width="20.85546875" style="2" customWidth="1"/>
    <col min="3" max="3" width="15.85546875" style="1" customWidth="1"/>
    <col min="4" max="4" width="18.85546875" style="1" customWidth="1"/>
    <col min="5" max="5" width="14.28515625" style="1" customWidth="1"/>
    <col min="6" max="6" width="17.85546875" style="1" customWidth="1"/>
    <col min="7" max="7" width="13.5703125" style="1" customWidth="1"/>
    <col min="8" max="8" width="15.5703125" style="668" hidden="1" customWidth="1"/>
    <col min="9" max="9" width="14.7109375" style="668" customWidth="1"/>
    <col min="10" max="10" width="15.140625" style="668" customWidth="1"/>
    <col min="11" max="11" width="13.5703125" style="1" customWidth="1"/>
    <col min="12" max="12" width="15.85546875" style="489" customWidth="1"/>
    <col min="13" max="13" width="12.5703125" style="1" customWidth="1"/>
    <col min="14" max="14" width="14.28515625" style="1" customWidth="1"/>
    <col min="15" max="15" width="10.5703125" style="1" bestFit="1" customWidth="1"/>
    <col min="16" max="16" width="13.7109375" style="1" bestFit="1" customWidth="1"/>
    <col min="17" max="17" width="13.7109375" style="1300" customWidth="1"/>
    <col min="18" max="18" width="14.42578125" style="1300" customWidth="1"/>
    <col min="19" max="19" width="10.85546875" style="1" bestFit="1" customWidth="1"/>
    <col min="20" max="20" width="12.5703125" style="2" customWidth="1"/>
    <col min="21" max="21" width="2.5703125" style="668" hidden="1" customWidth="1"/>
    <col min="22" max="22" width="37.85546875" style="668" hidden="1" customWidth="1"/>
    <col min="23" max="23" width="12.5703125" style="2" customWidth="1"/>
    <col min="24" max="16384" width="12.5703125" style="2"/>
  </cols>
  <sheetData>
    <row r="1" spans="1:23" ht="9" customHeight="1">
      <c r="B1" s="756"/>
      <c r="C1" s="757"/>
      <c r="D1" s="757"/>
    </row>
    <row r="2" spans="1:23" s="628" customFormat="1" ht="39.75" customHeight="1">
      <c r="A2" s="1889" t="s">
        <v>566</v>
      </c>
      <c r="B2" s="1890"/>
      <c r="C2" s="1898" t="s">
        <v>1302</v>
      </c>
      <c r="D2" s="1899"/>
      <c r="E2" s="1899"/>
      <c r="F2" s="1899"/>
      <c r="G2" s="1899"/>
      <c r="H2" s="1899"/>
      <c r="I2" s="1899"/>
      <c r="J2" s="1899"/>
      <c r="K2" s="1900"/>
      <c r="L2" s="1901" t="s">
        <v>567</v>
      </c>
      <c r="M2" s="1902"/>
      <c r="N2" s="1902"/>
      <c r="O2" s="1902"/>
      <c r="P2" s="1902"/>
      <c r="Q2" s="1902"/>
      <c r="R2" s="1902"/>
      <c r="S2" s="1903"/>
      <c r="T2" s="1880" t="s">
        <v>1449</v>
      </c>
      <c r="U2" s="626"/>
      <c r="V2" s="627"/>
      <c r="W2" s="1880" t="s">
        <v>1389</v>
      </c>
    </row>
    <row r="3" spans="1:23" ht="91.5" customHeight="1">
      <c r="A3" s="1891"/>
      <c r="B3" s="1892"/>
      <c r="C3" s="1895" t="s">
        <v>1301</v>
      </c>
      <c r="D3" s="1897" t="s">
        <v>855</v>
      </c>
      <c r="E3" s="629" t="s">
        <v>568</v>
      </c>
      <c r="F3" s="629" t="s">
        <v>569</v>
      </c>
      <c r="G3" s="1897" t="s">
        <v>1447</v>
      </c>
      <c r="H3" s="630"/>
      <c r="I3" s="1779" t="s">
        <v>1197</v>
      </c>
      <c r="J3" s="1779" t="s">
        <v>1409</v>
      </c>
      <c r="K3" s="1897" t="s">
        <v>1410</v>
      </c>
      <c r="L3" s="1884" t="s">
        <v>856</v>
      </c>
      <c r="M3" s="1886" t="s">
        <v>658</v>
      </c>
      <c r="N3" s="1886" t="s">
        <v>659</v>
      </c>
      <c r="O3" s="1886" t="s">
        <v>570</v>
      </c>
      <c r="P3" s="1886" t="s">
        <v>1448</v>
      </c>
      <c r="Q3" s="1795" t="s">
        <v>1197</v>
      </c>
      <c r="R3" s="1795" t="s">
        <v>1429</v>
      </c>
      <c r="S3" s="1886" t="s">
        <v>1413</v>
      </c>
      <c r="T3" s="1881"/>
      <c r="U3" s="630"/>
      <c r="V3" s="631"/>
      <c r="W3" s="1881"/>
    </row>
    <row r="4" spans="1:23" ht="26.25" customHeight="1">
      <c r="A4" s="1893"/>
      <c r="B4" s="1894"/>
      <c r="C4" s="1896"/>
      <c r="D4" s="1897"/>
      <c r="E4" s="632">
        <f>E83</f>
        <v>0.31638418079096048</v>
      </c>
      <c r="F4" s="633">
        <f>C102</f>
        <v>1470.3473918621949</v>
      </c>
      <c r="G4" s="1897"/>
      <c r="H4" s="630"/>
      <c r="I4" s="1780"/>
      <c r="J4" s="1780"/>
      <c r="K4" s="1897"/>
      <c r="L4" s="1885"/>
      <c r="M4" s="1887"/>
      <c r="N4" s="1887"/>
      <c r="O4" s="1887"/>
      <c r="P4" s="1887"/>
      <c r="Q4" s="1787"/>
      <c r="R4" s="1787"/>
      <c r="S4" s="1887"/>
      <c r="T4" s="1882"/>
      <c r="U4" s="630"/>
      <c r="V4" s="631"/>
      <c r="W4" s="1882"/>
    </row>
    <row r="5" spans="1:23" s="637" customFormat="1" ht="14.25" customHeight="1">
      <c r="A5" s="634"/>
      <c r="B5" s="635"/>
      <c r="C5" s="636">
        <v>1</v>
      </c>
      <c r="D5" s="636">
        <f t="shared" ref="D5:G5" si="0">C5+1</f>
        <v>2</v>
      </c>
      <c r="E5" s="636">
        <f t="shared" si="0"/>
        <v>3</v>
      </c>
      <c r="F5" s="636">
        <f t="shared" si="0"/>
        <v>4</v>
      </c>
      <c r="G5" s="636">
        <f t="shared" si="0"/>
        <v>5</v>
      </c>
      <c r="H5" s="636">
        <f t="shared" ref="H5" si="1">G5+1</f>
        <v>6</v>
      </c>
      <c r="I5" s="636">
        <f>G5+1</f>
        <v>6</v>
      </c>
      <c r="J5" s="636">
        <f t="shared" ref="J5" si="2">I5+1</f>
        <v>7</v>
      </c>
      <c r="K5" s="636">
        <f t="shared" ref="K5" si="3">J5+1</f>
        <v>8</v>
      </c>
      <c r="L5" s="636">
        <f t="shared" ref="L5" si="4">K5+1</f>
        <v>9</v>
      </c>
      <c r="M5" s="636">
        <f t="shared" ref="M5" si="5">L5+1</f>
        <v>10</v>
      </c>
      <c r="N5" s="636">
        <f t="shared" ref="N5" si="6">M5+1</f>
        <v>11</v>
      </c>
      <c r="O5" s="636">
        <f t="shared" ref="O5" si="7">N5+1</f>
        <v>12</v>
      </c>
      <c r="P5" s="636">
        <f t="shared" ref="P5" si="8">O5+1</f>
        <v>13</v>
      </c>
      <c r="Q5" s="636">
        <f t="shared" ref="Q5" si="9">P5+1</f>
        <v>14</v>
      </c>
      <c r="R5" s="636">
        <f t="shared" ref="R5" si="10">Q5+1</f>
        <v>15</v>
      </c>
      <c r="S5" s="636">
        <f t="shared" ref="S5" si="11">R5+1</f>
        <v>16</v>
      </c>
      <c r="T5" s="636">
        <f t="shared" ref="T5" si="12">S5+1</f>
        <v>17</v>
      </c>
      <c r="U5" s="636">
        <f t="shared" ref="U5" si="13">T5+1</f>
        <v>18</v>
      </c>
      <c r="V5" s="636">
        <f t="shared" ref="V5" si="14">U5+1</f>
        <v>19</v>
      </c>
      <c r="W5" s="636">
        <v>18</v>
      </c>
    </row>
    <row r="6" spans="1:23" s="645" customFormat="1" ht="27" customHeight="1">
      <c r="A6" s="638"/>
      <c r="B6" s="639"/>
      <c r="C6" s="640" t="s">
        <v>660</v>
      </c>
      <c r="D6" s="641" t="s">
        <v>571</v>
      </c>
      <c r="E6" s="640" t="s">
        <v>572</v>
      </c>
      <c r="F6" s="640" t="s">
        <v>573</v>
      </c>
      <c r="G6" s="640" t="s">
        <v>574</v>
      </c>
      <c r="H6" s="642"/>
      <c r="I6" s="640"/>
      <c r="J6" s="640" t="s">
        <v>816</v>
      </c>
      <c r="K6" s="640" t="s">
        <v>817</v>
      </c>
      <c r="L6" s="644" t="s">
        <v>571</v>
      </c>
      <c r="M6" s="641" t="s">
        <v>575</v>
      </c>
      <c r="N6" s="641" t="s">
        <v>1229</v>
      </c>
      <c r="O6" s="641" t="s">
        <v>1230</v>
      </c>
      <c r="P6" s="641" t="s">
        <v>1231</v>
      </c>
      <c r="Q6" s="641"/>
      <c r="R6" s="641" t="s">
        <v>1228</v>
      </c>
      <c r="S6" s="641" t="s">
        <v>1227</v>
      </c>
      <c r="T6" s="641" t="s">
        <v>1225</v>
      </c>
      <c r="U6" s="642"/>
      <c r="V6" s="643"/>
      <c r="W6" s="641" t="s">
        <v>1226</v>
      </c>
    </row>
    <row r="7" spans="1:23">
      <c r="A7" s="646">
        <v>1</v>
      </c>
      <c r="B7" s="647" t="s">
        <v>102</v>
      </c>
      <c r="C7" s="648">
        <f>'[10]Summary for MFP'!$E7</f>
        <v>2.2890630000000001</v>
      </c>
      <c r="D7" s="649">
        <f>'Table 3 Levels 1&amp;2'!AP8</f>
        <v>5399.02320652251</v>
      </c>
      <c r="E7" s="649">
        <f t="shared" ref="E7:E70" si="15">D7*(1+$E$4)</f>
        <v>7107.1887407895183</v>
      </c>
      <c r="F7" s="649">
        <f>E7+$F$4</f>
        <v>8577.5361326517123</v>
      </c>
      <c r="G7" s="650">
        <f>C7*F7</f>
        <v>19634.520592416127</v>
      </c>
      <c r="H7" s="651"/>
      <c r="I7" s="1305">
        <f>'[9]Oct midyear adj_OJJ'!$I6</f>
        <v>0</v>
      </c>
      <c r="J7" s="1313">
        <f>SUM(G7:I7)</f>
        <v>19634.520592416127</v>
      </c>
      <c r="K7" s="650">
        <f>ROUND(J7/12,0)</f>
        <v>1636</v>
      </c>
      <c r="L7" s="653">
        <f>'Table 3 Levels 1&amp;2'!AS8</f>
        <v>19122806.5</v>
      </c>
      <c r="M7" s="654">
        <f>'Table 3 Levels 1&amp;2'!C8</f>
        <v>9351</v>
      </c>
      <c r="N7" s="654">
        <f>C7+M7</f>
        <v>9353.2890630000002</v>
      </c>
      <c r="O7" s="655">
        <f>L7/N7</f>
        <v>2044.5007495434443</v>
      </c>
      <c r="P7" s="656">
        <f>C7*O7</f>
        <v>4679.9910192521656</v>
      </c>
      <c r="Q7" s="1314">
        <f>'[9]Oct midyear adj_OJJ'!$K6</f>
        <v>0</v>
      </c>
      <c r="R7" s="656">
        <f>SUM(P7:Q7)</f>
        <v>4679.9910192521656</v>
      </c>
      <c r="S7" s="656">
        <f>ROUND(R7/12,0)</f>
        <v>390</v>
      </c>
      <c r="T7" s="657">
        <f>G7+P7</f>
        <v>24314.511611668291</v>
      </c>
      <c r="U7" s="651"/>
      <c r="V7" s="652"/>
      <c r="W7" s="657">
        <f>K7+S7</f>
        <v>2026</v>
      </c>
    </row>
    <row r="8" spans="1:23">
      <c r="A8" s="658">
        <v>2</v>
      </c>
      <c r="B8" s="659" t="s">
        <v>103</v>
      </c>
      <c r="C8" s="660">
        <f>'[10]Summary for MFP'!$E8</f>
        <v>0</v>
      </c>
      <c r="D8" s="661">
        <f>'Table 3 Levels 1&amp;2'!AP9</f>
        <v>6973.9251387606755</v>
      </c>
      <c r="E8" s="661">
        <f t="shared" si="15"/>
        <v>9180.3647306849562</v>
      </c>
      <c r="F8" s="661">
        <f t="shared" ref="F8:F71" si="16">E8+$F$4</f>
        <v>10650.712122547151</v>
      </c>
      <c r="G8" s="662">
        <f t="shared" ref="G8:G71" si="17">C8*F8</f>
        <v>0</v>
      </c>
      <c r="H8" s="651"/>
      <c r="I8" s="1306">
        <f>'[9]Oct midyear adj_OJJ'!$I7</f>
        <v>0</v>
      </c>
      <c r="J8" s="662">
        <f t="shared" ref="J8:J71" si="18">SUM(G8:I8)</f>
        <v>0</v>
      </c>
      <c r="K8" s="662">
        <f t="shared" ref="K8:K71" si="19">ROUND(J8/12,0)</f>
        <v>0</v>
      </c>
      <c r="L8" s="653">
        <f>'Table 3 Levels 1&amp;2'!AS9</f>
        <v>10537350</v>
      </c>
      <c r="M8" s="663">
        <f>'Table 3 Levels 1&amp;2'!C9</f>
        <v>4028</v>
      </c>
      <c r="N8" s="663">
        <f t="shared" ref="N8:N71" si="20">C8+M8</f>
        <v>4028</v>
      </c>
      <c r="O8" s="664">
        <f t="shared" ref="O8:O71" si="21">L8/N8</f>
        <v>2616.0253227408143</v>
      </c>
      <c r="P8" s="665">
        <f t="shared" ref="P8:P71" si="22">C8*O8</f>
        <v>0</v>
      </c>
      <c r="Q8" s="1315">
        <f>'[9]Oct midyear adj_OJJ'!$K7</f>
        <v>0</v>
      </c>
      <c r="R8" s="665">
        <f t="shared" ref="R8:R71" si="23">SUM(P8:Q8)</f>
        <v>0</v>
      </c>
      <c r="S8" s="665">
        <f t="shared" ref="S8:S71" si="24">ROUND(R8/12,0)</f>
        <v>0</v>
      </c>
      <c r="T8" s="666">
        <f t="shared" ref="T8:T71" si="25">G8+P8</f>
        <v>0</v>
      </c>
      <c r="U8" s="651"/>
      <c r="V8" s="652"/>
      <c r="W8" s="666">
        <f t="shared" ref="W8:W71" si="26">K8+S8</f>
        <v>0</v>
      </c>
    </row>
    <row r="9" spans="1:23" ht="12.75" customHeight="1">
      <c r="A9" s="658">
        <v>3</v>
      </c>
      <c r="B9" s="659" t="s">
        <v>104</v>
      </c>
      <c r="C9" s="660">
        <f>'[10]Summary for MFP'!$E9</f>
        <v>2</v>
      </c>
      <c r="D9" s="661">
        <f>'Table 3 Levels 1&amp;2'!AP10</f>
        <v>4923.248062570342</v>
      </c>
      <c r="E9" s="661">
        <f t="shared" si="15"/>
        <v>6480.8858676773425</v>
      </c>
      <c r="F9" s="661">
        <f t="shared" si="16"/>
        <v>7951.2332595395374</v>
      </c>
      <c r="G9" s="662">
        <f t="shared" si="17"/>
        <v>15902.466519079075</v>
      </c>
      <c r="H9" s="667" t="s">
        <v>278</v>
      </c>
      <c r="I9" s="1306">
        <f>'[9]Oct midyear adj_OJJ'!$I8</f>
        <v>0</v>
      </c>
      <c r="J9" s="662">
        <f t="shared" si="18"/>
        <v>15902.466519079075</v>
      </c>
      <c r="K9" s="662">
        <f t="shared" si="19"/>
        <v>1325</v>
      </c>
      <c r="L9" s="653">
        <f>'Table 3 Levels 1&amp;2'!AS10</f>
        <v>67653639.599999994</v>
      </c>
      <c r="M9" s="663">
        <f>'Table 3 Levels 1&amp;2'!C10</f>
        <v>20143</v>
      </c>
      <c r="N9" s="663">
        <f t="shared" si="20"/>
        <v>20145</v>
      </c>
      <c r="O9" s="664">
        <f t="shared" si="21"/>
        <v>3358.3340580789277</v>
      </c>
      <c r="P9" s="665">
        <f t="shared" si="22"/>
        <v>6716.6681161578554</v>
      </c>
      <c r="Q9" s="1315">
        <f>'[9]Oct midyear adj_OJJ'!$K8</f>
        <v>0</v>
      </c>
      <c r="R9" s="665">
        <f t="shared" si="23"/>
        <v>6716.6681161578554</v>
      </c>
      <c r="S9" s="665">
        <f t="shared" si="24"/>
        <v>560</v>
      </c>
      <c r="T9" s="666">
        <f t="shared" si="25"/>
        <v>22619.134635236929</v>
      </c>
      <c r="U9" s="667" t="s">
        <v>278</v>
      </c>
      <c r="V9" s="1883" t="s">
        <v>576</v>
      </c>
      <c r="W9" s="666">
        <f t="shared" si="26"/>
        <v>1885</v>
      </c>
    </row>
    <row r="10" spans="1:23" ht="12.75" customHeight="1">
      <c r="A10" s="658">
        <v>4</v>
      </c>
      <c r="B10" s="659" t="s">
        <v>105</v>
      </c>
      <c r="C10" s="660">
        <f>'[10]Summary for MFP'!$E10</f>
        <v>0.86</v>
      </c>
      <c r="D10" s="661">
        <f>'Table 3 Levels 1&amp;2'!AP11</f>
        <v>6651.9360283082933</v>
      </c>
      <c r="E10" s="661">
        <f t="shared" si="15"/>
        <v>8756.5033592984873</v>
      </c>
      <c r="F10" s="661">
        <f t="shared" si="16"/>
        <v>10226.850751160682</v>
      </c>
      <c r="G10" s="662">
        <f t="shared" si="17"/>
        <v>8795.0916459981872</v>
      </c>
      <c r="I10" s="1306">
        <f>'[9]Oct midyear adj_OJJ'!$I9</f>
        <v>0</v>
      </c>
      <c r="J10" s="662">
        <f t="shared" si="18"/>
        <v>8795.0916459981872</v>
      </c>
      <c r="K10" s="662">
        <f t="shared" si="19"/>
        <v>733</v>
      </c>
      <c r="L10" s="653">
        <f>'Table 3 Levels 1&amp;2'!AS11</f>
        <v>11208332.1</v>
      </c>
      <c r="M10" s="663">
        <f>'Table 3 Levels 1&amp;2'!C11</f>
        <v>3577</v>
      </c>
      <c r="N10" s="663">
        <f t="shared" si="20"/>
        <v>3577.86</v>
      </c>
      <c r="O10" s="664">
        <f t="shared" si="21"/>
        <v>3132.6916369002697</v>
      </c>
      <c r="P10" s="665">
        <f t="shared" si="22"/>
        <v>2694.1148077342318</v>
      </c>
      <c r="Q10" s="1315">
        <f>'[9]Oct midyear adj_OJJ'!$K9</f>
        <v>0</v>
      </c>
      <c r="R10" s="665">
        <f t="shared" si="23"/>
        <v>2694.1148077342318</v>
      </c>
      <c r="S10" s="665">
        <f t="shared" si="24"/>
        <v>225</v>
      </c>
      <c r="T10" s="666">
        <f t="shared" si="25"/>
        <v>11489.206453732419</v>
      </c>
      <c r="V10" s="1883"/>
      <c r="W10" s="666">
        <f t="shared" si="26"/>
        <v>958</v>
      </c>
    </row>
    <row r="11" spans="1:23">
      <c r="A11" s="669">
        <v>5</v>
      </c>
      <c r="B11" s="670" t="s">
        <v>106</v>
      </c>
      <c r="C11" s="671">
        <f>'[10]Summary for MFP'!$E11</f>
        <v>4.1400430000000004</v>
      </c>
      <c r="D11" s="672">
        <f>'Table 3 Levels 1&amp;2'!AP12</f>
        <v>5359.8269363359432</v>
      </c>
      <c r="E11" s="672">
        <f t="shared" si="15"/>
        <v>7055.5913907699141</v>
      </c>
      <c r="F11" s="672">
        <f t="shared" si="16"/>
        <v>8525.938782632109</v>
      </c>
      <c r="G11" s="673">
        <f t="shared" si="17"/>
        <v>35297.75317546459</v>
      </c>
      <c r="H11" s="652"/>
      <c r="I11" s="1307">
        <f>'[9]Oct midyear adj_OJJ'!$I10</f>
        <v>0</v>
      </c>
      <c r="J11" s="673">
        <f t="shared" si="18"/>
        <v>35297.75317546459</v>
      </c>
      <c r="K11" s="673">
        <f t="shared" si="19"/>
        <v>2941</v>
      </c>
      <c r="L11" s="675">
        <f>'Table 3 Levels 1&amp;2'!AS12</f>
        <v>7620700.5</v>
      </c>
      <c r="M11" s="676">
        <f>'Table 3 Levels 1&amp;2'!C12</f>
        <v>6437</v>
      </c>
      <c r="N11" s="676">
        <f t="shared" si="20"/>
        <v>6441.1400430000003</v>
      </c>
      <c r="O11" s="677">
        <f t="shared" si="21"/>
        <v>1183.1291431525237</v>
      </c>
      <c r="P11" s="678">
        <f t="shared" si="22"/>
        <v>4898.2055272046046</v>
      </c>
      <c r="Q11" s="1316">
        <f>'[9]Oct midyear adj_OJJ'!$K10</f>
        <v>0</v>
      </c>
      <c r="R11" s="678">
        <f t="shared" si="23"/>
        <v>4898.2055272046046</v>
      </c>
      <c r="S11" s="678">
        <f t="shared" si="24"/>
        <v>408</v>
      </c>
      <c r="T11" s="679">
        <f t="shared" si="25"/>
        <v>40195.958702669195</v>
      </c>
      <c r="U11" s="652"/>
      <c r="V11" s="674"/>
      <c r="W11" s="679">
        <f t="shared" si="26"/>
        <v>3349</v>
      </c>
    </row>
    <row r="12" spans="1:23" ht="12.75" customHeight="1">
      <c r="A12" s="646">
        <v>6</v>
      </c>
      <c r="B12" s="647" t="s">
        <v>107</v>
      </c>
      <c r="C12" s="648">
        <f>'[10]Summary for MFP'!$E12</f>
        <v>1.6027</v>
      </c>
      <c r="D12" s="649">
        <f>'Table 3 Levels 1&amp;2'!AP13</f>
        <v>6083.3964532638856</v>
      </c>
      <c r="E12" s="649">
        <f t="shared" si="15"/>
        <v>8008.0868565564142</v>
      </c>
      <c r="F12" s="649">
        <f t="shared" si="16"/>
        <v>9478.4342484186091</v>
      </c>
      <c r="G12" s="650">
        <f t="shared" si="17"/>
        <v>15191.086569940504</v>
      </c>
      <c r="H12" s="651" t="s">
        <v>577</v>
      </c>
      <c r="I12" s="1305">
        <f>'[9]Oct midyear adj_OJJ'!$I11</f>
        <v>0</v>
      </c>
      <c r="J12" s="650">
        <f t="shared" si="18"/>
        <v>15191.086569940504</v>
      </c>
      <c r="K12" s="650">
        <f t="shared" si="19"/>
        <v>1266</v>
      </c>
      <c r="L12" s="653">
        <f>'Table 3 Levels 1&amp;2'!AS13</f>
        <v>18621047.199999999</v>
      </c>
      <c r="M12" s="654">
        <f>'Table 3 Levels 1&amp;2'!C13</f>
        <v>6042</v>
      </c>
      <c r="N12" s="654">
        <f t="shared" si="20"/>
        <v>6043.6027000000004</v>
      </c>
      <c r="O12" s="655">
        <f t="shared" si="21"/>
        <v>3081.1170297478352</v>
      </c>
      <c r="P12" s="656">
        <f t="shared" si="22"/>
        <v>4938.1062635768558</v>
      </c>
      <c r="Q12" s="1314">
        <f>'[9]Oct midyear adj_OJJ'!$K11</f>
        <v>0</v>
      </c>
      <c r="R12" s="656">
        <f t="shared" si="23"/>
        <v>4938.1062635768558</v>
      </c>
      <c r="S12" s="656">
        <f t="shared" si="24"/>
        <v>412</v>
      </c>
      <c r="T12" s="657">
        <f t="shared" si="25"/>
        <v>20129.192833517358</v>
      </c>
      <c r="U12" s="651" t="s">
        <v>577</v>
      </c>
      <c r="V12" s="1888" t="s">
        <v>578</v>
      </c>
      <c r="W12" s="657">
        <f t="shared" si="26"/>
        <v>1678</v>
      </c>
    </row>
    <row r="13" spans="1:23">
      <c r="A13" s="658">
        <v>7</v>
      </c>
      <c r="B13" s="659" t="s">
        <v>108</v>
      </c>
      <c r="C13" s="660">
        <f>'[10]Summary for MFP'!$E13</f>
        <v>0</v>
      </c>
      <c r="D13" s="661">
        <f>'Table 3 Levels 1&amp;2'!AP14</f>
        <v>2300.1158467087466</v>
      </c>
      <c r="E13" s="661">
        <f t="shared" si="15"/>
        <v>3027.8361145939998</v>
      </c>
      <c r="F13" s="661">
        <f t="shared" si="16"/>
        <v>4498.1835064561947</v>
      </c>
      <c r="G13" s="662">
        <f t="shared" si="17"/>
        <v>0</v>
      </c>
      <c r="H13" s="651"/>
      <c r="I13" s="1306">
        <f>'[9]Oct midyear adj_OJJ'!$I12</f>
        <v>0</v>
      </c>
      <c r="J13" s="662">
        <f t="shared" si="18"/>
        <v>0</v>
      </c>
      <c r="K13" s="662">
        <f t="shared" si="19"/>
        <v>0</v>
      </c>
      <c r="L13" s="653">
        <f>'Table 3 Levels 1&amp;2'!AS14</f>
        <v>13614318</v>
      </c>
      <c r="M13" s="663">
        <f>'Table 3 Levels 1&amp;2'!C14</f>
        <v>2218</v>
      </c>
      <c r="N13" s="663">
        <f t="shared" si="20"/>
        <v>2218</v>
      </c>
      <c r="O13" s="664">
        <f t="shared" si="21"/>
        <v>6138.1055004508562</v>
      </c>
      <c r="P13" s="665">
        <f t="shared" si="22"/>
        <v>0</v>
      </c>
      <c r="Q13" s="1315">
        <f>'[9]Oct midyear adj_OJJ'!$K12</f>
        <v>0</v>
      </c>
      <c r="R13" s="665">
        <f t="shared" si="23"/>
        <v>0</v>
      </c>
      <c r="S13" s="665">
        <f t="shared" si="24"/>
        <v>0</v>
      </c>
      <c r="T13" s="666">
        <f t="shared" si="25"/>
        <v>0</v>
      </c>
      <c r="U13" s="651"/>
      <c r="V13" s="1888"/>
      <c r="W13" s="666">
        <f t="shared" si="26"/>
        <v>0</v>
      </c>
    </row>
    <row r="14" spans="1:23">
      <c r="A14" s="658">
        <v>8</v>
      </c>
      <c r="B14" s="659" t="s">
        <v>109</v>
      </c>
      <c r="C14" s="660">
        <f>'[10]Summary for MFP'!$E14</f>
        <v>5.3072299999999997</v>
      </c>
      <c r="D14" s="661">
        <f>'Table 3 Levels 1&amp;2'!AP15</f>
        <v>4759.0127550312372</v>
      </c>
      <c r="E14" s="661">
        <f t="shared" si="15"/>
        <v>6264.6891069055273</v>
      </c>
      <c r="F14" s="661">
        <f t="shared" si="16"/>
        <v>7735.0364987677222</v>
      </c>
      <c r="G14" s="662">
        <f t="shared" si="17"/>
        <v>41051.617757355016</v>
      </c>
      <c r="H14" s="651"/>
      <c r="I14" s="1306">
        <f>'[9]Oct midyear adj_OJJ'!$I13</f>
        <v>0</v>
      </c>
      <c r="J14" s="662">
        <f t="shared" si="18"/>
        <v>41051.617757355016</v>
      </c>
      <c r="K14" s="662">
        <f t="shared" si="19"/>
        <v>3421</v>
      </c>
      <c r="L14" s="653">
        <f>'Table 3 Levels 1&amp;2'!AS15</f>
        <v>73734541.599999994</v>
      </c>
      <c r="M14" s="663">
        <f>'Table 3 Levels 1&amp;2'!C15</f>
        <v>20789</v>
      </c>
      <c r="N14" s="663">
        <f t="shared" si="20"/>
        <v>20794.307229999999</v>
      </c>
      <c r="O14" s="664">
        <f t="shared" si="21"/>
        <v>3545.9003651548915</v>
      </c>
      <c r="P14" s="665">
        <f t="shared" si="22"/>
        <v>18818.908794960993</v>
      </c>
      <c r="Q14" s="1315">
        <f>'[9]Oct midyear adj_OJJ'!$K13</f>
        <v>0</v>
      </c>
      <c r="R14" s="665">
        <f t="shared" si="23"/>
        <v>18818.908794960993</v>
      </c>
      <c r="S14" s="665">
        <f t="shared" si="24"/>
        <v>1568</v>
      </c>
      <c r="T14" s="666">
        <f t="shared" si="25"/>
        <v>59870.526552316005</v>
      </c>
      <c r="U14" s="651"/>
      <c r="V14" s="1888"/>
      <c r="W14" s="666">
        <f t="shared" si="26"/>
        <v>4989</v>
      </c>
    </row>
    <row r="15" spans="1:23">
      <c r="A15" s="658">
        <v>9</v>
      </c>
      <c r="B15" s="659" t="s">
        <v>110</v>
      </c>
      <c r="C15" s="660">
        <f>'[10]Summary for MFP'!$E15</f>
        <v>32.452984000000001</v>
      </c>
      <c r="D15" s="661">
        <f>'Table 3 Levels 1&amp;2'!AP16</f>
        <v>5012.846316612161</v>
      </c>
      <c r="E15" s="661">
        <f t="shared" si="15"/>
        <v>6598.8315919244833</v>
      </c>
      <c r="F15" s="661">
        <f t="shared" si="16"/>
        <v>8069.1789837866781</v>
      </c>
      <c r="G15" s="662">
        <f t="shared" si="17"/>
        <v>261868.93645396532</v>
      </c>
      <c r="H15" s="651"/>
      <c r="I15" s="1306">
        <f>'[9]Oct midyear adj_OJJ'!$I14</f>
        <v>-1785.4483345036369</v>
      </c>
      <c r="J15" s="662">
        <f t="shared" si="18"/>
        <v>260083.48811946169</v>
      </c>
      <c r="K15" s="662">
        <f t="shared" si="19"/>
        <v>21674</v>
      </c>
      <c r="L15" s="653">
        <f>'Table 3 Levels 1&amp;2'!AS16</f>
        <v>145548424.19999999</v>
      </c>
      <c r="M15" s="663">
        <f>'Table 3 Levels 1&amp;2'!C16</f>
        <v>41444</v>
      </c>
      <c r="N15" s="663">
        <f t="shared" si="20"/>
        <v>41476.452984000003</v>
      </c>
      <c r="O15" s="664">
        <f t="shared" si="21"/>
        <v>3509.1820473690673</v>
      </c>
      <c r="P15" s="665">
        <f t="shared" si="22"/>
        <v>113883.42883635558</v>
      </c>
      <c r="Q15" s="1315">
        <f>'[9]Oct midyear adj_OJJ'!$K14</f>
        <v>-753.35776342977704</v>
      </c>
      <c r="R15" s="665">
        <f t="shared" si="23"/>
        <v>113130.0710729258</v>
      </c>
      <c r="S15" s="665">
        <f t="shared" si="24"/>
        <v>9428</v>
      </c>
      <c r="T15" s="666">
        <f t="shared" si="25"/>
        <v>375752.36529032089</v>
      </c>
      <c r="U15" s="651"/>
      <c r="W15" s="666">
        <f t="shared" si="26"/>
        <v>31102</v>
      </c>
    </row>
    <row r="16" spans="1:23">
      <c r="A16" s="669">
        <v>10</v>
      </c>
      <c r="B16" s="670" t="s">
        <v>111</v>
      </c>
      <c r="C16" s="671">
        <f>'[10]Summary for MFP'!$E16</f>
        <v>7.8530309999999997</v>
      </c>
      <c r="D16" s="672">
        <f>'Table 3 Levels 1&amp;2'!AP17</f>
        <v>4907.9432478040553</v>
      </c>
      <c r="E16" s="672">
        <f t="shared" si="15"/>
        <v>6460.7388516290666</v>
      </c>
      <c r="F16" s="672">
        <f t="shared" si="16"/>
        <v>7931.0862434912615</v>
      </c>
      <c r="G16" s="673">
        <f t="shared" si="17"/>
        <v>62283.066133810426</v>
      </c>
      <c r="H16" s="652"/>
      <c r="I16" s="1307">
        <f>'[9]Oct midyear adj_OJJ'!$I15</f>
        <v>44.273852237876717</v>
      </c>
      <c r="J16" s="673">
        <f t="shared" si="18"/>
        <v>62327.339986048304</v>
      </c>
      <c r="K16" s="673">
        <f t="shared" si="19"/>
        <v>5194</v>
      </c>
      <c r="L16" s="675">
        <f>'Table 3 Levels 1&amp;2'!AS17</f>
        <v>120472101.5</v>
      </c>
      <c r="M16" s="676">
        <f>'Table 3 Levels 1&amp;2'!C17</f>
        <v>31713</v>
      </c>
      <c r="N16" s="676">
        <f t="shared" si="20"/>
        <v>31720.853030999999</v>
      </c>
      <c r="O16" s="677">
        <f t="shared" si="21"/>
        <v>3797.8834107098451</v>
      </c>
      <c r="P16" s="678">
        <f t="shared" si="22"/>
        <v>29824.896158690142</v>
      </c>
      <c r="Q16" s="1316">
        <f>'[9]Oct midyear adj_OJJ'!$K15</f>
        <v>21.194332043496722</v>
      </c>
      <c r="R16" s="678">
        <f t="shared" si="23"/>
        <v>29846.090490733641</v>
      </c>
      <c r="S16" s="678">
        <f t="shared" si="24"/>
        <v>2487</v>
      </c>
      <c r="T16" s="679">
        <f t="shared" si="25"/>
        <v>92107.962292500568</v>
      </c>
      <c r="U16" s="652"/>
      <c r="V16" s="1883"/>
      <c r="W16" s="679">
        <f t="shared" si="26"/>
        <v>7681</v>
      </c>
    </row>
    <row r="17" spans="1:23">
      <c r="A17" s="646">
        <v>11</v>
      </c>
      <c r="B17" s="647" t="s">
        <v>112</v>
      </c>
      <c r="C17" s="648">
        <f>'[10]Summary for MFP'!$E17</f>
        <v>0</v>
      </c>
      <c r="D17" s="649">
        <f>'Table 3 Levels 1&amp;2'!AP18</f>
        <v>7446.6673448893916</v>
      </c>
      <c r="E17" s="649">
        <f t="shared" si="15"/>
        <v>9802.6750924250173</v>
      </c>
      <c r="F17" s="649">
        <f t="shared" si="16"/>
        <v>11273.022484287212</v>
      </c>
      <c r="G17" s="650">
        <f t="shared" si="17"/>
        <v>0</v>
      </c>
      <c r="H17" s="651"/>
      <c r="I17" s="1305">
        <f>'[9]Oct midyear adj_OJJ'!$I16</f>
        <v>0</v>
      </c>
      <c r="J17" s="650">
        <f t="shared" si="18"/>
        <v>0</v>
      </c>
      <c r="K17" s="650">
        <f t="shared" si="19"/>
        <v>0</v>
      </c>
      <c r="L17" s="653">
        <f>'Table 3 Levels 1&amp;2'!AS18</f>
        <v>5077659.8</v>
      </c>
      <c r="M17" s="654">
        <f>'Table 3 Levels 1&amp;2'!C18</f>
        <v>1577</v>
      </c>
      <c r="N17" s="654">
        <f t="shared" si="20"/>
        <v>1577</v>
      </c>
      <c r="O17" s="655">
        <f t="shared" si="21"/>
        <v>3219.8223208623967</v>
      </c>
      <c r="P17" s="656">
        <f t="shared" si="22"/>
        <v>0</v>
      </c>
      <c r="Q17" s="1314">
        <f>'[9]Oct midyear adj_OJJ'!$K16</f>
        <v>0</v>
      </c>
      <c r="R17" s="656">
        <f t="shared" si="23"/>
        <v>0</v>
      </c>
      <c r="S17" s="656">
        <f t="shared" si="24"/>
        <v>0</v>
      </c>
      <c r="T17" s="657">
        <f t="shared" si="25"/>
        <v>0</v>
      </c>
      <c r="U17" s="651"/>
      <c r="V17" s="1883"/>
      <c r="W17" s="657">
        <f t="shared" si="26"/>
        <v>0</v>
      </c>
    </row>
    <row r="18" spans="1:23">
      <c r="A18" s="658">
        <v>12</v>
      </c>
      <c r="B18" s="659" t="s">
        <v>113</v>
      </c>
      <c r="C18" s="660">
        <f>'[10]Summary for MFP'!$E18</f>
        <v>0</v>
      </c>
      <c r="D18" s="661">
        <f>'Table 3 Levels 1&amp;2'!AP19</f>
        <v>2844.4241534693879</v>
      </c>
      <c r="E18" s="661">
        <f t="shared" si="15"/>
        <v>3744.3549590868211</v>
      </c>
      <c r="F18" s="661">
        <f t="shared" si="16"/>
        <v>5214.7023509490155</v>
      </c>
      <c r="G18" s="662">
        <f t="shared" si="17"/>
        <v>0</v>
      </c>
      <c r="H18" s="651"/>
      <c r="I18" s="1306">
        <f>'[9]Oct midyear adj_OJJ'!$I17</f>
        <v>0</v>
      </c>
      <c r="J18" s="662">
        <f t="shared" si="18"/>
        <v>0</v>
      </c>
      <c r="K18" s="662">
        <f t="shared" si="19"/>
        <v>0</v>
      </c>
      <c r="L18" s="653">
        <f>'Table 3 Levels 1&amp;2'!AS19</f>
        <v>7644074.5</v>
      </c>
      <c r="M18" s="663">
        <f>'Table 3 Levels 1&amp;2'!C19</f>
        <v>1225</v>
      </c>
      <c r="N18" s="663">
        <f t="shared" si="20"/>
        <v>1225</v>
      </c>
      <c r="O18" s="664">
        <f t="shared" si="21"/>
        <v>6240.0608163265306</v>
      </c>
      <c r="P18" s="665">
        <f t="shared" si="22"/>
        <v>0</v>
      </c>
      <c r="Q18" s="1315">
        <f>'[9]Oct midyear adj_OJJ'!$K17</f>
        <v>0</v>
      </c>
      <c r="R18" s="665">
        <f t="shared" si="23"/>
        <v>0</v>
      </c>
      <c r="S18" s="665">
        <f t="shared" si="24"/>
        <v>0</v>
      </c>
      <c r="T18" s="666">
        <f t="shared" si="25"/>
        <v>0</v>
      </c>
      <c r="U18" s="651"/>
      <c r="V18" s="1883"/>
      <c r="W18" s="666">
        <f t="shared" si="26"/>
        <v>0</v>
      </c>
    </row>
    <row r="19" spans="1:23">
      <c r="A19" s="658">
        <v>13</v>
      </c>
      <c r="B19" s="659" t="s">
        <v>114</v>
      </c>
      <c r="C19" s="660">
        <f>'[10]Summary for MFP'!$E19</f>
        <v>0</v>
      </c>
      <c r="D19" s="661">
        <f>'Table 3 Levels 1&amp;2'!AP20</f>
        <v>6874.4204826675441</v>
      </c>
      <c r="E19" s="661">
        <f t="shared" si="15"/>
        <v>9049.3783754889137</v>
      </c>
      <c r="F19" s="661">
        <f t="shared" si="16"/>
        <v>10519.725767351109</v>
      </c>
      <c r="G19" s="662">
        <f t="shared" si="17"/>
        <v>0</v>
      </c>
      <c r="H19" s="651"/>
      <c r="I19" s="1306">
        <f>'[9]Oct midyear adj_OJJ'!$I18</f>
        <v>0</v>
      </c>
      <c r="J19" s="662">
        <f t="shared" si="18"/>
        <v>0</v>
      </c>
      <c r="K19" s="662">
        <f t="shared" si="19"/>
        <v>0</v>
      </c>
      <c r="L19" s="653">
        <f>'Table 3 Levels 1&amp;2'!AS20</f>
        <v>3729922</v>
      </c>
      <c r="M19" s="663">
        <f>'Table 3 Levels 1&amp;2'!C20</f>
        <v>1519</v>
      </c>
      <c r="N19" s="663">
        <f t="shared" si="20"/>
        <v>1519</v>
      </c>
      <c r="O19" s="664">
        <f t="shared" si="21"/>
        <v>2455.5115207373274</v>
      </c>
      <c r="P19" s="665">
        <f t="shared" si="22"/>
        <v>0</v>
      </c>
      <c r="Q19" s="1315">
        <f>'[9]Oct midyear adj_OJJ'!$K18</f>
        <v>0</v>
      </c>
      <c r="R19" s="665">
        <f t="shared" si="23"/>
        <v>0</v>
      </c>
      <c r="S19" s="665">
        <f t="shared" si="24"/>
        <v>0</v>
      </c>
      <c r="T19" s="666">
        <f t="shared" si="25"/>
        <v>0</v>
      </c>
      <c r="U19" s="651"/>
      <c r="V19" s="680" t="s">
        <v>579</v>
      </c>
      <c r="W19" s="666">
        <f t="shared" si="26"/>
        <v>0</v>
      </c>
    </row>
    <row r="20" spans="1:23" ht="12.75" customHeight="1">
      <c r="A20" s="658">
        <v>14</v>
      </c>
      <c r="B20" s="659" t="s">
        <v>115</v>
      </c>
      <c r="C20" s="660">
        <f>'[10]Summary for MFP'!$E20</f>
        <v>0</v>
      </c>
      <c r="D20" s="661">
        <f>'Table 3 Levels 1&amp;2'!AP21</f>
        <v>6087.6600221205308</v>
      </c>
      <c r="E20" s="661">
        <f t="shared" si="15"/>
        <v>8013.6993511530154</v>
      </c>
      <c r="F20" s="661">
        <f t="shared" si="16"/>
        <v>9484.0467430152094</v>
      </c>
      <c r="G20" s="662">
        <f t="shared" si="17"/>
        <v>0</v>
      </c>
      <c r="H20" s="651"/>
      <c r="I20" s="1306">
        <f>'[9]Oct midyear adj_OJJ'!$I19</f>
        <v>0</v>
      </c>
      <c r="J20" s="662">
        <f t="shared" si="18"/>
        <v>0</v>
      </c>
      <c r="K20" s="662">
        <f t="shared" si="19"/>
        <v>0</v>
      </c>
      <c r="L20" s="653">
        <f>'Table 3 Levels 1&amp;2'!AS21</f>
        <v>6889052</v>
      </c>
      <c r="M20" s="663">
        <f>'Table 3 Levels 1&amp;2'!C21</f>
        <v>1958</v>
      </c>
      <c r="N20" s="663">
        <f t="shared" si="20"/>
        <v>1958</v>
      </c>
      <c r="O20" s="664">
        <f t="shared" si="21"/>
        <v>3518.4126659856997</v>
      </c>
      <c r="P20" s="665">
        <f t="shared" si="22"/>
        <v>0</v>
      </c>
      <c r="Q20" s="1315">
        <f>'[9]Oct midyear adj_OJJ'!$K19</f>
        <v>0</v>
      </c>
      <c r="R20" s="665">
        <f t="shared" si="23"/>
        <v>0</v>
      </c>
      <c r="S20" s="665">
        <f t="shared" si="24"/>
        <v>0</v>
      </c>
      <c r="T20" s="666">
        <f t="shared" si="25"/>
        <v>0</v>
      </c>
      <c r="U20" s="651"/>
      <c r="V20" s="1888" t="s">
        <v>580</v>
      </c>
      <c r="W20" s="666">
        <f t="shared" si="26"/>
        <v>0</v>
      </c>
    </row>
    <row r="21" spans="1:23">
      <c r="A21" s="669">
        <v>15</v>
      </c>
      <c r="B21" s="670" t="s">
        <v>116</v>
      </c>
      <c r="C21" s="671">
        <f>'[10]Summary for MFP'!$E21</f>
        <v>2.3279999999999998</v>
      </c>
      <c r="D21" s="672">
        <f>'Table 3 Levels 1&amp;2'!AP22</f>
        <v>5982.6927068040786</v>
      </c>
      <c r="E21" s="672">
        <f t="shared" si="15"/>
        <v>7875.5220377703408</v>
      </c>
      <c r="F21" s="672">
        <f t="shared" si="16"/>
        <v>9345.8694296325357</v>
      </c>
      <c r="G21" s="673">
        <f t="shared" si="17"/>
        <v>21757.184032184541</v>
      </c>
      <c r="H21" s="652"/>
      <c r="I21" s="1307">
        <f>'[9]Oct midyear adj_OJJ'!$I20</f>
        <v>0</v>
      </c>
      <c r="J21" s="673">
        <f t="shared" si="18"/>
        <v>21757.184032184541</v>
      </c>
      <c r="K21" s="673">
        <f t="shared" si="19"/>
        <v>1813</v>
      </c>
      <c r="L21" s="675">
        <f>'Table 3 Levels 1&amp;2'!AS22</f>
        <v>9520648.5</v>
      </c>
      <c r="M21" s="676">
        <f>'Table 3 Levels 1&amp;2'!C22</f>
        <v>3629</v>
      </c>
      <c r="N21" s="676">
        <f t="shared" si="20"/>
        <v>3631.328</v>
      </c>
      <c r="O21" s="677">
        <f t="shared" si="21"/>
        <v>2621.8090186289974</v>
      </c>
      <c r="P21" s="678">
        <f t="shared" si="22"/>
        <v>6103.5713953683053</v>
      </c>
      <c r="Q21" s="1316">
        <f>'[9]Oct midyear adj_OJJ'!$K20</f>
        <v>0</v>
      </c>
      <c r="R21" s="678">
        <f t="shared" si="23"/>
        <v>6103.5713953683053</v>
      </c>
      <c r="S21" s="678">
        <f t="shared" si="24"/>
        <v>509</v>
      </c>
      <c r="T21" s="679">
        <f t="shared" si="25"/>
        <v>27860.755427552846</v>
      </c>
      <c r="U21" s="652"/>
      <c r="V21" s="1888"/>
      <c r="W21" s="679">
        <f t="shared" si="26"/>
        <v>2322</v>
      </c>
    </row>
    <row r="22" spans="1:23">
      <c r="A22" s="646">
        <v>16</v>
      </c>
      <c r="B22" s="647" t="s">
        <v>117</v>
      </c>
      <c r="C22" s="648">
        <f>'[10]Summary for MFP'!$E22</f>
        <v>2.242569</v>
      </c>
      <c r="D22" s="649">
        <f>'Table 3 Levels 1&amp;2'!AP23</f>
        <v>2187.7762352203886</v>
      </c>
      <c r="E22" s="649">
        <f t="shared" si="15"/>
        <v>2879.9540271545229</v>
      </c>
      <c r="F22" s="649">
        <f t="shared" si="16"/>
        <v>4350.3014190167178</v>
      </c>
      <c r="G22" s="650">
        <f t="shared" si="17"/>
        <v>9755.8511029429028</v>
      </c>
      <c r="H22" s="651"/>
      <c r="I22" s="1305">
        <f>'[9]Oct midyear adj_OJJ'!$I21</f>
        <v>0</v>
      </c>
      <c r="J22" s="650">
        <f t="shared" si="18"/>
        <v>9755.8511029429028</v>
      </c>
      <c r="K22" s="650">
        <f t="shared" si="19"/>
        <v>813</v>
      </c>
      <c r="L22" s="653">
        <f>'Table 3 Levels 1&amp;2'!AS23</f>
        <v>28325344.949999999</v>
      </c>
      <c r="M22" s="654">
        <f>'Table 3 Levels 1&amp;2'!C23</f>
        <v>4787</v>
      </c>
      <c r="N22" s="654">
        <f t="shared" si="20"/>
        <v>4789.242569</v>
      </c>
      <c r="O22" s="655">
        <f t="shared" si="21"/>
        <v>5914.3684083461176</v>
      </c>
      <c r="P22" s="656">
        <f t="shared" si="22"/>
        <v>13263.379247136345</v>
      </c>
      <c r="Q22" s="1314">
        <f>'[9]Oct midyear adj_OJJ'!$K21</f>
        <v>0</v>
      </c>
      <c r="R22" s="656">
        <f t="shared" si="23"/>
        <v>13263.379247136345</v>
      </c>
      <c r="S22" s="656">
        <f t="shared" si="24"/>
        <v>1105</v>
      </c>
      <c r="T22" s="657">
        <f t="shared" si="25"/>
        <v>23019.230350079248</v>
      </c>
      <c r="U22" s="651"/>
      <c r="V22" s="1888"/>
      <c r="W22" s="657">
        <f t="shared" si="26"/>
        <v>1918</v>
      </c>
    </row>
    <row r="23" spans="1:23">
      <c r="A23" s="658">
        <v>17</v>
      </c>
      <c r="B23" s="659" t="s">
        <v>118</v>
      </c>
      <c r="C23" s="660">
        <f>'[10]Summary for MFP'!$E23</f>
        <v>39.355055</v>
      </c>
      <c r="D23" s="661">
        <f>'Table 3 Levels 1&amp;2'!AP24</f>
        <v>4187.8349826090744</v>
      </c>
      <c r="E23" s="661">
        <f t="shared" si="15"/>
        <v>5512.7997228695722</v>
      </c>
      <c r="F23" s="661">
        <f t="shared" si="16"/>
        <v>6983.147114731767</v>
      </c>
      <c r="G23" s="662">
        <f t="shared" si="17"/>
        <v>274822.13877336</v>
      </c>
      <c r="H23" s="651"/>
      <c r="I23" s="1306">
        <f>'[9]Oct midyear adj_OJJ'!$I22</f>
        <v>249.81926343778414</v>
      </c>
      <c r="J23" s="662">
        <f t="shared" si="18"/>
        <v>275071.95803679776</v>
      </c>
      <c r="K23" s="662">
        <f t="shared" si="19"/>
        <v>22923</v>
      </c>
      <c r="L23" s="653">
        <f>'Table 3 Levels 1&amp;2'!AS24</f>
        <v>198980800.59999999</v>
      </c>
      <c r="M23" s="663">
        <f>'Table 3 Levels 1&amp;2'!C24</f>
        <v>43750</v>
      </c>
      <c r="N23" s="663">
        <f t="shared" si="20"/>
        <v>43789.355055</v>
      </c>
      <c r="O23" s="664">
        <f t="shared" si="21"/>
        <v>4544.0450161934905</v>
      </c>
      <c r="P23" s="665">
        <f t="shared" si="22"/>
        <v>178831.14153477072</v>
      </c>
      <c r="Q23" s="1315">
        <f>'[9]Oct midyear adj_OJJ'!$K22</f>
        <v>169.18272097607019</v>
      </c>
      <c r="R23" s="665">
        <f t="shared" si="23"/>
        <v>179000.32425574679</v>
      </c>
      <c r="S23" s="665">
        <f t="shared" si="24"/>
        <v>14917</v>
      </c>
      <c r="T23" s="666">
        <f t="shared" si="25"/>
        <v>453653.28030813072</v>
      </c>
      <c r="U23" s="651"/>
      <c r="V23" s="652"/>
      <c r="W23" s="666">
        <f t="shared" si="26"/>
        <v>37840</v>
      </c>
    </row>
    <row r="24" spans="1:23">
      <c r="A24" s="658">
        <v>18</v>
      </c>
      <c r="B24" s="659" t="s">
        <v>119</v>
      </c>
      <c r="C24" s="660">
        <f>'[10]Summary for MFP'!$E24</f>
        <v>1.629084</v>
      </c>
      <c r="D24" s="661">
        <f>'Table 3 Levels 1&amp;2'!AP25</f>
        <v>6641.1505403331139</v>
      </c>
      <c r="E24" s="661">
        <f t="shared" si="15"/>
        <v>8742.3055135458508</v>
      </c>
      <c r="F24" s="661">
        <f t="shared" si="16"/>
        <v>10212.652905408046</v>
      </c>
      <c r="G24" s="662">
        <f t="shared" si="17"/>
        <v>16637.269445753762</v>
      </c>
      <c r="H24" s="651"/>
      <c r="I24" s="1306">
        <f>'[9]Oct midyear adj_OJJ'!$I23</f>
        <v>0</v>
      </c>
      <c r="J24" s="662">
        <f t="shared" si="18"/>
        <v>16637.269445753762</v>
      </c>
      <c r="K24" s="662">
        <f t="shared" si="19"/>
        <v>1386</v>
      </c>
      <c r="L24" s="653">
        <f>'Table 3 Levels 1&amp;2'!AS25</f>
        <v>2070491.5</v>
      </c>
      <c r="M24" s="663">
        <f>'Table 3 Levels 1&amp;2'!C25</f>
        <v>1145</v>
      </c>
      <c r="N24" s="663">
        <f t="shared" si="20"/>
        <v>1146.6290839999999</v>
      </c>
      <c r="O24" s="664">
        <f t="shared" si="21"/>
        <v>1805.7203753956062</v>
      </c>
      <c r="P24" s="665">
        <f t="shared" si="22"/>
        <v>2941.6701720309757</v>
      </c>
      <c r="Q24" s="1315">
        <f>'[9]Oct midyear adj_OJJ'!$K23</f>
        <v>0</v>
      </c>
      <c r="R24" s="665">
        <f t="shared" si="23"/>
        <v>2941.6701720309757</v>
      </c>
      <c r="S24" s="665">
        <f t="shared" si="24"/>
        <v>245</v>
      </c>
      <c r="T24" s="666">
        <f t="shared" si="25"/>
        <v>19578.939617784737</v>
      </c>
      <c r="U24" s="651"/>
      <c r="V24" s="652"/>
      <c r="W24" s="666">
        <f t="shared" si="26"/>
        <v>1631</v>
      </c>
    </row>
    <row r="25" spans="1:23">
      <c r="A25" s="658">
        <v>19</v>
      </c>
      <c r="B25" s="659" t="s">
        <v>120</v>
      </c>
      <c r="C25" s="660">
        <f>'[10]Summary for MFP'!$E25</f>
        <v>0.31707299999999999</v>
      </c>
      <c r="D25" s="661">
        <f>'Table 3 Levels 1&amp;2'!AP26</f>
        <v>6124.1146698916154</v>
      </c>
      <c r="E25" s="661">
        <f t="shared" si="15"/>
        <v>8061.6876727951776</v>
      </c>
      <c r="F25" s="661">
        <f t="shared" si="16"/>
        <v>9532.0350646573715</v>
      </c>
      <c r="G25" s="662">
        <f t="shared" si="17"/>
        <v>3022.3509540561067</v>
      </c>
      <c r="H25" s="651"/>
      <c r="I25" s="1306">
        <f>'[9]Oct midyear adj_OJJ'!$I24</f>
        <v>0</v>
      </c>
      <c r="J25" s="662">
        <f t="shared" si="18"/>
        <v>3022.3509540561067</v>
      </c>
      <c r="K25" s="662">
        <f t="shared" si="19"/>
        <v>252</v>
      </c>
      <c r="L25" s="653">
        <f>'Table 3 Levels 1&amp;2'!AS26</f>
        <v>4434446</v>
      </c>
      <c r="M25" s="663">
        <f>'Table 3 Levels 1&amp;2'!C26</f>
        <v>1956</v>
      </c>
      <c r="N25" s="663">
        <f t="shared" si="20"/>
        <v>1956.3170729999999</v>
      </c>
      <c r="O25" s="664">
        <f t="shared" si="21"/>
        <v>2266.7317385314259</v>
      </c>
      <c r="P25" s="665">
        <f t="shared" si="22"/>
        <v>718.71943253137476</v>
      </c>
      <c r="Q25" s="1315">
        <f>'[9]Oct midyear adj_OJJ'!$K24</f>
        <v>0</v>
      </c>
      <c r="R25" s="665">
        <f t="shared" si="23"/>
        <v>718.71943253137476</v>
      </c>
      <c r="S25" s="665">
        <f t="shared" si="24"/>
        <v>60</v>
      </c>
      <c r="T25" s="666">
        <f t="shared" si="25"/>
        <v>3741.0703865874816</v>
      </c>
      <c r="U25" s="651"/>
      <c r="V25" s="652"/>
      <c r="W25" s="666">
        <f t="shared" si="26"/>
        <v>312</v>
      </c>
    </row>
    <row r="26" spans="1:23">
      <c r="A26" s="669">
        <v>20</v>
      </c>
      <c r="B26" s="670" t="s">
        <v>121</v>
      </c>
      <c r="C26" s="671">
        <f>'[10]Summary for MFP'!$E26</f>
        <v>4.6866770000000004</v>
      </c>
      <c r="D26" s="672">
        <f>'Table 3 Levels 1&amp;2'!AP27</f>
        <v>6027.8593240749269</v>
      </c>
      <c r="E26" s="672">
        <f t="shared" si="15"/>
        <v>7934.9786582455254</v>
      </c>
      <c r="F26" s="672">
        <f t="shared" si="16"/>
        <v>9405.3260501077202</v>
      </c>
      <c r="G26" s="673">
        <f t="shared" si="17"/>
        <v>44079.725276540703</v>
      </c>
      <c r="H26" s="652"/>
      <c r="I26" s="1307">
        <f>'[9]Oct midyear adj_OJJ'!$I25</f>
        <v>-909.54763781475037</v>
      </c>
      <c r="J26" s="673">
        <f t="shared" si="18"/>
        <v>43170.177638725952</v>
      </c>
      <c r="K26" s="673">
        <f t="shared" si="19"/>
        <v>3598</v>
      </c>
      <c r="L26" s="675">
        <f>'Table 3 Levels 1&amp;2'!AS27</f>
        <v>13070209.5</v>
      </c>
      <c r="M26" s="676">
        <f>'Table 3 Levels 1&amp;2'!C27</f>
        <v>5819</v>
      </c>
      <c r="N26" s="676">
        <f t="shared" si="20"/>
        <v>5823.6866769999997</v>
      </c>
      <c r="O26" s="677">
        <f t="shared" si="21"/>
        <v>2244.3188009443111</v>
      </c>
      <c r="P26" s="678">
        <f t="shared" si="22"/>
        <v>10518.397305053282</v>
      </c>
      <c r="Q26" s="1316">
        <f>'[9]Oct midyear adj_OJJ'!$K25</f>
        <v>-216.87780754017336</v>
      </c>
      <c r="R26" s="678">
        <f t="shared" si="23"/>
        <v>10301.519497513109</v>
      </c>
      <c r="S26" s="678">
        <f t="shared" si="24"/>
        <v>858</v>
      </c>
      <c r="T26" s="679">
        <f t="shared" si="25"/>
        <v>54598.122581593983</v>
      </c>
      <c r="U26" s="652"/>
      <c r="V26" s="652"/>
      <c r="W26" s="679">
        <f t="shared" si="26"/>
        <v>4456</v>
      </c>
    </row>
    <row r="27" spans="1:23">
      <c r="A27" s="646">
        <v>21</v>
      </c>
      <c r="B27" s="647" t="s">
        <v>122</v>
      </c>
      <c r="C27" s="648">
        <f>'[10]Summary for MFP'!$E27</f>
        <v>4.0270669999999997</v>
      </c>
      <c r="D27" s="649">
        <f>'Table 3 Levels 1&amp;2'!AP28</f>
        <v>6326.5027633562577</v>
      </c>
      <c r="E27" s="649">
        <f t="shared" si="15"/>
        <v>8328.1081574124746</v>
      </c>
      <c r="F27" s="649">
        <f t="shared" si="16"/>
        <v>9798.4555492746695</v>
      </c>
      <c r="G27" s="650">
        <f t="shared" si="17"/>
        <v>39459.036993450893</v>
      </c>
      <c r="H27" s="651"/>
      <c r="I27" s="1305">
        <f>'[9]Oct midyear adj_OJJ'!$I26</f>
        <v>0</v>
      </c>
      <c r="J27" s="650">
        <f t="shared" si="18"/>
        <v>39459.036993450893</v>
      </c>
      <c r="K27" s="650">
        <f t="shared" si="19"/>
        <v>3288</v>
      </c>
      <c r="L27" s="653">
        <f>'Table 3 Levels 1&amp;2'!AS28</f>
        <v>6174410.5</v>
      </c>
      <c r="M27" s="654">
        <f>'Table 3 Levels 1&amp;2'!C28</f>
        <v>3038</v>
      </c>
      <c r="N27" s="654">
        <f t="shared" si="20"/>
        <v>3042.027067</v>
      </c>
      <c r="O27" s="655">
        <f t="shared" si="21"/>
        <v>2029.702683115541</v>
      </c>
      <c r="P27" s="656">
        <f t="shared" si="22"/>
        <v>8173.7486949860522</v>
      </c>
      <c r="Q27" s="1314">
        <f>'[9]Oct midyear adj_OJJ'!$K26</f>
        <v>0</v>
      </c>
      <c r="R27" s="656">
        <f t="shared" si="23"/>
        <v>8173.7486949860522</v>
      </c>
      <c r="S27" s="656">
        <f t="shared" si="24"/>
        <v>681</v>
      </c>
      <c r="T27" s="657">
        <f t="shared" si="25"/>
        <v>47632.785688436947</v>
      </c>
      <c r="U27" s="651"/>
      <c r="V27" s="652"/>
      <c r="W27" s="657">
        <f t="shared" si="26"/>
        <v>3969</v>
      </c>
    </row>
    <row r="28" spans="1:23">
      <c r="A28" s="658">
        <v>22</v>
      </c>
      <c r="B28" s="659" t="s">
        <v>123</v>
      </c>
      <c r="C28" s="660">
        <f>'[10]Summary for MFP'!$E28</f>
        <v>0.22764200000000001</v>
      </c>
      <c r="D28" s="661">
        <f>'Table 3 Levels 1&amp;2'!AP29</f>
        <v>6695.0387203547707</v>
      </c>
      <c r="E28" s="661">
        <f t="shared" si="15"/>
        <v>8813.2430612579756</v>
      </c>
      <c r="F28" s="661">
        <f t="shared" si="16"/>
        <v>10283.59045312017</v>
      </c>
      <c r="G28" s="662">
        <f t="shared" si="17"/>
        <v>2340.977097929182</v>
      </c>
      <c r="H28" s="651"/>
      <c r="I28" s="1306">
        <f>'[9]Oct midyear adj_OJJ'!$I27</f>
        <v>0</v>
      </c>
      <c r="J28" s="662">
        <f t="shared" si="18"/>
        <v>2340.977097929182</v>
      </c>
      <c r="K28" s="662">
        <f t="shared" si="19"/>
        <v>195</v>
      </c>
      <c r="L28" s="653">
        <f>'Table 3 Levels 1&amp;2'!AS29</f>
        <v>5165748</v>
      </c>
      <c r="M28" s="663">
        <f>'Table 3 Levels 1&amp;2'!C29</f>
        <v>3281</v>
      </c>
      <c r="N28" s="663">
        <f t="shared" si="20"/>
        <v>3281.2276419999998</v>
      </c>
      <c r="O28" s="664">
        <f t="shared" si="21"/>
        <v>1574.3339273014694</v>
      </c>
      <c r="P28" s="665">
        <f t="shared" si="22"/>
        <v>358.38452387876112</v>
      </c>
      <c r="Q28" s="1315">
        <f>'[9]Oct midyear adj_OJJ'!$K27</f>
        <v>0</v>
      </c>
      <c r="R28" s="665">
        <f t="shared" si="23"/>
        <v>358.38452387876112</v>
      </c>
      <c r="S28" s="665">
        <f t="shared" si="24"/>
        <v>30</v>
      </c>
      <c r="T28" s="666">
        <f t="shared" si="25"/>
        <v>2699.3616218079433</v>
      </c>
      <c r="U28" s="651"/>
      <c r="V28" s="652"/>
      <c r="W28" s="666">
        <f t="shared" si="26"/>
        <v>225</v>
      </c>
    </row>
    <row r="29" spans="1:23">
      <c r="A29" s="658">
        <v>23</v>
      </c>
      <c r="B29" s="659" t="s">
        <v>124</v>
      </c>
      <c r="C29" s="660">
        <f>'[10]Summary for MFP'!$E29</f>
        <v>6.0642379999999996</v>
      </c>
      <c r="D29" s="661">
        <f>'Table 3 Levels 1&amp;2'!AP30</f>
        <v>5496.9755485380147</v>
      </c>
      <c r="E29" s="661">
        <f t="shared" si="15"/>
        <v>7236.131654290155</v>
      </c>
      <c r="F29" s="661">
        <f t="shared" si="16"/>
        <v>8706.4790461523498</v>
      </c>
      <c r="G29" s="662">
        <f t="shared" si="17"/>
        <v>52798.161077880832</v>
      </c>
      <c r="H29" s="651"/>
      <c r="I29" s="1306">
        <f>'[9]Oct midyear adj_OJJ'!$I28</f>
        <v>-26.321677658678428</v>
      </c>
      <c r="J29" s="662">
        <f t="shared" si="18"/>
        <v>52771.839400222154</v>
      </c>
      <c r="K29" s="662">
        <f t="shared" si="19"/>
        <v>4398</v>
      </c>
      <c r="L29" s="653">
        <f>'Table 3 Levels 1&amp;2'!AS30</f>
        <v>41817240</v>
      </c>
      <c r="M29" s="663">
        <f>'Table 3 Levels 1&amp;2'!C30</f>
        <v>13367</v>
      </c>
      <c r="N29" s="663">
        <f t="shared" si="20"/>
        <v>13373.064238000001</v>
      </c>
      <c r="O29" s="664">
        <f t="shared" si="21"/>
        <v>3126.9751835316051</v>
      </c>
      <c r="P29" s="665">
        <f t="shared" si="22"/>
        <v>18962.721733029332</v>
      </c>
      <c r="Q29" s="1315">
        <f>'[9]Oct midyear adj_OJJ'!$K28</f>
        <v>-9.2579137328713692</v>
      </c>
      <c r="R29" s="665">
        <f t="shared" si="23"/>
        <v>18953.463819296459</v>
      </c>
      <c r="S29" s="665">
        <f t="shared" si="24"/>
        <v>1579</v>
      </c>
      <c r="T29" s="666">
        <f t="shared" si="25"/>
        <v>71760.88281091016</v>
      </c>
      <c r="U29" s="651"/>
      <c r="V29" s="652"/>
      <c r="W29" s="666">
        <f t="shared" si="26"/>
        <v>5977</v>
      </c>
    </row>
    <row r="30" spans="1:23">
      <c r="A30" s="658">
        <v>24</v>
      </c>
      <c r="B30" s="659" t="s">
        <v>125</v>
      </c>
      <c r="C30" s="660">
        <f>'[10]Summary for MFP'!$E30</f>
        <v>1.872987</v>
      </c>
      <c r="D30" s="661">
        <f>'Table 3 Levels 1&amp;2'!AP31</f>
        <v>3503.8380218798839</v>
      </c>
      <c r="E30" s="661">
        <f t="shared" si="15"/>
        <v>4612.3969440565697</v>
      </c>
      <c r="F30" s="661">
        <f t="shared" si="16"/>
        <v>6082.7443359187646</v>
      </c>
      <c r="G30" s="662">
        <f t="shared" si="17"/>
        <v>11392.901065499478</v>
      </c>
      <c r="H30" s="651"/>
      <c r="I30" s="1306">
        <f>'[9]Oct midyear adj_OJJ'!$I29</f>
        <v>0</v>
      </c>
      <c r="J30" s="662">
        <f t="shared" si="18"/>
        <v>11392.901065499478</v>
      </c>
      <c r="K30" s="662">
        <f t="shared" si="19"/>
        <v>949</v>
      </c>
      <c r="L30" s="653">
        <f>'Table 3 Levels 1&amp;2'!AS31</f>
        <v>23978733.100000001</v>
      </c>
      <c r="M30" s="663">
        <f>'Table 3 Levels 1&amp;2'!C31</f>
        <v>4479</v>
      </c>
      <c r="N30" s="663">
        <f t="shared" si="20"/>
        <v>4480.8729869999997</v>
      </c>
      <c r="O30" s="664">
        <f t="shared" si="21"/>
        <v>5351.3529996426123</v>
      </c>
      <c r="P30" s="665">
        <f t="shared" si="22"/>
        <v>10023.014600741617</v>
      </c>
      <c r="Q30" s="1315">
        <f>'[9]Oct midyear adj_OJJ'!$K29</f>
        <v>0</v>
      </c>
      <c r="R30" s="665">
        <f t="shared" si="23"/>
        <v>10023.014600741617</v>
      </c>
      <c r="S30" s="665">
        <f t="shared" si="24"/>
        <v>835</v>
      </c>
      <c r="T30" s="666">
        <f t="shared" si="25"/>
        <v>21415.915666241097</v>
      </c>
      <c r="U30" s="651"/>
      <c r="V30" s="652"/>
      <c r="W30" s="666">
        <f t="shared" si="26"/>
        <v>1784</v>
      </c>
    </row>
    <row r="31" spans="1:23">
      <c r="A31" s="669">
        <v>25</v>
      </c>
      <c r="B31" s="670" t="s">
        <v>126</v>
      </c>
      <c r="C31" s="671">
        <f>'[10]Summary for MFP'!$E31</f>
        <v>0.39566400000000002</v>
      </c>
      <c r="D31" s="672">
        <f>'Table 3 Levels 1&amp;2'!AP32</f>
        <v>4502.0636316073678</v>
      </c>
      <c r="E31" s="672">
        <f t="shared" si="15"/>
        <v>5926.4453455622415</v>
      </c>
      <c r="F31" s="672">
        <f t="shared" si="16"/>
        <v>7396.7927374244364</v>
      </c>
      <c r="G31" s="673">
        <f t="shared" si="17"/>
        <v>2926.6446016603022</v>
      </c>
      <c r="H31" s="652"/>
      <c r="I31" s="1307">
        <f>'[9]Oct midyear adj_OJJ'!$I30</f>
        <v>0</v>
      </c>
      <c r="J31" s="673">
        <f t="shared" si="18"/>
        <v>2926.6446016603022</v>
      </c>
      <c r="K31" s="673">
        <f t="shared" si="19"/>
        <v>244</v>
      </c>
      <c r="L31" s="675">
        <f>'Table 3 Levels 1&amp;2'!AS32</f>
        <v>9715997.4000000004</v>
      </c>
      <c r="M31" s="676">
        <f>'Table 3 Levels 1&amp;2'!C32</f>
        <v>2226</v>
      </c>
      <c r="N31" s="676">
        <f t="shared" si="20"/>
        <v>2226.3956640000001</v>
      </c>
      <c r="O31" s="677">
        <f t="shared" si="21"/>
        <v>4364.0030193662824</v>
      </c>
      <c r="P31" s="678">
        <f t="shared" si="22"/>
        <v>1726.6788906545407</v>
      </c>
      <c r="Q31" s="1316">
        <f>'[9]Oct midyear adj_OJJ'!$K30</f>
        <v>0</v>
      </c>
      <c r="R31" s="678">
        <f t="shared" si="23"/>
        <v>1726.6788906545407</v>
      </c>
      <c r="S31" s="678">
        <f t="shared" si="24"/>
        <v>144</v>
      </c>
      <c r="T31" s="679">
        <f t="shared" si="25"/>
        <v>4653.323492314843</v>
      </c>
      <c r="U31" s="652"/>
      <c r="V31" s="652"/>
      <c r="W31" s="679">
        <f t="shared" si="26"/>
        <v>388</v>
      </c>
    </row>
    <row r="32" spans="1:23">
      <c r="A32" s="646">
        <v>26</v>
      </c>
      <c r="B32" s="647" t="s">
        <v>127</v>
      </c>
      <c r="C32" s="648">
        <f>'[10]Summary for MFP'!$E32</f>
        <v>34.762673999999997</v>
      </c>
      <c r="D32" s="649">
        <f>'Table 3 Levels 1&amp;2'!AP33</f>
        <v>3981.4860660479076</v>
      </c>
      <c r="E32" s="649">
        <f t="shared" si="15"/>
        <v>5241.1652733850988</v>
      </c>
      <c r="F32" s="649">
        <f t="shared" si="16"/>
        <v>6711.5126652472936</v>
      </c>
      <c r="G32" s="650">
        <f t="shared" si="17"/>
        <v>233310.12682886279</v>
      </c>
      <c r="H32" s="651"/>
      <c r="I32" s="1305">
        <f>'[9]Oct midyear adj_OJJ'!$I31</f>
        <v>1750.7460820959707</v>
      </c>
      <c r="J32" s="650">
        <f t="shared" si="18"/>
        <v>235060.87291095877</v>
      </c>
      <c r="K32" s="650">
        <f t="shared" si="19"/>
        <v>19588</v>
      </c>
      <c r="L32" s="653">
        <f>'Table 3 Levels 1&amp;2'!AS33</f>
        <v>214846459.09999999</v>
      </c>
      <c r="M32" s="654">
        <f>'Table 3 Levels 1&amp;2'!C33</f>
        <v>44347</v>
      </c>
      <c r="N32" s="654">
        <f t="shared" si="20"/>
        <v>44381.762673999998</v>
      </c>
      <c r="O32" s="655">
        <f t="shared" si="21"/>
        <v>4840.8726052213042</v>
      </c>
      <c r="P32" s="656">
        <f t="shared" si="22"/>
        <v>168281.67625083888</v>
      </c>
      <c r="Q32" s="1314">
        <f>'[9]Oct midyear adj_OJJ'!$K31</f>
        <v>1273.2061128002128</v>
      </c>
      <c r="R32" s="656">
        <f t="shared" si="23"/>
        <v>169554.8823636391</v>
      </c>
      <c r="S32" s="656">
        <f t="shared" si="24"/>
        <v>14130</v>
      </c>
      <c r="T32" s="657">
        <f t="shared" si="25"/>
        <v>401591.80307970167</v>
      </c>
      <c r="U32" s="651"/>
      <c r="V32" s="652"/>
      <c r="W32" s="657">
        <f t="shared" si="26"/>
        <v>33718</v>
      </c>
    </row>
    <row r="33" spans="1:23">
      <c r="A33" s="658">
        <v>27</v>
      </c>
      <c r="B33" s="659" t="s">
        <v>128</v>
      </c>
      <c r="C33" s="681">
        <f>'[10]Summary for MFP'!$E33</f>
        <v>2.64</v>
      </c>
      <c r="D33" s="682">
        <f>'Table 3 Levels 1&amp;2'!AP34</f>
        <v>6346.4745005001778</v>
      </c>
      <c r="E33" s="682">
        <f t="shared" si="15"/>
        <v>8354.3986362516462</v>
      </c>
      <c r="F33" s="682">
        <f t="shared" si="16"/>
        <v>9824.746028113841</v>
      </c>
      <c r="G33" s="683">
        <f t="shared" si="17"/>
        <v>25937.329514220542</v>
      </c>
      <c r="H33" s="684"/>
      <c r="I33" s="1308">
        <f>'[9]Oct midyear adj_OJJ'!$I32</f>
        <v>0</v>
      </c>
      <c r="J33" s="683">
        <f t="shared" si="18"/>
        <v>25937.329514220542</v>
      </c>
      <c r="K33" s="683">
        <f t="shared" si="19"/>
        <v>2161</v>
      </c>
      <c r="L33" s="653">
        <f>'Table 3 Levels 1&amp;2'!AS34</f>
        <v>17151807</v>
      </c>
      <c r="M33" s="686">
        <f>'Table 3 Levels 1&amp;2'!C34</f>
        <v>5614</v>
      </c>
      <c r="N33" s="686">
        <f t="shared" si="20"/>
        <v>5616.64</v>
      </c>
      <c r="O33" s="664">
        <f t="shared" si="21"/>
        <v>3053.7486824863263</v>
      </c>
      <c r="P33" s="665">
        <f t="shared" si="22"/>
        <v>8061.8965217639015</v>
      </c>
      <c r="Q33" s="1315">
        <f>'[9]Oct midyear adj_OJJ'!$K32</f>
        <v>0</v>
      </c>
      <c r="R33" s="665">
        <f t="shared" si="23"/>
        <v>8061.8965217639015</v>
      </c>
      <c r="S33" s="665">
        <f t="shared" si="24"/>
        <v>672</v>
      </c>
      <c r="T33" s="666">
        <f t="shared" si="25"/>
        <v>33999.226035984444</v>
      </c>
      <c r="U33" s="684"/>
      <c r="V33" s="685"/>
      <c r="W33" s="666">
        <f t="shared" si="26"/>
        <v>2833</v>
      </c>
    </row>
    <row r="34" spans="1:23">
      <c r="A34" s="658">
        <v>28</v>
      </c>
      <c r="B34" s="659" t="s">
        <v>129</v>
      </c>
      <c r="C34" s="681">
        <f>'[10]Summary for MFP'!$E34</f>
        <v>7.5385470000000003</v>
      </c>
      <c r="D34" s="682">
        <f>'Table 3 Levels 1&amp;2'!AP35</f>
        <v>3894.7544155219402</v>
      </c>
      <c r="E34" s="682">
        <f t="shared" si="15"/>
        <v>5126.9931006588249</v>
      </c>
      <c r="F34" s="682">
        <f t="shared" si="16"/>
        <v>6597.3404925210198</v>
      </c>
      <c r="G34" s="683">
        <f t="shared" si="17"/>
        <v>49734.361377872861</v>
      </c>
      <c r="H34" s="684"/>
      <c r="I34" s="1308">
        <f>'[9]Oct midyear adj_OJJ'!$I33</f>
        <v>0</v>
      </c>
      <c r="J34" s="683">
        <f t="shared" si="18"/>
        <v>49734.361377872861</v>
      </c>
      <c r="K34" s="683">
        <f t="shared" si="19"/>
        <v>4145</v>
      </c>
      <c r="L34" s="653">
        <f>'Table 3 Levels 1&amp;2'!AS35</f>
        <v>123549995.59999999</v>
      </c>
      <c r="M34" s="686">
        <f>'Table 3 Levels 1&amp;2'!C35</f>
        <v>29649</v>
      </c>
      <c r="N34" s="686">
        <f t="shared" si="20"/>
        <v>29656.538547</v>
      </c>
      <c r="O34" s="664">
        <f t="shared" si="21"/>
        <v>4166.0288642316309</v>
      </c>
      <c r="P34" s="665">
        <f t="shared" si="22"/>
        <v>31405.80439636677</v>
      </c>
      <c r="Q34" s="1315">
        <f>'[9]Oct midyear adj_OJJ'!$K33</f>
        <v>0</v>
      </c>
      <c r="R34" s="665">
        <f t="shared" si="23"/>
        <v>31405.80439636677</v>
      </c>
      <c r="S34" s="665">
        <f t="shared" si="24"/>
        <v>2617</v>
      </c>
      <c r="T34" s="666">
        <f t="shared" si="25"/>
        <v>81140.165774239635</v>
      </c>
      <c r="U34" s="684"/>
      <c r="V34" s="685"/>
      <c r="W34" s="666">
        <f t="shared" si="26"/>
        <v>6762</v>
      </c>
    </row>
    <row r="35" spans="1:23">
      <c r="A35" s="658">
        <v>29</v>
      </c>
      <c r="B35" s="659" t="s">
        <v>130</v>
      </c>
      <c r="C35" s="681">
        <f>'[10]Summary for MFP'!$E35</f>
        <v>18.863023999999999</v>
      </c>
      <c r="D35" s="682">
        <f>'Table 3 Levels 1&amp;2'!AP36</f>
        <v>4699.4957126061545</v>
      </c>
      <c r="E35" s="682">
        <f t="shared" si="15"/>
        <v>6186.3418137696835</v>
      </c>
      <c r="F35" s="682">
        <f t="shared" si="16"/>
        <v>7656.6892056318784</v>
      </c>
      <c r="G35" s="683">
        <f t="shared" si="17"/>
        <v>144428.31224637505</v>
      </c>
      <c r="H35" s="684"/>
      <c r="I35" s="1308">
        <f>'[9]Oct midyear adj_OJJ'!$I34</f>
        <v>-306.57326769710357</v>
      </c>
      <c r="J35" s="683">
        <f t="shared" si="18"/>
        <v>144121.73897867795</v>
      </c>
      <c r="K35" s="683">
        <f t="shared" si="19"/>
        <v>12010</v>
      </c>
      <c r="L35" s="653">
        <f>'Table 3 Levels 1&amp;2'!AS36</f>
        <v>48842296.100000001</v>
      </c>
      <c r="M35" s="686">
        <f>'Table 3 Levels 1&amp;2'!C36</f>
        <v>13586</v>
      </c>
      <c r="N35" s="686">
        <f t="shared" si="20"/>
        <v>13604.863024</v>
      </c>
      <c r="O35" s="664">
        <f t="shared" si="21"/>
        <v>3590.0615841437375</v>
      </c>
      <c r="P35" s="665">
        <f t="shared" si="22"/>
        <v>67719.417823181342</v>
      </c>
      <c r="Q35" s="1315">
        <f>'[9]Oct midyear adj_OJJ'!$K34</f>
        <v>-132.57561638622104</v>
      </c>
      <c r="R35" s="665">
        <f t="shared" si="23"/>
        <v>67586.842206795118</v>
      </c>
      <c r="S35" s="665">
        <f t="shared" si="24"/>
        <v>5632</v>
      </c>
      <c r="T35" s="666">
        <f t="shared" si="25"/>
        <v>212147.73006955639</v>
      </c>
      <c r="U35" s="684"/>
      <c r="V35" s="685"/>
      <c r="W35" s="666">
        <f t="shared" si="26"/>
        <v>17642</v>
      </c>
    </row>
    <row r="36" spans="1:23">
      <c r="A36" s="669">
        <v>30</v>
      </c>
      <c r="B36" s="670" t="s">
        <v>131</v>
      </c>
      <c r="C36" s="687">
        <f>'[10]Summary for MFP'!$E36</f>
        <v>0</v>
      </c>
      <c r="D36" s="688">
        <f>'Table 3 Levels 1&amp;2'!AP37</f>
        <v>6321.9422628216744</v>
      </c>
      <c r="E36" s="688">
        <f t="shared" si="15"/>
        <v>8322.1047866522604</v>
      </c>
      <c r="F36" s="688">
        <f t="shared" si="16"/>
        <v>9792.4521785144552</v>
      </c>
      <c r="G36" s="689">
        <f t="shared" si="17"/>
        <v>0</v>
      </c>
      <c r="H36" s="685"/>
      <c r="I36" s="1309">
        <f>'[9]Oct midyear adj_OJJ'!$I35</f>
        <v>0</v>
      </c>
      <c r="J36" s="689">
        <f t="shared" si="18"/>
        <v>0</v>
      </c>
      <c r="K36" s="689">
        <f t="shared" si="19"/>
        <v>0</v>
      </c>
      <c r="L36" s="675">
        <f>'Table 3 Levels 1&amp;2'!AS37</f>
        <v>7293681.4000000004</v>
      </c>
      <c r="M36" s="690">
        <f>'Table 3 Levels 1&amp;2'!C37</f>
        <v>2436</v>
      </c>
      <c r="N36" s="690">
        <f t="shared" si="20"/>
        <v>2436</v>
      </c>
      <c r="O36" s="677">
        <f t="shared" si="21"/>
        <v>2994.1220853858786</v>
      </c>
      <c r="P36" s="678">
        <f t="shared" si="22"/>
        <v>0</v>
      </c>
      <c r="Q36" s="1316">
        <f>'[9]Oct midyear adj_OJJ'!$K35</f>
        <v>0</v>
      </c>
      <c r="R36" s="678">
        <f t="shared" si="23"/>
        <v>0</v>
      </c>
      <c r="S36" s="678">
        <f t="shared" si="24"/>
        <v>0</v>
      </c>
      <c r="T36" s="679">
        <f t="shared" si="25"/>
        <v>0</v>
      </c>
      <c r="U36" s="685"/>
      <c r="V36" s="685"/>
      <c r="W36" s="679">
        <f t="shared" si="26"/>
        <v>0</v>
      </c>
    </row>
    <row r="37" spans="1:23">
      <c r="A37" s="646">
        <v>31</v>
      </c>
      <c r="B37" s="647" t="s">
        <v>132</v>
      </c>
      <c r="C37" s="691">
        <f>'[10]Summary for MFP'!$E37</f>
        <v>1.496</v>
      </c>
      <c r="D37" s="692">
        <f>'Table 3 Levels 1&amp;2'!AP38</f>
        <v>4780.3858673700497</v>
      </c>
      <c r="E37" s="692">
        <f t="shared" si="15"/>
        <v>6292.8243338826078</v>
      </c>
      <c r="F37" s="692">
        <f t="shared" si="16"/>
        <v>7763.1717257448026</v>
      </c>
      <c r="G37" s="693">
        <f t="shared" si="17"/>
        <v>11613.704901714225</v>
      </c>
      <c r="H37" s="684"/>
      <c r="I37" s="1310">
        <f>'[9]Oct midyear adj_OJJ'!$I36</f>
        <v>-712.28452504350162</v>
      </c>
      <c r="J37" s="693">
        <f t="shared" si="18"/>
        <v>10901.420376670723</v>
      </c>
      <c r="K37" s="693">
        <f t="shared" si="19"/>
        <v>908</v>
      </c>
      <c r="L37" s="653">
        <f>'Table 3 Levels 1&amp;2'!AS38</f>
        <v>24262314</v>
      </c>
      <c r="M37" s="694">
        <f>'Table 3 Levels 1&amp;2'!C38</f>
        <v>6464</v>
      </c>
      <c r="N37" s="694">
        <f t="shared" si="20"/>
        <v>6465.4960000000001</v>
      </c>
      <c r="O37" s="655">
        <f t="shared" si="21"/>
        <v>3752.5835604878575</v>
      </c>
      <c r="P37" s="656">
        <f t="shared" si="22"/>
        <v>5613.8650064898347</v>
      </c>
      <c r="Q37" s="1314">
        <f>'[9]Oct midyear adj_OJJ'!$K36</f>
        <v>-337.6427002562337</v>
      </c>
      <c r="R37" s="656">
        <f t="shared" si="23"/>
        <v>5276.2223062336006</v>
      </c>
      <c r="S37" s="656">
        <f t="shared" si="24"/>
        <v>440</v>
      </c>
      <c r="T37" s="657">
        <f t="shared" si="25"/>
        <v>17227.569908204059</v>
      </c>
      <c r="U37" s="684"/>
      <c r="V37" s="685"/>
      <c r="W37" s="657">
        <f t="shared" si="26"/>
        <v>1348</v>
      </c>
    </row>
    <row r="38" spans="1:23">
      <c r="A38" s="658">
        <v>32</v>
      </c>
      <c r="B38" s="659" t="s">
        <v>133</v>
      </c>
      <c r="C38" s="681">
        <f>'[10]Summary for MFP'!$E38</f>
        <v>3.2524009999999999</v>
      </c>
      <c r="D38" s="682">
        <f>'Table 3 Levels 1&amp;2'!AP39</f>
        <v>6034.7511328697501</v>
      </c>
      <c r="E38" s="682">
        <f t="shared" si="15"/>
        <v>7944.0509263200665</v>
      </c>
      <c r="F38" s="682">
        <f t="shared" si="16"/>
        <v>9414.3983181822623</v>
      </c>
      <c r="G38" s="683">
        <f t="shared" si="17"/>
        <v>30619.398504454308</v>
      </c>
      <c r="H38" s="684"/>
      <c r="I38" s="1308">
        <f>'[9]Oct midyear adj_OJJ'!$I37</f>
        <v>0</v>
      </c>
      <c r="J38" s="683">
        <f t="shared" si="18"/>
        <v>30619.398504454308</v>
      </c>
      <c r="K38" s="683">
        <f t="shared" si="19"/>
        <v>2552</v>
      </c>
      <c r="L38" s="653">
        <f>'Table 3 Levels 1&amp;2'!AS39</f>
        <v>47078718.5</v>
      </c>
      <c r="M38" s="686">
        <f>'Table 3 Levels 1&amp;2'!C39</f>
        <v>24453</v>
      </c>
      <c r="N38" s="686">
        <f t="shared" si="20"/>
        <v>24456.252401000002</v>
      </c>
      <c r="O38" s="664">
        <f t="shared" si="21"/>
        <v>1925.0176898761063</v>
      </c>
      <c r="P38" s="665">
        <f t="shared" si="22"/>
        <v>6260.9294595707379</v>
      </c>
      <c r="Q38" s="1315">
        <f>'[9]Oct midyear adj_OJJ'!$K37</f>
        <v>0</v>
      </c>
      <c r="R38" s="665">
        <f t="shared" si="23"/>
        <v>6260.9294595707379</v>
      </c>
      <c r="S38" s="665">
        <f t="shared" si="24"/>
        <v>522</v>
      </c>
      <c r="T38" s="666">
        <f t="shared" si="25"/>
        <v>36880.327964025048</v>
      </c>
      <c r="U38" s="684"/>
      <c r="V38" s="685"/>
      <c r="W38" s="666">
        <f t="shared" si="26"/>
        <v>3074</v>
      </c>
    </row>
    <row r="39" spans="1:23">
      <c r="A39" s="658">
        <v>33</v>
      </c>
      <c r="B39" s="659" t="s">
        <v>134</v>
      </c>
      <c r="C39" s="681">
        <f>'[10]Summary for MFP'!$E39</f>
        <v>5.1424180000000002</v>
      </c>
      <c r="D39" s="682">
        <f>'Table 3 Levels 1&amp;2'!AP40</f>
        <v>6044.4994924392777</v>
      </c>
      <c r="E39" s="682">
        <f t="shared" si="15"/>
        <v>7956.8835126460544</v>
      </c>
      <c r="F39" s="682">
        <f t="shared" si="16"/>
        <v>9427.2309045082493</v>
      </c>
      <c r="G39" s="683">
        <f t="shared" si="17"/>
        <v>48478.761893499504</v>
      </c>
      <c r="H39" s="684"/>
      <c r="I39" s="1308">
        <f>'[9]Oct midyear adj_OJJ'!$I38</f>
        <v>0</v>
      </c>
      <c r="J39" s="683">
        <f t="shared" si="18"/>
        <v>48478.761893499504</v>
      </c>
      <c r="K39" s="683">
        <f t="shared" si="19"/>
        <v>4040</v>
      </c>
      <c r="L39" s="653">
        <f>'Table 3 Levels 1&amp;2'!AS40</f>
        <v>5533546.5</v>
      </c>
      <c r="M39" s="686">
        <f>'Table 3 Levels 1&amp;2'!C40</f>
        <v>1999</v>
      </c>
      <c r="N39" s="686">
        <f t="shared" si="20"/>
        <v>2004.1424179999999</v>
      </c>
      <c r="O39" s="664">
        <f t="shared" si="21"/>
        <v>2761.054529010024</v>
      </c>
      <c r="P39" s="665">
        <f t="shared" si="22"/>
        <v>14198.496508962669</v>
      </c>
      <c r="Q39" s="1315">
        <f>'[9]Oct midyear adj_OJJ'!$K38</f>
        <v>0</v>
      </c>
      <c r="R39" s="665">
        <f t="shared" si="23"/>
        <v>14198.496508962669</v>
      </c>
      <c r="S39" s="665">
        <f t="shared" si="24"/>
        <v>1183</v>
      </c>
      <c r="T39" s="666">
        <f t="shared" si="25"/>
        <v>62677.258402462176</v>
      </c>
      <c r="U39" s="684"/>
      <c r="V39" s="685"/>
      <c r="W39" s="666">
        <f t="shared" si="26"/>
        <v>5223</v>
      </c>
    </row>
    <row r="40" spans="1:23">
      <c r="A40" s="658">
        <v>34</v>
      </c>
      <c r="B40" s="659" t="s">
        <v>135</v>
      </c>
      <c r="C40" s="681">
        <f>'[10]Summary for MFP'!$E40</f>
        <v>2.077636</v>
      </c>
      <c r="D40" s="682">
        <f>'Table 3 Levels 1&amp;2'!AP41</f>
        <v>6487.9994010417822</v>
      </c>
      <c r="E40" s="682">
        <f t="shared" si="15"/>
        <v>8540.6997765126289</v>
      </c>
      <c r="F40" s="682">
        <f t="shared" si="16"/>
        <v>10011.047168374824</v>
      </c>
      <c r="G40" s="683">
        <f t="shared" si="17"/>
        <v>20799.311994713597</v>
      </c>
      <c r="H40" s="684"/>
      <c r="I40" s="1308">
        <f>'[9]Oct midyear adj_OJJ'!$I39</f>
        <v>0</v>
      </c>
      <c r="J40" s="683">
        <f t="shared" si="18"/>
        <v>20799.311994713597</v>
      </c>
      <c r="K40" s="683">
        <f t="shared" si="19"/>
        <v>1733</v>
      </c>
      <c r="L40" s="653">
        <f>'Table 3 Levels 1&amp;2'!AS41</f>
        <v>12102443</v>
      </c>
      <c r="M40" s="686">
        <f>'Table 3 Levels 1&amp;2'!C41</f>
        <v>4334</v>
      </c>
      <c r="N40" s="686">
        <f t="shared" si="20"/>
        <v>4336.077636</v>
      </c>
      <c r="O40" s="664">
        <f t="shared" si="21"/>
        <v>2791.1038537502791</v>
      </c>
      <c r="P40" s="665">
        <f t="shared" si="22"/>
        <v>5798.8978462903151</v>
      </c>
      <c r="Q40" s="1315">
        <f>'[9]Oct midyear adj_OJJ'!$K39</f>
        <v>0</v>
      </c>
      <c r="R40" s="665">
        <f t="shared" si="23"/>
        <v>5798.8978462903151</v>
      </c>
      <c r="S40" s="665">
        <f t="shared" si="24"/>
        <v>483</v>
      </c>
      <c r="T40" s="666">
        <f t="shared" si="25"/>
        <v>26598.209841003911</v>
      </c>
      <c r="U40" s="684"/>
      <c r="V40" s="685"/>
      <c r="W40" s="666">
        <f t="shared" si="26"/>
        <v>2216</v>
      </c>
    </row>
    <row r="41" spans="1:23">
      <c r="A41" s="669">
        <v>35</v>
      </c>
      <c r="B41" s="670" t="s">
        <v>136</v>
      </c>
      <c r="C41" s="687">
        <f>'[10]Summary for MFP'!$E41</f>
        <v>1.296</v>
      </c>
      <c r="D41" s="688">
        <f>'Table 3 Levels 1&amp;2'!AP42</f>
        <v>5368.7485167533277</v>
      </c>
      <c r="E41" s="688">
        <f t="shared" si="15"/>
        <v>7067.3356180990131</v>
      </c>
      <c r="F41" s="688">
        <f t="shared" si="16"/>
        <v>8537.6830099612089</v>
      </c>
      <c r="G41" s="689">
        <f t="shared" si="17"/>
        <v>11064.837180909726</v>
      </c>
      <c r="H41" s="685"/>
      <c r="I41" s="1309">
        <f>'[9]Oct midyear adj_OJJ'!$I40</f>
        <v>0</v>
      </c>
      <c r="J41" s="689">
        <f t="shared" si="18"/>
        <v>11064.837180909726</v>
      </c>
      <c r="K41" s="689">
        <f t="shared" si="19"/>
        <v>922</v>
      </c>
      <c r="L41" s="675">
        <f>'Table 3 Levels 1&amp;2'!AS42</f>
        <v>21012488</v>
      </c>
      <c r="M41" s="690">
        <f>'Table 3 Levels 1&amp;2'!C42</f>
        <v>6462</v>
      </c>
      <c r="N41" s="690">
        <f t="shared" si="20"/>
        <v>6463.2960000000003</v>
      </c>
      <c r="O41" s="677">
        <f t="shared" si="21"/>
        <v>3251.0483815068965</v>
      </c>
      <c r="P41" s="678">
        <f t="shared" si="22"/>
        <v>4213.3587024329381</v>
      </c>
      <c r="Q41" s="1316">
        <f>'[9]Oct midyear adj_OJJ'!$K40</f>
        <v>0</v>
      </c>
      <c r="R41" s="678">
        <f t="shared" si="23"/>
        <v>4213.3587024329381</v>
      </c>
      <c r="S41" s="678">
        <f t="shared" si="24"/>
        <v>351</v>
      </c>
      <c r="T41" s="679">
        <f t="shared" si="25"/>
        <v>15278.195883342665</v>
      </c>
      <c r="U41" s="685"/>
      <c r="V41" s="685"/>
      <c r="W41" s="679">
        <f t="shared" si="26"/>
        <v>1273</v>
      </c>
    </row>
    <row r="42" spans="1:23">
      <c r="A42" s="646">
        <v>36</v>
      </c>
      <c r="B42" s="647" t="s">
        <v>137</v>
      </c>
      <c r="C42" s="691">
        <f>'[10]Summary for MFP'!$E42</f>
        <v>33.180213000000002</v>
      </c>
      <c r="D42" s="692">
        <f>'Table 3 Levels 1&amp;2'!AP43</f>
        <v>4232.6450566452304</v>
      </c>
      <c r="E42" s="692">
        <f t="shared" si="15"/>
        <v>5571.7869954708403</v>
      </c>
      <c r="F42" s="692">
        <f t="shared" si="16"/>
        <v>7042.1343873330352</v>
      </c>
      <c r="G42" s="693">
        <f t="shared" si="17"/>
        <v>233659.51894633463</v>
      </c>
      <c r="H42" s="684"/>
      <c r="I42" s="1310">
        <f>'[9]Oct midyear adj_OJJ'!$I41</f>
        <v>-202.58416683958689</v>
      </c>
      <c r="J42" s="693">
        <f t="shared" si="18"/>
        <v>233456.93477949506</v>
      </c>
      <c r="K42" s="693">
        <f t="shared" si="19"/>
        <v>19455</v>
      </c>
      <c r="L42" s="653">
        <f>'Table 3 Levels 1&amp;2'!AS43</f>
        <v>183161293.09999999</v>
      </c>
      <c r="M42" s="694">
        <f>'Table 3 Levels 1&amp;2'!C43</f>
        <v>42705</v>
      </c>
      <c r="N42" s="694">
        <f t="shared" si="20"/>
        <v>42738.180213</v>
      </c>
      <c r="O42" s="655">
        <f t="shared" si="21"/>
        <v>4285.6596183355141</v>
      </c>
      <c r="P42" s="656">
        <f t="shared" si="22"/>
        <v>142199.09898187107</v>
      </c>
      <c r="Q42" s="1314">
        <f>'[9]Oct midyear adj_OJJ'!$K41</f>
        <v>-134.68491346585924</v>
      </c>
      <c r="R42" s="656">
        <f t="shared" si="23"/>
        <v>142064.4140684052</v>
      </c>
      <c r="S42" s="656">
        <f t="shared" si="24"/>
        <v>11839</v>
      </c>
      <c r="T42" s="657">
        <f t="shared" si="25"/>
        <v>375858.6179282057</v>
      </c>
      <c r="U42" s="684"/>
      <c r="V42" s="685"/>
      <c r="W42" s="657">
        <f t="shared" si="26"/>
        <v>31294</v>
      </c>
    </row>
    <row r="43" spans="1:23">
      <c r="A43" s="658">
        <v>37</v>
      </c>
      <c r="B43" s="659" t="s">
        <v>138</v>
      </c>
      <c r="C43" s="681">
        <f>'[10]Summary for MFP'!$E43</f>
        <v>2.6449859999999998</v>
      </c>
      <c r="D43" s="682">
        <f>'Table 3 Levels 1&amp;2'!AP44</f>
        <v>6138.2568163718242</v>
      </c>
      <c r="E43" s="682">
        <f t="shared" si="15"/>
        <v>8080.304170704153</v>
      </c>
      <c r="F43" s="682">
        <f t="shared" si="16"/>
        <v>9550.6515625663487</v>
      </c>
      <c r="G43" s="683">
        <f t="shared" si="17"/>
        <v>25261.339673866114</v>
      </c>
      <c r="H43" s="684"/>
      <c r="I43" s="1308">
        <f>'[9]Oct midyear adj_OJJ'!$I42</f>
        <v>-359.43545318330757</v>
      </c>
      <c r="J43" s="683">
        <f t="shared" si="18"/>
        <v>24901.904220682805</v>
      </c>
      <c r="K43" s="683">
        <f t="shared" si="19"/>
        <v>2075</v>
      </c>
      <c r="L43" s="653">
        <f>'Table 3 Levels 1&amp;2'!AS44</f>
        <v>55546939.700000003</v>
      </c>
      <c r="M43" s="686">
        <f>'Table 3 Levels 1&amp;2'!C44</f>
        <v>19412</v>
      </c>
      <c r="N43" s="686">
        <f t="shared" si="20"/>
        <v>19414.644985999999</v>
      </c>
      <c r="O43" s="664">
        <f t="shared" si="21"/>
        <v>2861.0844926628938</v>
      </c>
      <c r="P43" s="665">
        <f t="shared" si="22"/>
        <v>7567.5284279104562</v>
      </c>
      <c r="Q43" s="1315">
        <f>'[9]Oct midyear adj_OJJ'!$K42</f>
        <v>-106.74967995699511</v>
      </c>
      <c r="R43" s="665">
        <f t="shared" si="23"/>
        <v>7460.7787479534609</v>
      </c>
      <c r="S43" s="665">
        <f t="shared" si="24"/>
        <v>622</v>
      </c>
      <c r="T43" s="666">
        <f t="shared" si="25"/>
        <v>32828.86810177657</v>
      </c>
      <c r="U43" s="684"/>
      <c r="V43" s="685"/>
      <c r="W43" s="666">
        <f t="shared" si="26"/>
        <v>2697</v>
      </c>
    </row>
    <row r="44" spans="1:23">
      <c r="A44" s="658">
        <v>38</v>
      </c>
      <c r="B44" s="659" t="s">
        <v>139</v>
      </c>
      <c r="C44" s="681">
        <f>'[10]Summary for MFP'!$E44</f>
        <v>0.49322500000000002</v>
      </c>
      <c r="D44" s="682">
        <f>'Table 3 Levels 1&amp;2'!AP45</f>
        <v>3017.0499751683283</v>
      </c>
      <c r="E44" s="682">
        <f t="shared" si="15"/>
        <v>3971.5968599673474</v>
      </c>
      <c r="F44" s="682">
        <f t="shared" si="16"/>
        <v>5441.9442518295418</v>
      </c>
      <c r="G44" s="683">
        <f t="shared" si="17"/>
        <v>2684.1029536086257</v>
      </c>
      <c r="H44" s="684"/>
      <c r="I44" s="1308">
        <f>'[9]Oct midyear adj_OJJ'!$I43</f>
        <v>0</v>
      </c>
      <c r="J44" s="683">
        <f t="shared" si="18"/>
        <v>2684.1029536086257</v>
      </c>
      <c r="K44" s="683">
        <f t="shared" si="19"/>
        <v>224</v>
      </c>
      <c r="L44" s="653">
        <f>'Table 3 Levels 1&amp;2'!AS45</f>
        <v>25661308.649999999</v>
      </c>
      <c r="M44" s="686">
        <f>'Table 3 Levels 1&amp;2'!C45</f>
        <v>4224</v>
      </c>
      <c r="N44" s="686">
        <f t="shared" si="20"/>
        <v>4224.4932250000002</v>
      </c>
      <c r="O44" s="664">
        <f t="shared" si="21"/>
        <v>6074.411126555895</v>
      </c>
      <c r="P44" s="665">
        <f t="shared" si="22"/>
        <v>2996.0514278955316</v>
      </c>
      <c r="Q44" s="1315">
        <f>'[9]Oct midyear adj_OJJ'!$K43</f>
        <v>0</v>
      </c>
      <c r="R44" s="665">
        <f t="shared" si="23"/>
        <v>2996.0514278955316</v>
      </c>
      <c r="S44" s="665">
        <f t="shared" si="24"/>
        <v>250</v>
      </c>
      <c r="T44" s="666">
        <f t="shared" si="25"/>
        <v>5680.1543815041568</v>
      </c>
      <c r="U44" s="684"/>
      <c r="V44" s="685"/>
      <c r="W44" s="666">
        <f t="shared" si="26"/>
        <v>474</v>
      </c>
    </row>
    <row r="45" spans="1:23">
      <c r="A45" s="658">
        <v>39</v>
      </c>
      <c r="B45" s="659" t="s">
        <v>140</v>
      </c>
      <c r="C45" s="681">
        <f>'[10]Summary for MFP'!$E45</f>
        <v>1.88697</v>
      </c>
      <c r="D45" s="682">
        <f>'Table 3 Levels 1&amp;2'!AP46</f>
        <v>4465.3237446097473</v>
      </c>
      <c r="E45" s="682">
        <f t="shared" si="15"/>
        <v>5878.0815395145264</v>
      </c>
      <c r="F45" s="682">
        <f t="shared" si="16"/>
        <v>7348.4289313767213</v>
      </c>
      <c r="G45" s="683">
        <f t="shared" si="17"/>
        <v>13866.264940639932</v>
      </c>
      <c r="H45" s="684"/>
      <c r="I45" s="1308">
        <f>'[9]Oct midyear adj_OJJ'!$I44</f>
        <v>0</v>
      </c>
      <c r="J45" s="683">
        <f t="shared" si="18"/>
        <v>13866.264940639932</v>
      </c>
      <c r="K45" s="683">
        <f t="shared" si="19"/>
        <v>1156</v>
      </c>
      <c r="L45" s="653">
        <f>'Table 3 Levels 1&amp;2'!AS46</f>
        <v>11927659</v>
      </c>
      <c r="M45" s="686">
        <f>'Table 3 Levels 1&amp;2'!C46</f>
        <v>2882</v>
      </c>
      <c r="N45" s="686">
        <f t="shared" si="20"/>
        <v>2883.88697</v>
      </c>
      <c r="O45" s="664">
        <f t="shared" si="21"/>
        <v>4135.9661887164739</v>
      </c>
      <c r="P45" s="665">
        <f t="shared" si="22"/>
        <v>7804.444119122325</v>
      </c>
      <c r="Q45" s="1315">
        <f>'[9]Oct midyear adj_OJJ'!$K44</f>
        <v>0</v>
      </c>
      <c r="R45" s="665">
        <f t="shared" si="23"/>
        <v>7804.444119122325</v>
      </c>
      <c r="S45" s="665">
        <f t="shared" si="24"/>
        <v>650</v>
      </c>
      <c r="T45" s="666">
        <f t="shared" si="25"/>
        <v>21670.709059762259</v>
      </c>
      <c r="U45" s="684"/>
      <c r="V45" s="685"/>
      <c r="W45" s="666">
        <f t="shared" si="26"/>
        <v>1806</v>
      </c>
    </row>
    <row r="46" spans="1:23">
      <c r="A46" s="669">
        <v>40</v>
      </c>
      <c r="B46" s="670" t="s">
        <v>141</v>
      </c>
      <c r="C46" s="687">
        <f>'[10]Summary for MFP'!$E46</f>
        <v>3.7218420000000001</v>
      </c>
      <c r="D46" s="688">
        <f>'Table 3 Levels 1&amp;2'!AP47</f>
        <v>5579.0927084382856</v>
      </c>
      <c r="E46" s="688">
        <f t="shared" si="15"/>
        <v>7344.2293845543536</v>
      </c>
      <c r="F46" s="688">
        <f t="shared" si="16"/>
        <v>8814.5767764165485</v>
      </c>
      <c r="G46" s="689">
        <f t="shared" si="17"/>
        <v>32806.462058691723</v>
      </c>
      <c r="H46" s="685"/>
      <c r="I46" s="1309">
        <f>'[9]Oct midyear adj_OJJ'!$I45</f>
        <v>-5180.8949039852941</v>
      </c>
      <c r="J46" s="689">
        <f t="shared" si="18"/>
        <v>27625.567154706427</v>
      </c>
      <c r="K46" s="689">
        <f t="shared" si="19"/>
        <v>2302</v>
      </c>
      <c r="L46" s="675">
        <f>'Table 3 Levels 1&amp;2'!AS47</f>
        <v>66859423.5</v>
      </c>
      <c r="M46" s="690">
        <f>'Table 3 Levels 1&amp;2'!C47</f>
        <v>23021</v>
      </c>
      <c r="N46" s="690">
        <f t="shared" si="20"/>
        <v>23024.721841999999</v>
      </c>
      <c r="O46" s="677">
        <f t="shared" si="21"/>
        <v>2903.8102591988745</v>
      </c>
      <c r="P46" s="678">
        <f t="shared" si="22"/>
        <v>10807.522982717257</v>
      </c>
      <c r="Q46" s="1316">
        <f>'[9]Oct midyear adj_OJJ'!$K45</f>
        <v>-1691.485293720702</v>
      </c>
      <c r="R46" s="678">
        <f t="shared" si="23"/>
        <v>9116.0376889965555</v>
      </c>
      <c r="S46" s="678">
        <f t="shared" si="24"/>
        <v>760</v>
      </c>
      <c r="T46" s="679">
        <f t="shared" si="25"/>
        <v>43613.985041408981</v>
      </c>
      <c r="U46" s="685"/>
      <c r="V46" s="685"/>
      <c r="W46" s="679">
        <f t="shared" si="26"/>
        <v>3062</v>
      </c>
    </row>
    <row r="47" spans="1:23">
      <c r="A47" s="646">
        <v>41</v>
      </c>
      <c r="B47" s="647" t="s">
        <v>142</v>
      </c>
      <c r="C47" s="691">
        <f>'[10]Summary for MFP'!$E47</f>
        <v>0.752</v>
      </c>
      <c r="D47" s="692">
        <f>'Table 3 Levels 1&amp;2'!AP48</f>
        <v>2494.4613887704331</v>
      </c>
      <c r="E47" s="692">
        <f t="shared" si="15"/>
        <v>3283.6695117712479</v>
      </c>
      <c r="F47" s="692">
        <f t="shared" si="16"/>
        <v>4754.0169036334428</v>
      </c>
      <c r="G47" s="693">
        <f t="shared" si="17"/>
        <v>3575.0207115323492</v>
      </c>
      <c r="H47" s="684"/>
      <c r="I47" s="1310">
        <f>'[9]Oct midyear adj_OJJ'!$I46</f>
        <v>0</v>
      </c>
      <c r="J47" s="693">
        <f t="shared" si="18"/>
        <v>3575.0207115323492</v>
      </c>
      <c r="K47" s="693">
        <f t="shared" si="19"/>
        <v>298</v>
      </c>
      <c r="L47" s="653">
        <f>'Table 3 Levels 1&amp;2'!AS48</f>
        <v>9034192.5</v>
      </c>
      <c r="M47" s="694">
        <f>'Table 3 Levels 1&amp;2'!C48</f>
        <v>1407</v>
      </c>
      <c r="N47" s="694">
        <f t="shared" si="20"/>
        <v>1407.752</v>
      </c>
      <c r="O47" s="655">
        <f t="shared" si="21"/>
        <v>6417.460248680165</v>
      </c>
      <c r="P47" s="656">
        <f t="shared" si="22"/>
        <v>4825.9301070074844</v>
      </c>
      <c r="Q47" s="1314">
        <f>'[9]Oct midyear adj_OJJ'!$K46</f>
        <v>0</v>
      </c>
      <c r="R47" s="656">
        <f t="shared" si="23"/>
        <v>4825.9301070074844</v>
      </c>
      <c r="S47" s="656">
        <f t="shared" si="24"/>
        <v>402</v>
      </c>
      <c r="T47" s="657">
        <f t="shared" si="25"/>
        <v>8400.9508185398336</v>
      </c>
      <c r="U47" s="684"/>
      <c r="V47" s="685"/>
      <c r="W47" s="657">
        <f t="shared" si="26"/>
        <v>700</v>
      </c>
    </row>
    <row r="48" spans="1:23">
      <c r="A48" s="658">
        <v>42</v>
      </c>
      <c r="B48" s="659" t="s">
        <v>143</v>
      </c>
      <c r="C48" s="681">
        <f>'[10]Summary for MFP'!$E48</f>
        <v>2.6233050000000002</v>
      </c>
      <c r="D48" s="682">
        <f>'Table 3 Levels 1&amp;2'!AP49</f>
        <v>5793.7803101919453</v>
      </c>
      <c r="E48" s="682">
        <f t="shared" si="15"/>
        <v>7626.8407473148209</v>
      </c>
      <c r="F48" s="682">
        <f t="shared" si="16"/>
        <v>9097.1881391770148</v>
      </c>
      <c r="G48" s="683">
        <f t="shared" si="17"/>
        <v>23864.699131443762</v>
      </c>
      <c r="H48" s="684"/>
      <c r="I48" s="1308">
        <f>'[9]Oct midyear adj_OJJ'!$I47</f>
        <v>0</v>
      </c>
      <c r="J48" s="683">
        <f t="shared" si="18"/>
        <v>23864.699131443762</v>
      </c>
      <c r="K48" s="683">
        <f t="shared" si="19"/>
        <v>1989</v>
      </c>
      <c r="L48" s="653">
        <f>'Table 3 Levels 1&amp;2'!AS49</f>
        <v>10455819.5</v>
      </c>
      <c r="M48" s="686">
        <f>'Table 3 Levels 1&amp;2'!C49</f>
        <v>3832</v>
      </c>
      <c r="N48" s="686">
        <f t="shared" si="20"/>
        <v>3834.6233050000001</v>
      </c>
      <c r="O48" s="664">
        <f t="shared" si="21"/>
        <v>2726.6875174848496</v>
      </c>
      <c r="P48" s="665">
        <f t="shared" si="22"/>
        <v>7152.932998055594</v>
      </c>
      <c r="Q48" s="1315">
        <f>'[9]Oct midyear adj_OJJ'!$K47</f>
        <v>0</v>
      </c>
      <c r="R48" s="665">
        <f t="shared" si="23"/>
        <v>7152.932998055594</v>
      </c>
      <c r="S48" s="665">
        <f t="shared" si="24"/>
        <v>596</v>
      </c>
      <c r="T48" s="666">
        <f t="shared" si="25"/>
        <v>31017.632129499354</v>
      </c>
      <c r="U48" s="684"/>
      <c r="V48" s="685"/>
      <c r="W48" s="666">
        <f t="shared" si="26"/>
        <v>2585</v>
      </c>
    </row>
    <row r="49" spans="1:23">
      <c r="A49" s="658">
        <v>43</v>
      </c>
      <c r="B49" s="659" t="s">
        <v>144</v>
      </c>
      <c r="C49" s="681">
        <f>'[10]Summary for MFP'!$E49</f>
        <v>0.22026000000000001</v>
      </c>
      <c r="D49" s="682">
        <f>'Table 3 Levels 1&amp;2'!AP50</f>
        <v>6161.6565788857788</v>
      </c>
      <c r="E49" s="682">
        <f t="shared" si="15"/>
        <v>8111.1072479117875</v>
      </c>
      <c r="F49" s="682">
        <f t="shared" si="16"/>
        <v>9581.4546397739832</v>
      </c>
      <c r="G49" s="683">
        <f t="shared" si="17"/>
        <v>2110.4111989566177</v>
      </c>
      <c r="H49" s="684"/>
      <c r="I49" s="1308">
        <f>'[9]Oct midyear adj_OJJ'!$I48</f>
        <v>0</v>
      </c>
      <c r="J49" s="683">
        <f t="shared" si="18"/>
        <v>2110.4111989566177</v>
      </c>
      <c r="K49" s="683">
        <f t="shared" si="19"/>
        <v>176</v>
      </c>
      <c r="L49" s="653">
        <f>'Table 3 Levels 1&amp;2'!AS50</f>
        <v>13395361.4</v>
      </c>
      <c r="M49" s="686">
        <f>'Table 3 Levels 1&amp;2'!C50</f>
        <v>3987</v>
      </c>
      <c r="N49" s="686">
        <f t="shared" si="20"/>
        <v>3987.2202600000001</v>
      </c>
      <c r="O49" s="664">
        <f t="shared" si="21"/>
        <v>3359.5739704633224</v>
      </c>
      <c r="P49" s="665">
        <f t="shared" si="22"/>
        <v>739.97976273425149</v>
      </c>
      <c r="Q49" s="1315">
        <f>'[9]Oct midyear adj_OJJ'!$K48</f>
        <v>0</v>
      </c>
      <c r="R49" s="665">
        <f t="shared" si="23"/>
        <v>739.97976273425149</v>
      </c>
      <c r="S49" s="665">
        <f t="shared" si="24"/>
        <v>62</v>
      </c>
      <c r="T49" s="666">
        <f t="shared" si="25"/>
        <v>2850.3909616908691</v>
      </c>
      <c r="U49" s="684"/>
      <c r="V49" s="685"/>
      <c r="W49" s="666">
        <f t="shared" si="26"/>
        <v>238</v>
      </c>
    </row>
    <row r="50" spans="1:23">
      <c r="A50" s="658">
        <v>44</v>
      </c>
      <c r="B50" s="659" t="s">
        <v>145</v>
      </c>
      <c r="C50" s="681">
        <f>'[10]Summary for MFP'!$E50</f>
        <v>0.79735500000000004</v>
      </c>
      <c r="D50" s="682">
        <f>'Table 3 Levels 1&amp;2'!AP51</f>
        <v>4776.3499168287053</v>
      </c>
      <c r="E50" s="682">
        <f t="shared" si="15"/>
        <v>6287.5114724355271</v>
      </c>
      <c r="F50" s="682">
        <f t="shared" si="16"/>
        <v>7757.858864297722</v>
      </c>
      <c r="G50" s="683">
        <f t="shared" si="17"/>
        <v>6185.7675547421104</v>
      </c>
      <c r="H50" s="684"/>
      <c r="I50" s="1308">
        <f>'[9]Oct midyear adj_OJJ'!$I49</f>
        <v>0</v>
      </c>
      <c r="J50" s="683">
        <f t="shared" si="18"/>
        <v>6185.7675547421104</v>
      </c>
      <c r="K50" s="683">
        <f t="shared" si="19"/>
        <v>515</v>
      </c>
      <c r="L50" s="653">
        <f>'Table 3 Levels 1&amp;2'!AS51</f>
        <v>23107727.100000001</v>
      </c>
      <c r="M50" s="686">
        <f>'Table 3 Levels 1&amp;2'!C51</f>
        <v>5876</v>
      </c>
      <c r="N50" s="686">
        <f t="shared" si="20"/>
        <v>5876.7973549999997</v>
      </c>
      <c r="O50" s="664">
        <f t="shared" si="21"/>
        <v>3932.0272087210674</v>
      </c>
      <c r="P50" s="665">
        <f t="shared" si="22"/>
        <v>3135.2215550097867</v>
      </c>
      <c r="Q50" s="1315">
        <f>'[9]Oct midyear adj_OJJ'!$K49</f>
        <v>0</v>
      </c>
      <c r="R50" s="665">
        <f t="shared" si="23"/>
        <v>3135.2215550097867</v>
      </c>
      <c r="S50" s="665">
        <f t="shared" si="24"/>
        <v>261</v>
      </c>
      <c r="T50" s="666">
        <f t="shared" si="25"/>
        <v>9320.9891097518976</v>
      </c>
      <c r="U50" s="684"/>
      <c r="V50" s="685"/>
      <c r="W50" s="666">
        <f t="shared" si="26"/>
        <v>776</v>
      </c>
    </row>
    <row r="51" spans="1:23">
      <c r="A51" s="669">
        <v>45</v>
      </c>
      <c r="B51" s="670" t="s">
        <v>146</v>
      </c>
      <c r="C51" s="687">
        <f>'[10]Summary for MFP'!$E51</f>
        <v>2.4873289999999999</v>
      </c>
      <c r="D51" s="688">
        <f>'Table 3 Levels 1&amp;2'!AP52</f>
        <v>3168.6867457778631</v>
      </c>
      <c r="E51" s="688">
        <f t="shared" si="15"/>
        <v>4171.2091060239663</v>
      </c>
      <c r="F51" s="688">
        <f t="shared" si="16"/>
        <v>5641.5564978861612</v>
      </c>
      <c r="G51" s="689">
        <f t="shared" si="17"/>
        <v>14032.407082330687</v>
      </c>
      <c r="H51" s="685"/>
      <c r="I51" s="1309">
        <f>'[9]Oct midyear adj_OJJ'!$I50</f>
        <v>0</v>
      </c>
      <c r="J51" s="689">
        <f t="shared" si="18"/>
        <v>14032.407082330687</v>
      </c>
      <c r="K51" s="689">
        <f t="shared" si="19"/>
        <v>1169</v>
      </c>
      <c r="L51" s="675">
        <f>'Table 3 Levels 1&amp;2'!AS52</f>
        <v>47194904.200000003</v>
      </c>
      <c r="M51" s="690">
        <f>'Table 3 Levels 1&amp;2'!C52</f>
        <v>9427</v>
      </c>
      <c r="N51" s="690">
        <f t="shared" si="20"/>
        <v>9429.4873289999996</v>
      </c>
      <c r="O51" s="677">
        <f t="shared" si="21"/>
        <v>5005.0339486489383</v>
      </c>
      <c r="P51" s="678">
        <f t="shared" si="22"/>
        <v>12449.166086459014</v>
      </c>
      <c r="Q51" s="1316">
        <f>'[9]Oct midyear adj_OJJ'!$K50</f>
        <v>0</v>
      </c>
      <c r="R51" s="678">
        <f t="shared" si="23"/>
        <v>12449.166086459014</v>
      </c>
      <c r="S51" s="678">
        <f t="shared" si="24"/>
        <v>1037</v>
      </c>
      <c r="T51" s="679">
        <f t="shared" si="25"/>
        <v>26481.573168789699</v>
      </c>
      <c r="U51" s="685"/>
      <c r="V51" s="685"/>
      <c r="W51" s="679">
        <f t="shared" si="26"/>
        <v>2206</v>
      </c>
    </row>
    <row r="52" spans="1:23">
      <c r="A52" s="646">
        <v>46</v>
      </c>
      <c r="B52" s="647" t="s">
        <v>147</v>
      </c>
      <c r="C52" s="691">
        <f>'[10]Summary for MFP'!$E52</f>
        <v>0</v>
      </c>
      <c r="D52" s="692">
        <f>'Table 3 Levels 1&amp;2'!AP53</f>
        <v>6492.6294011097007</v>
      </c>
      <c r="E52" s="692">
        <f t="shared" si="15"/>
        <v>8546.7946353590978</v>
      </c>
      <c r="F52" s="692">
        <f t="shared" si="16"/>
        <v>10017.142027221293</v>
      </c>
      <c r="G52" s="693">
        <f t="shared" si="17"/>
        <v>0</v>
      </c>
      <c r="H52" s="684"/>
      <c r="I52" s="1310">
        <f>'[9]Oct midyear adj_OJJ'!$I51</f>
        <v>0</v>
      </c>
      <c r="J52" s="693">
        <f t="shared" si="18"/>
        <v>0</v>
      </c>
      <c r="K52" s="693">
        <f t="shared" si="19"/>
        <v>0</v>
      </c>
      <c r="L52" s="653">
        <f>'Table 3 Levels 1&amp;2'!AS53</f>
        <v>1996920</v>
      </c>
      <c r="M52" s="694">
        <f>'Table 3 Levels 1&amp;2'!C53</f>
        <v>1103</v>
      </c>
      <c r="N52" s="694">
        <f t="shared" si="20"/>
        <v>1103</v>
      </c>
      <c r="O52" s="655">
        <f t="shared" si="21"/>
        <v>1810.444242973708</v>
      </c>
      <c r="P52" s="656">
        <f t="shared" si="22"/>
        <v>0</v>
      </c>
      <c r="Q52" s="1314">
        <f>'[9]Oct midyear adj_OJJ'!$K51</f>
        <v>0</v>
      </c>
      <c r="R52" s="656">
        <f t="shared" si="23"/>
        <v>0</v>
      </c>
      <c r="S52" s="656">
        <f t="shared" si="24"/>
        <v>0</v>
      </c>
      <c r="T52" s="657">
        <f t="shared" si="25"/>
        <v>0</v>
      </c>
      <c r="U52" s="684"/>
      <c r="V52" s="685"/>
      <c r="W52" s="657">
        <f t="shared" si="26"/>
        <v>0</v>
      </c>
    </row>
    <row r="53" spans="1:23">
      <c r="A53" s="658">
        <v>47</v>
      </c>
      <c r="B53" s="659" t="s">
        <v>148</v>
      </c>
      <c r="C53" s="681">
        <f>'[10]Summary for MFP'!$E53</f>
        <v>0</v>
      </c>
      <c r="D53" s="682">
        <f>'Table 3 Levels 1&amp;2'!AP54</f>
        <v>4096.5801047247915</v>
      </c>
      <c r="E53" s="682">
        <f t="shared" si="15"/>
        <v>5392.6732452026918</v>
      </c>
      <c r="F53" s="682">
        <f t="shared" si="16"/>
        <v>6863.0206370648866</v>
      </c>
      <c r="G53" s="683">
        <f t="shared" si="17"/>
        <v>0</v>
      </c>
      <c r="H53" s="684"/>
      <c r="I53" s="1308">
        <f>'[9]Oct midyear adj_OJJ'!$I52</f>
        <v>0</v>
      </c>
      <c r="J53" s="683">
        <f t="shared" si="18"/>
        <v>0</v>
      </c>
      <c r="K53" s="683">
        <f t="shared" si="19"/>
        <v>0</v>
      </c>
      <c r="L53" s="653">
        <f>'Table 3 Levels 1&amp;2'!AS54</f>
        <v>18849734.899999999</v>
      </c>
      <c r="M53" s="686">
        <f>'Table 3 Levels 1&amp;2'!C54</f>
        <v>3644</v>
      </c>
      <c r="N53" s="686">
        <f t="shared" si="20"/>
        <v>3644</v>
      </c>
      <c r="O53" s="664">
        <f t="shared" si="21"/>
        <v>5172.8141877058169</v>
      </c>
      <c r="P53" s="665">
        <f t="shared" si="22"/>
        <v>0</v>
      </c>
      <c r="Q53" s="1315">
        <f>'[9]Oct midyear adj_OJJ'!$K52</f>
        <v>0</v>
      </c>
      <c r="R53" s="665">
        <f t="shared" si="23"/>
        <v>0</v>
      </c>
      <c r="S53" s="665">
        <f t="shared" si="24"/>
        <v>0</v>
      </c>
      <c r="T53" s="666">
        <f t="shared" si="25"/>
        <v>0</v>
      </c>
      <c r="U53" s="684"/>
      <c r="V53" s="685"/>
      <c r="W53" s="666">
        <f t="shared" si="26"/>
        <v>0</v>
      </c>
    </row>
    <row r="54" spans="1:23">
      <c r="A54" s="658">
        <v>48</v>
      </c>
      <c r="B54" s="659" t="s">
        <v>222</v>
      </c>
      <c r="C54" s="681">
        <f>'[10]Summary for MFP'!$E54</f>
        <v>0</v>
      </c>
      <c r="D54" s="682">
        <f>'Table 3 Levels 1&amp;2'!AP55</f>
        <v>5131.0710973096047</v>
      </c>
      <c r="E54" s="682">
        <f t="shared" si="15"/>
        <v>6754.4608230120784</v>
      </c>
      <c r="F54" s="682">
        <f t="shared" si="16"/>
        <v>8224.8082148742724</v>
      </c>
      <c r="G54" s="683">
        <f t="shared" si="17"/>
        <v>0</v>
      </c>
      <c r="H54" s="684"/>
      <c r="I54" s="1308">
        <f>'[9]Oct midyear adj_OJJ'!$I53</f>
        <v>0</v>
      </c>
      <c r="J54" s="683">
        <f t="shared" si="18"/>
        <v>0</v>
      </c>
      <c r="K54" s="683">
        <f t="shared" si="19"/>
        <v>0</v>
      </c>
      <c r="L54" s="653">
        <f>'Table 3 Levels 1&amp;2'!AS55</f>
        <v>25151604.600000001</v>
      </c>
      <c r="M54" s="686">
        <f>'Table 3 Levels 1&amp;2'!C55</f>
        <v>6233</v>
      </c>
      <c r="N54" s="686">
        <f t="shared" si="20"/>
        <v>6233</v>
      </c>
      <c r="O54" s="664">
        <f t="shared" si="21"/>
        <v>4035.2325685865558</v>
      </c>
      <c r="P54" s="665">
        <f t="shared" si="22"/>
        <v>0</v>
      </c>
      <c r="Q54" s="1315">
        <f>'[9]Oct midyear adj_OJJ'!$K53</f>
        <v>0</v>
      </c>
      <c r="R54" s="665">
        <f t="shared" si="23"/>
        <v>0</v>
      </c>
      <c r="S54" s="665">
        <f t="shared" si="24"/>
        <v>0</v>
      </c>
      <c r="T54" s="666">
        <f t="shared" si="25"/>
        <v>0</v>
      </c>
      <c r="U54" s="684"/>
      <c r="V54" s="685"/>
      <c r="W54" s="666">
        <f t="shared" si="26"/>
        <v>0</v>
      </c>
    </row>
    <row r="55" spans="1:23">
      <c r="A55" s="658">
        <v>49</v>
      </c>
      <c r="B55" s="659" t="s">
        <v>149</v>
      </c>
      <c r="C55" s="681">
        <f>'[10]Summary for MFP'!$E55</f>
        <v>5.3381990000000004</v>
      </c>
      <c r="D55" s="682">
        <f>'Table 3 Levels 1&amp;2'!AP56</f>
        <v>5374.408275744262</v>
      </c>
      <c r="E55" s="682">
        <f t="shared" si="15"/>
        <v>7074.7860353017686</v>
      </c>
      <c r="F55" s="682">
        <f t="shared" si="16"/>
        <v>8545.1334271639644</v>
      </c>
      <c r="G55" s="683">
        <f t="shared" si="17"/>
        <v>45615.622715753248</v>
      </c>
      <c r="H55" s="684"/>
      <c r="I55" s="1308">
        <f>'[9]Oct midyear adj_OJJ'!$I54</f>
        <v>-34.074981241392067</v>
      </c>
      <c r="J55" s="683">
        <f t="shared" si="18"/>
        <v>45581.547734511856</v>
      </c>
      <c r="K55" s="683">
        <f t="shared" si="19"/>
        <v>3798</v>
      </c>
      <c r="L55" s="653">
        <f>'Table 3 Levels 1&amp;2'!AS56</f>
        <v>32496492.5</v>
      </c>
      <c r="M55" s="686">
        <f>'Table 3 Levels 1&amp;2'!C56</f>
        <v>14461</v>
      </c>
      <c r="N55" s="686">
        <f t="shared" si="20"/>
        <v>14466.338199</v>
      </c>
      <c r="O55" s="664">
        <f t="shared" si="21"/>
        <v>2246.3523286249697</v>
      </c>
      <c r="P55" s="665">
        <f t="shared" si="22"/>
        <v>11991.475754313486</v>
      </c>
      <c r="Q55" s="1315">
        <f>'[9]Oct midyear adj_OJJ'!$K54</f>
        <v>-8.674640545172922</v>
      </c>
      <c r="R55" s="665">
        <f t="shared" si="23"/>
        <v>11982.801113768313</v>
      </c>
      <c r="S55" s="665">
        <f t="shared" si="24"/>
        <v>999</v>
      </c>
      <c r="T55" s="666">
        <f t="shared" si="25"/>
        <v>57607.098470066732</v>
      </c>
      <c r="U55" s="684"/>
      <c r="V55" s="685"/>
      <c r="W55" s="666">
        <f t="shared" si="26"/>
        <v>4797</v>
      </c>
    </row>
    <row r="56" spans="1:23">
      <c r="A56" s="669">
        <v>50</v>
      </c>
      <c r="B56" s="670" t="s">
        <v>150</v>
      </c>
      <c r="C56" s="687">
        <f>'[10]Summary for MFP'!$E56</f>
        <v>4.3232080000000002</v>
      </c>
      <c r="D56" s="688">
        <f>'Table 3 Levels 1&amp;2'!AP57</f>
        <v>5693.8089501615532</v>
      </c>
      <c r="E56" s="688">
        <f t="shared" si="15"/>
        <v>7495.2400304386547</v>
      </c>
      <c r="F56" s="688">
        <f t="shared" si="16"/>
        <v>8965.5874223008504</v>
      </c>
      <c r="G56" s="689">
        <f t="shared" si="17"/>
        <v>38760.099268790414</v>
      </c>
      <c r="H56" s="685"/>
      <c r="I56" s="1309">
        <f>'[9]Oct midyear adj_OJJ'!$I55</f>
        <v>0</v>
      </c>
      <c r="J56" s="689">
        <f t="shared" si="18"/>
        <v>38760.099268790414</v>
      </c>
      <c r="K56" s="689">
        <f t="shared" si="19"/>
        <v>3230</v>
      </c>
      <c r="L56" s="675">
        <f>'Table 3 Levels 1&amp;2'!AS57</f>
        <v>20997384.5</v>
      </c>
      <c r="M56" s="690">
        <f>'Table 3 Levels 1&amp;2'!C57</f>
        <v>7985</v>
      </c>
      <c r="N56" s="690">
        <f t="shared" si="20"/>
        <v>7989.3232079999998</v>
      </c>
      <c r="O56" s="677">
        <f t="shared" si="21"/>
        <v>2628.1806297402709</v>
      </c>
      <c r="P56" s="678">
        <f t="shared" si="22"/>
        <v>11362.171523938177</v>
      </c>
      <c r="Q56" s="1316">
        <f>'[9]Oct midyear adj_OJJ'!$K55</f>
        <v>0</v>
      </c>
      <c r="R56" s="678">
        <f t="shared" si="23"/>
        <v>11362.171523938177</v>
      </c>
      <c r="S56" s="678">
        <f t="shared" si="24"/>
        <v>947</v>
      </c>
      <c r="T56" s="679">
        <f t="shared" si="25"/>
        <v>50122.270792728596</v>
      </c>
      <c r="U56" s="685"/>
      <c r="V56" s="685"/>
      <c r="W56" s="679">
        <f t="shared" si="26"/>
        <v>4177</v>
      </c>
    </row>
    <row r="57" spans="1:23">
      <c r="A57" s="646">
        <v>51</v>
      </c>
      <c r="B57" s="647" t="s">
        <v>151</v>
      </c>
      <c r="C57" s="691">
        <f>'[10]Summary for MFP'!$E57</f>
        <v>1.831979</v>
      </c>
      <c r="D57" s="692">
        <f>'Table 3 Levels 1&amp;2'!AP58</f>
        <v>5087.2824531699534</v>
      </c>
      <c r="E57" s="692">
        <f t="shared" si="15"/>
        <v>6696.8181445683567</v>
      </c>
      <c r="F57" s="692">
        <f t="shared" si="16"/>
        <v>8167.1655364305516</v>
      </c>
      <c r="G57" s="693">
        <f t="shared" si="17"/>
        <v>14962.075752264505</v>
      </c>
      <c r="H57" s="684"/>
      <c r="I57" s="1310">
        <f>'[9]Oct midyear adj_OJJ'!$I56</f>
        <v>0</v>
      </c>
      <c r="J57" s="693">
        <f t="shared" si="18"/>
        <v>14962.075752264505</v>
      </c>
      <c r="K57" s="693">
        <f t="shared" si="19"/>
        <v>1247</v>
      </c>
      <c r="L57" s="653">
        <f>'Table 3 Levels 1&amp;2'!AS58</f>
        <v>36375570.700000003</v>
      </c>
      <c r="M57" s="694">
        <f>'Table 3 Levels 1&amp;2'!C58</f>
        <v>9346</v>
      </c>
      <c r="N57" s="694">
        <f t="shared" si="20"/>
        <v>9347.8319790000005</v>
      </c>
      <c r="O57" s="655">
        <f t="shared" si="21"/>
        <v>3891.3376686399683</v>
      </c>
      <c r="P57" s="656">
        <f t="shared" si="22"/>
        <v>7128.8488908573809</v>
      </c>
      <c r="Q57" s="1314">
        <f>'[9]Oct midyear adj_OJJ'!$K56</f>
        <v>0</v>
      </c>
      <c r="R57" s="656">
        <f t="shared" si="23"/>
        <v>7128.8488908573809</v>
      </c>
      <c r="S57" s="656">
        <f t="shared" si="24"/>
        <v>594</v>
      </c>
      <c r="T57" s="657">
        <f t="shared" si="25"/>
        <v>22090.924643121885</v>
      </c>
      <c r="U57" s="684"/>
      <c r="V57" s="685"/>
      <c r="W57" s="657">
        <f t="shared" si="26"/>
        <v>1841</v>
      </c>
    </row>
    <row r="58" spans="1:23">
      <c r="A58" s="658">
        <v>52</v>
      </c>
      <c r="B58" s="659" t="s">
        <v>152</v>
      </c>
      <c r="C58" s="681">
        <f>'[10]Summary for MFP'!$E58</f>
        <v>13.215285</v>
      </c>
      <c r="D58" s="682">
        <f>'Table 3 Levels 1&amp;2'!AP59</f>
        <v>5578.2623139672487</v>
      </c>
      <c r="E58" s="682">
        <f t="shared" si="15"/>
        <v>7343.1362664088638</v>
      </c>
      <c r="F58" s="682">
        <f t="shared" si="16"/>
        <v>8813.4836582710595</v>
      </c>
      <c r="G58" s="683">
        <f t="shared" si="17"/>
        <v>116472.69838689466</v>
      </c>
      <c r="H58" s="684"/>
      <c r="I58" s="1308">
        <f>'[9]Oct midyear adj_OJJ'!$I57</f>
        <v>0</v>
      </c>
      <c r="J58" s="683">
        <f t="shared" si="18"/>
        <v>116472.69838689466</v>
      </c>
      <c r="K58" s="683">
        <f t="shared" si="19"/>
        <v>9706</v>
      </c>
      <c r="L58" s="653">
        <f>'Table 3 Levels 1&amp;2'!AS59</f>
        <v>130306176</v>
      </c>
      <c r="M58" s="686">
        <f>'Table 3 Levels 1&amp;2'!C59</f>
        <v>36557</v>
      </c>
      <c r="N58" s="686">
        <f t="shared" si="20"/>
        <v>36570.215284999998</v>
      </c>
      <c r="O58" s="664">
        <f>L58/N58</f>
        <v>3563.1777112738978</v>
      </c>
      <c r="P58" s="665">
        <f t="shared" si="22"/>
        <v>47088.40896013227</v>
      </c>
      <c r="Q58" s="1315">
        <f>'[9]Oct midyear adj_OJJ'!$K57</f>
        <v>0</v>
      </c>
      <c r="R58" s="665">
        <f t="shared" si="23"/>
        <v>47088.40896013227</v>
      </c>
      <c r="S58" s="665">
        <f t="shared" si="24"/>
        <v>3924</v>
      </c>
      <c r="T58" s="666">
        <f t="shared" si="25"/>
        <v>163561.10734702693</v>
      </c>
      <c r="U58" s="684"/>
      <c r="V58" s="685"/>
      <c r="W58" s="666">
        <f t="shared" si="26"/>
        <v>13630</v>
      </c>
    </row>
    <row r="59" spans="1:23">
      <c r="A59" s="658">
        <v>53</v>
      </c>
      <c r="B59" s="659" t="s">
        <v>153</v>
      </c>
      <c r="C59" s="681">
        <f>'[10]Summary for MFP'!$E59</f>
        <v>8.5482180000000003</v>
      </c>
      <c r="D59" s="682">
        <f>'Table 3 Levels 1&amp;2'!AP60</f>
        <v>5473.7452211682521</v>
      </c>
      <c r="E59" s="682">
        <f t="shared" si="15"/>
        <v>7205.5516188260044</v>
      </c>
      <c r="F59" s="682">
        <f t="shared" si="16"/>
        <v>8675.8990106881993</v>
      </c>
      <c r="G59" s="683">
        <f t="shared" si="17"/>
        <v>74163.476089347067</v>
      </c>
      <c r="H59" s="684"/>
      <c r="I59" s="1308">
        <f>'[9]Oct midyear adj_OJJ'!$I58</f>
        <v>0</v>
      </c>
      <c r="J59" s="683">
        <f t="shared" si="18"/>
        <v>74163.476089347067</v>
      </c>
      <c r="K59" s="683">
        <f t="shared" si="19"/>
        <v>6180</v>
      </c>
      <c r="L59" s="653">
        <f>'Table 3 Levels 1&amp;2'!AS60</f>
        <v>36686115</v>
      </c>
      <c r="M59" s="686">
        <f>'Table 3 Levels 1&amp;2'!C60</f>
        <v>19020</v>
      </c>
      <c r="N59" s="686">
        <f t="shared" si="20"/>
        <v>19028.548218</v>
      </c>
      <c r="O59" s="664">
        <f t="shared" si="21"/>
        <v>1927.9513381528957</v>
      </c>
      <c r="P59" s="665">
        <f t="shared" si="22"/>
        <v>16480.54833192267</v>
      </c>
      <c r="Q59" s="1315">
        <f>'[9]Oct midyear adj_OJJ'!$K58</f>
        <v>0</v>
      </c>
      <c r="R59" s="665">
        <f t="shared" si="23"/>
        <v>16480.54833192267</v>
      </c>
      <c r="S59" s="665">
        <f t="shared" si="24"/>
        <v>1373</v>
      </c>
      <c r="T59" s="666">
        <f t="shared" si="25"/>
        <v>90644.024421269743</v>
      </c>
      <c r="U59" s="684"/>
      <c r="V59" s="685"/>
      <c r="W59" s="666">
        <f t="shared" si="26"/>
        <v>7553</v>
      </c>
    </row>
    <row r="60" spans="1:23">
      <c r="A60" s="658">
        <v>54</v>
      </c>
      <c r="B60" s="659" t="s">
        <v>154</v>
      </c>
      <c r="C60" s="681">
        <f>'[10]Summary for MFP'!$E60</f>
        <v>2.1395119999999999</v>
      </c>
      <c r="D60" s="682">
        <f>'Table 3 Levels 1&amp;2'!AP61</f>
        <v>6932.5231664483354</v>
      </c>
      <c r="E60" s="682">
        <f t="shared" si="15"/>
        <v>9125.8638292794476</v>
      </c>
      <c r="F60" s="682">
        <f t="shared" si="16"/>
        <v>10596.211221141642</v>
      </c>
      <c r="G60" s="683">
        <f t="shared" si="17"/>
        <v>22670.721062167195</v>
      </c>
      <c r="H60" s="684"/>
      <c r="I60" s="1308">
        <f>'[9]Oct midyear adj_OJJ'!$I59</f>
        <v>0</v>
      </c>
      <c r="J60" s="683">
        <f t="shared" si="18"/>
        <v>22670.721062167195</v>
      </c>
      <c r="K60" s="683">
        <f t="shared" si="19"/>
        <v>1889</v>
      </c>
      <c r="L60" s="653">
        <f>'Table 3 Levels 1&amp;2'!AS61</f>
        <v>2149651.5</v>
      </c>
      <c r="M60" s="686">
        <f>'Table 3 Levels 1&amp;2'!C61</f>
        <v>701</v>
      </c>
      <c r="N60" s="686">
        <f t="shared" si="20"/>
        <v>703.13951199999997</v>
      </c>
      <c r="O60" s="664">
        <f t="shared" si="21"/>
        <v>3057.2190345064837</v>
      </c>
      <c r="P60" s="665">
        <f t="shared" si="22"/>
        <v>6540.9568109550355</v>
      </c>
      <c r="Q60" s="1315">
        <f>'[9]Oct midyear adj_OJJ'!$K59</f>
        <v>0</v>
      </c>
      <c r="R60" s="665">
        <f t="shared" si="23"/>
        <v>6540.9568109550355</v>
      </c>
      <c r="S60" s="665">
        <f t="shared" si="24"/>
        <v>545</v>
      </c>
      <c r="T60" s="666">
        <f t="shared" si="25"/>
        <v>29211.677873122229</v>
      </c>
      <c r="U60" s="684"/>
      <c r="V60" s="685"/>
      <c r="W60" s="666">
        <f t="shared" si="26"/>
        <v>2434</v>
      </c>
    </row>
    <row r="61" spans="1:23">
      <c r="A61" s="669">
        <v>55</v>
      </c>
      <c r="B61" s="670" t="s">
        <v>155</v>
      </c>
      <c r="C61" s="687">
        <f>'[10]Summary for MFP'!$E61</f>
        <v>13.236518</v>
      </c>
      <c r="D61" s="688">
        <f>'Table 3 Levels 1&amp;2'!AP62</f>
        <v>4882.0877908344764</v>
      </c>
      <c r="E61" s="688">
        <f t="shared" si="15"/>
        <v>6426.7031370871919</v>
      </c>
      <c r="F61" s="688">
        <f t="shared" si="16"/>
        <v>7897.0505289493867</v>
      </c>
      <c r="G61" s="689">
        <f t="shared" si="17"/>
        <v>104529.45147334808</v>
      </c>
      <c r="H61" s="685"/>
      <c r="I61" s="1309">
        <f>'[9]Oct midyear adj_OJJ'!$I60</f>
        <v>1465.887995964496</v>
      </c>
      <c r="J61" s="689">
        <f t="shared" si="18"/>
        <v>105995.33946931257</v>
      </c>
      <c r="K61" s="689">
        <f t="shared" si="19"/>
        <v>8833</v>
      </c>
      <c r="L61" s="675">
        <f>'Table 3 Levels 1&amp;2'!AS62</f>
        <v>53802708</v>
      </c>
      <c r="M61" s="690">
        <f>'Table 3 Levels 1&amp;2'!C62</f>
        <v>17735</v>
      </c>
      <c r="N61" s="690">
        <f t="shared" si="20"/>
        <v>17748.236518000002</v>
      </c>
      <c r="O61" s="677">
        <f t="shared" si="21"/>
        <v>3031.4396557333503</v>
      </c>
      <c r="P61" s="678">
        <f t="shared" si="22"/>
        <v>40125.705569028294</v>
      </c>
      <c r="Q61" s="1316">
        <f>'[9]Oct midyear adj_OJJ'!$K60</f>
        <v>535.61649182238727</v>
      </c>
      <c r="R61" s="678">
        <f t="shared" si="23"/>
        <v>40661.322060850682</v>
      </c>
      <c r="S61" s="678">
        <f t="shared" si="24"/>
        <v>3388</v>
      </c>
      <c r="T61" s="679">
        <f t="shared" si="25"/>
        <v>144655.15704237638</v>
      </c>
      <c r="U61" s="685"/>
      <c r="V61" s="685"/>
      <c r="W61" s="679">
        <f t="shared" si="26"/>
        <v>12221</v>
      </c>
    </row>
    <row r="62" spans="1:23">
      <c r="A62" s="646">
        <v>56</v>
      </c>
      <c r="B62" s="647" t="s">
        <v>156</v>
      </c>
      <c r="C62" s="691">
        <f>'[10]Summary for MFP'!$E62</f>
        <v>0</v>
      </c>
      <c r="D62" s="692">
        <f>'Table 3 Levels 1&amp;2'!AP63</f>
        <v>5666.7332192361464</v>
      </c>
      <c r="E62" s="692">
        <f t="shared" si="15"/>
        <v>7459.5979665650966</v>
      </c>
      <c r="F62" s="692">
        <f t="shared" si="16"/>
        <v>8929.9453584272924</v>
      </c>
      <c r="G62" s="693">
        <f t="shared" si="17"/>
        <v>0</v>
      </c>
      <c r="H62" s="684"/>
      <c r="I62" s="1310">
        <f>'[9]Oct midyear adj_OJJ'!$I61</f>
        <v>0</v>
      </c>
      <c r="J62" s="693">
        <f t="shared" si="18"/>
        <v>0</v>
      </c>
      <c r="K62" s="693">
        <f t="shared" si="19"/>
        <v>0</v>
      </c>
      <c r="L62" s="653">
        <f>'Table 3 Levels 1&amp;2'!AS63</f>
        <v>8544928.5</v>
      </c>
      <c r="M62" s="694">
        <f>'Table 3 Levels 1&amp;2'!C63</f>
        <v>2833</v>
      </c>
      <c r="N62" s="694">
        <f t="shared" si="20"/>
        <v>2833</v>
      </c>
      <c r="O62" s="655">
        <f t="shared" si="21"/>
        <v>3016.2119661136603</v>
      </c>
      <c r="P62" s="656">
        <f t="shared" si="22"/>
        <v>0</v>
      </c>
      <c r="Q62" s="1314">
        <f>'[9]Oct midyear adj_OJJ'!$K61</f>
        <v>0</v>
      </c>
      <c r="R62" s="656">
        <f t="shared" si="23"/>
        <v>0</v>
      </c>
      <c r="S62" s="656">
        <f t="shared" si="24"/>
        <v>0</v>
      </c>
      <c r="T62" s="657">
        <f t="shared" si="25"/>
        <v>0</v>
      </c>
      <c r="U62" s="684"/>
      <c r="V62" s="685"/>
      <c r="W62" s="657">
        <f t="shared" si="26"/>
        <v>0</v>
      </c>
    </row>
    <row r="63" spans="1:23">
      <c r="A63" s="658">
        <v>57</v>
      </c>
      <c r="B63" s="659" t="s">
        <v>157</v>
      </c>
      <c r="C63" s="681">
        <f>'[10]Summary for MFP'!$E63</f>
        <v>2.748532</v>
      </c>
      <c r="D63" s="682">
        <f>'Table 3 Levels 1&amp;2'!AP64</f>
        <v>5153.7210189587295</v>
      </c>
      <c r="E63" s="682">
        <f t="shared" si="15"/>
        <v>6784.2768215671413</v>
      </c>
      <c r="F63" s="682">
        <f t="shared" si="16"/>
        <v>8254.6242134293352</v>
      </c>
      <c r="G63" s="683">
        <f t="shared" si="17"/>
        <v>22688.098798585357</v>
      </c>
      <c r="H63" s="684"/>
      <c r="I63" s="1308">
        <f>'[9]Oct midyear adj_OJJ'!$I62</f>
        <v>0</v>
      </c>
      <c r="J63" s="683">
        <f t="shared" si="18"/>
        <v>22688.098798585357</v>
      </c>
      <c r="K63" s="683">
        <f t="shared" si="19"/>
        <v>1891</v>
      </c>
      <c r="L63" s="653">
        <f>'Table 3 Levels 1&amp;2'!AS64</f>
        <v>25491517</v>
      </c>
      <c r="M63" s="686">
        <f>'Table 3 Levels 1&amp;2'!C64</f>
        <v>8873</v>
      </c>
      <c r="N63" s="686">
        <f t="shared" si="20"/>
        <v>8875.7485319999996</v>
      </c>
      <c r="O63" s="664">
        <f t="shared" si="21"/>
        <v>2872.0413729720572</v>
      </c>
      <c r="P63" s="665">
        <f t="shared" si="22"/>
        <v>7893.8976189376344</v>
      </c>
      <c r="Q63" s="1315">
        <f>'[9]Oct midyear adj_OJJ'!$K62</f>
        <v>0</v>
      </c>
      <c r="R63" s="665">
        <f t="shared" si="23"/>
        <v>7893.8976189376344</v>
      </c>
      <c r="S63" s="665">
        <f t="shared" si="24"/>
        <v>658</v>
      </c>
      <c r="T63" s="666">
        <f t="shared" si="25"/>
        <v>30581.996417522991</v>
      </c>
      <c r="U63" s="684"/>
      <c r="V63" s="685"/>
      <c r="W63" s="666">
        <f t="shared" si="26"/>
        <v>2549</v>
      </c>
    </row>
    <row r="64" spans="1:23">
      <c r="A64" s="658">
        <v>58</v>
      </c>
      <c r="B64" s="659" t="s">
        <v>158</v>
      </c>
      <c r="C64" s="681">
        <f>'[10]Summary for MFP'!$E64</f>
        <v>0.54800000000000004</v>
      </c>
      <c r="D64" s="682">
        <f>'Table 3 Levels 1&amp;2'!AP65</f>
        <v>6022.5243487330172</v>
      </c>
      <c r="E64" s="682">
        <f t="shared" si="15"/>
        <v>7927.9557811005252</v>
      </c>
      <c r="F64" s="682">
        <f t="shared" si="16"/>
        <v>9398.3031729627201</v>
      </c>
      <c r="G64" s="683">
        <f t="shared" si="17"/>
        <v>5150.2701387835714</v>
      </c>
      <c r="H64" s="684"/>
      <c r="I64" s="1308">
        <f>'[9]Oct midyear adj_OJJ'!$I63</f>
        <v>0</v>
      </c>
      <c r="J64" s="683">
        <f t="shared" si="18"/>
        <v>5150.2701387835714</v>
      </c>
      <c r="K64" s="683">
        <f t="shared" si="19"/>
        <v>429</v>
      </c>
      <c r="L64" s="653">
        <f>'Table 3 Levels 1&amp;2'!AS65</f>
        <v>17376821</v>
      </c>
      <c r="M64" s="686">
        <f>'Table 3 Levels 1&amp;2'!C65</f>
        <v>9495</v>
      </c>
      <c r="N64" s="686">
        <f t="shared" si="20"/>
        <v>9495.5480000000007</v>
      </c>
      <c r="O64" s="664">
        <f t="shared" si="21"/>
        <v>1829.9966468496605</v>
      </c>
      <c r="P64" s="665">
        <f t="shared" si="22"/>
        <v>1002.838162473614</v>
      </c>
      <c r="Q64" s="1315">
        <f>'[9]Oct midyear adj_OJJ'!$K63</f>
        <v>0</v>
      </c>
      <c r="R64" s="665">
        <f t="shared" si="23"/>
        <v>1002.838162473614</v>
      </c>
      <c r="S64" s="665">
        <f t="shared" si="24"/>
        <v>84</v>
      </c>
      <c r="T64" s="666">
        <f t="shared" si="25"/>
        <v>6153.1083012571853</v>
      </c>
      <c r="U64" s="684"/>
      <c r="V64" s="685"/>
      <c r="W64" s="666">
        <f t="shared" si="26"/>
        <v>513</v>
      </c>
    </row>
    <row r="65" spans="1:23">
      <c r="A65" s="658">
        <v>59</v>
      </c>
      <c r="B65" s="659" t="s">
        <v>159</v>
      </c>
      <c r="C65" s="681">
        <f>'[10]Summary for MFP'!$E65</f>
        <v>3.8155779999999999</v>
      </c>
      <c r="D65" s="682">
        <f>'Table 3 Levels 1&amp;2'!AP66</f>
        <v>7017.7902899170676</v>
      </c>
      <c r="E65" s="682">
        <f t="shared" si="15"/>
        <v>9238.1081217552364</v>
      </c>
      <c r="F65" s="682">
        <f t="shared" si="16"/>
        <v>10708.455513617431</v>
      </c>
      <c r="G65" s="683">
        <f t="shared" si="17"/>
        <v>40858.947271737372</v>
      </c>
      <c r="H65" s="684"/>
      <c r="I65" s="1308">
        <f>'[9]Oct midyear adj_OJJ'!$I64</f>
        <v>0</v>
      </c>
      <c r="J65" s="683">
        <f t="shared" si="18"/>
        <v>40858.947271737372</v>
      </c>
      <c r="K65" s="683">
        <f t="shared" si="19"/>
        <v>3405</v>
      </c>
      <c r="L65" s="653">
        <f>'Table 3 Levels 1&amp;2'!AS66</f>
        <v>8757049</v>
      </c>
      <c r="M65" s="686">
        <f>'Table 3 Levels 1&amp;2'!C66</f>
        <v>5185</v>
      </c>
      <c r="N65" s="686">
        <f t="shared" si="20"/>
        <v>5188.8155779999997</v>
      </c>
      <c r="O65" s="664">
        <f t="shared" si="21"/>
        <v>1687.6778271189503</v>
      </c>
      <c r="P65" s="665">
        <f t="shared" si="22"/>
        <v>6439.4663882428704</v>
      </c>
      <c r="Q65" s="1315">
        <f>'[9]Oct midyear adj_OJJ'!$K64</f>
        <v>0</v>
      </c>
      <c r="R65" s="665">
        <f t="shared" si="23"/>
        <v>6439.4663882428704</v>
      </c>
      <c r="S65" s="665">
        <f t="shared" si="24"/>
        <v>537</v>
      </c>
      <c r="T65" s="666">
        <f t="shared" si="25"/>
        <v>47298.413659980244</v>
      </c>
      <c r="U65" s="684"/>
      <c r="V65" s="685"/>
      <c r="W65" s="666">
        <f t="shared" si="26"/>
        <v>3942</v>
      </c>
    </row>
    <row r="66" spans="1:23">
      <c r="A66" s="669">
        <v>60</v>
      </c>
      <c r="B66" s="670" t="s">
        <v>160</v>
      </c>
      <c r="C66" s="687">
        <f>'[10]Summary for MFP'!$E66</f>
        <v>3.513636</v>
      </c>
      <c r="D66" s="688">
        <f>'Table 3 Levels 1&amp;2'!AP67</f>
        <v>5418.9095223212844</v>
      </c>
      <c r="E66" s="688">
        <f t="shared" si="15"/>
        <v>7133.3667723212384</v>
      </c>
      <c r="F66" s="688">
        <f t="shared" si="16"/>
        <v>8603.7141641834332</v>
      </c>
      <c r="G66" s="689">
        <f t="shared" si="17"/>
        <v>30230.31982098482</v>
      </c>
      <c r="H66" s="685"/>
      <c r="I66" s="1309">
        <f>'[9]Oct midyear adj_OJJ'!$I65</f>
        <v>0</v>
      </c>
      <c r="J66" s="689">
        <f t="shared" si="18"/>
        <v>30230.31982098482</v>
      </c>
      <c r="K66" s="689">
        <f t="shared" si="19"/>
        <v>2519</v>
      </c>
      <c r="L66" s="675">
        <f>'Table 3 Levels 1&amp;2'!AS67</f>
        <v>21770149</v>
      </c>
      <c r="M66" s="690">
        <f>'Table 3 Levels 1&amp;2'!C67</f>
        <v>6474</v>
      </c>
      <c r="N66" s="690">
        <f t="shared" si="20"/>
        <v>6477.5136359999997</v>
      </c>
      <c r="O66" s="677">
        <f t="shared" si="21"/>
        <v>3360.8804586698675</v>
      </c>
      <c r="P66" s="678">
        <f t="shared" si="22"/>
        <v>11808.910571278959</v>
      </c>
      <c r="Q66" s="1316">
        <f>'[9]Oct midyear adj_OJJ'!$K65</f>
        <v>0</v>
      </c>
      <c r="R66" s="678">
        <f t="shared" si="23"/>
        <v>11808.910571278959</v>
      </c>
      <c r="S66" s="678">
        <f t="shared" si="24"/>
        <v>984</v>
      </c>
      <c r="T66" s="679">
        <f t="shared" si="25"/>
        <v>42039.23039226378</v>
      </c>
      <c r="U66" s="685"/>
      <c r="V66" s="685"/>
      <c r="W66" s="679">
        <f t="shared" si="26"/>
        <v>3503</v>
      </c>
    </row>
    <row r="67" spans="1:23">
      <c r="A67" s="646">
        <v>61</v>
      </c>
      <c r="B67" s="647" t="s">
        <v>161</v>
      </c>
      <c r="C67" s="691">
        <f>'[10]Summary for MFP'!$E67</f>
        <v>2.7744490000000002</v>
      </c>
      <c r="D67" s="692">
        <f>'Table 3 Levels 1&amp;2'!AP68</f>
        <v>3896.6449620294334</v>
      </c>
      <c r="E67" s="692">
        <f t="shared" si="15"/>
        <v>5129.4817861743386</v>
      </c>
      <c r="F67" s="692">
        <f t="shared" si="16"/>
        <v>6599.8291780365334</v>
      </c>
      <c r="G67" s="693">
        <f t="shared" si="17"/>
        <v>18310.889463174284</v>
      </c>
      <c r="H67" s="684"/>
      <c r="I67" s="1310">
        <f>'[9]Oct midyear adj_OJJ'!$I66</f>
        <v>0</v>
      </c>
      <c r="J67" s="693">
        <f t="shared" si="18"/>
        <v>18310.889463174284</v>
      </c>
      <c r="K67" s="693">
        <f t="shared" si="19"/>
        <v>1526</v>
      </c>
      <c r="L67" s="653">
        <f>'Table 3 Levels 1&amp;2'!AS68</f>
        <v>17011585.699999999</v>
      </c>
      <c r="M67" s="694">
        <f>'Table 3 Levels 1&amp;2'!C68</f>
        <v>3547</v>
      </c>
      <c r="N67" s="694">
        <f t="shared" si="20"/>
        <v>3549.774449</v>
      </c>
      <c r="O67" s="655">
        <f t="shared" si="21"/>
        <v>4792.3004530026692</v>
      </c>
      <c r="P67" s="656">
        <f t="shared" si="22"/>
        <v>13295.993199532802</v>
      </c>
      <c r="Q67" s="1314">
        <f>'[9]Oct midyear adj_OJJ'!$K66</f>
        <v>0</v>
      </c>
      <c r="R67" s="656">
        <f t="shared" si="23"/>
        <v>13295.993199532802</v>
      </c>
      <c r="S67" s="656">
        <f t="shared" si="24"/>
        <v>1108</v>
      </c>
      <c r="T67" s="657">
        <f t="shared" si="25"/>
        <v>31606.882662707088</v>
      </c>
      <c r="U67" s="684"/>
      <c r="V67" s="685"/>
      <c r="W67" s="657">
        <f t="shared" si="26"/>
        <v>2634</v>
      </c>
    </row>
    <row r="68" spans="1:23">
      <c r="A68" s="658">
        <v>62</v>
      </c>
      <c r="B68" s="659" t="s">
        <v>162</v>
      </c>
      <c r="C68" s="681">
        <f>'[10]Summary for MFP'!$E68</f>
        <v>0.346883</v>
      </c>
      <c r="D68" s="682">
        <f>'Table 3 Levels 1&amp;2'!AP69</f>
        <v>6080.8119490053386</v>
      </c>
      <c r="E68" s="682">
        <f t="shared" si="15"/>
        <v>8004.684656035276</v>
      </c>
      <c r="F68" s="682">
        <f t="shared" si="16"/>
        <v>9475.0320478974718</v>
      </c>
      <c r="G68" s="683">
        <f t="shared" si="17"/>
        <v>3286.7275418708186</v>
      </c>
      <c r="H68" s="684"/>
      <c r="I68" s="1308">
        <f>'[9]Oct midyear adj_OJJ'!$I67</f>
        <v>0</v>
      </c>
      <c r="J68" s="683">
        <f t="shared" si="18"/>
        <v>3286.7275418708186</v>
      </c>
      <c r="K68" s="683">
        <f t="shared" si="19"/>
        <v>274</v>
      </c>
      <c r="L68" s="653">
        <f>'Table 3 Levels 1&amp;2'!AS69</f>
        <v>3613891.5</v>
      </c>
      <c r="M68" s="686">
        <f>'Table 3 Levels 1&amp;2'!C69</f>
        <v>2133</v>
      </c>
      <c r="N68" s="686">
        <f t="shared" si="20"/>
        <v>2133.3468830000002</v>
      </c>
      <c r="O68" s="664">
        <f t="shared" si="21"/>
        <v>1694.0008813372147</v>
      </c>
      <c r="P68" s="665">
        <f t="shared" si="22"/>
        <v>587.62010772089707</v>
      </c>
      <c r="Q68" s="1315">
        <f>'[9]Oct midyear adj_OJJ'!$K67</f>
        <v>0</v>
      </c>
      <c r="R68" s="665">
        <f t="shared" si="23"/>
        <v>587.62010772089707</v>
      </c>
      <c r="S68" s="665">
        <f t="shared" si="24"/>
        <v>49</v>
      </c>
      <c r="T68" s="666">
        <f t="shared" si="25"/>
        <v>3874.3476495917157</v>
      </c>
      <c r="U68" s="684"/>
      <c r="V68" s="685"/>
      <c r="W68" s="666">
        <f t="shared" si="26"/>
        <v>323</v>
      </c>
    </row>
    <row r="69" spans="1:23">
      <c r="A69" s="658">
        <v>63</v>
      </c>
      <c r="B69" s="659" t="s">
        <v>163</v>
      </c>
      <c r="C69" s="681">
        <f>'[10]Summary for MFP'!$E69</f>
        <v>1.487805</v>
      </c>
      <c r="D69" s="682">
        <f>'Table 3 Levels 1&amp;2'!AP70</f>
        <v>5170.7445110703338</v>
      </c>
      <c r="E69" s="682">
        <f t="shared" si="15"/>
        <v>6806.6862772846762</v>
      </c>
      <c r="F69" s="682">
        <f t="shared" si="16"/>
        <v>8277.033669146871</v>
      </c>
      <c r="G69" s="683">
        <f t="shared" si="17"/>
        <v>12314.612078125061</v>
      </c>
      <c r="H69" s="684"/>
      <c r="I69" s="1308">
        <f>'[9]Oct midyear adj_OJJ'!$I68</f>
        <v>0</v>
      </c>
      <c r="J69" s="683">
        <f t="shared" si="18"/>
        <v>12314.612078125061</v>
      </c>
      <c r="K69" s="683">
        <f t="shared" si="19"/>
        <v>1026</v>
      </c>
      <c r="L69" s="653">
        <f>'Table 3 Levels 1&amp;2'!AS70</f>
        <v>10177625.4</v>
      </c>
      <c r="M69" s="686">
        <f>'Table 3 Levels 1&amp;2'!C70</f>
        <v>2036</v>
      </c>
      <c r="N69" s="686">
        <f t="shared" si="20"/>
        <v>2037.487805</v>
      </c>
      <c r="O69" s="664">
        <f t="shared" si="21"/>
        <v>4995.1834681042428</v>
      </c>
      <c r="P69" s="665">
        <f t="shared" si="22"/>
        <v>7431.858939762833</v>
      </c>
      <c r="Q69" s="1315">
        <f>'[9]Oct midyear adj_OJJ'!$K68</f>
        <v>0</v>
      </c>
      <c r="R69" s="665">
        <f t="shared" si="23"/>
        <v>7431.858939762833</v>
      </c>
      <c r="S69" s="665">
        <f t="shared" si="24"/>
        <v>619</v>
      </c>
      <c r="T69" s="666">
        <f t="shared" si="25"/>
        <v>19746.471017887896</v>
      </c>
      <c r="U69" s="684"/>
      <c r="V69" s="685"/>
      <c r="W69" s="666">
        <f t="shared" si="26"/>
        <v>1645</v>
      </c>
    </row>
    <row r="70" spans="1:23">
      <c r="A70" s="658">
        <v>64</v>
      </c>
      <c r="B70" s="659" t="s">
        <v>164</v>
      </c>
      <c r="C70" s="681">
        <f>'[10]Summary for MFP'!$E70</f>
        <v>0</v>
      </c>
      <c r="D70" s="682">
        <f>'Table 3 Levels 1&amp;2'!AP71</f>
        <v>6463.6351716135423</v>
      </c>
      <c r="E70" s="682">
        <f t="shared" si="15"/>
        <v>8508.6270903161312</v>
      </c>
      <c r="F70" s="682">
        <f t="shared" si="16"/>
        <v>9978.9744821783261</v>
      </c>
      <c r="G70" s="683">
        <f t="shared" si="17"/>
        <v>0</v>
      </c>
      <c r="H70" s="684"/>
      <c r="I70" s="1308">
        <f>'[9]Oct midyear adj_OJJ'!$I69</f>
        <v>0</v>
      </c>
      <c r="J70" s="683">
        <f t="shared" si="18"/>
        <v>0</v>
      </c>
      <c r="K70" s="683">
        <f t="shared" si="19"/>
        <v>0</v>
      </c>
      <c r="L70" s="653">
        <f>'Table 3 Levels 1&amp;2'!AS71</f>
        <v>6666707</v>
      </c>
      <c r="M70" s="686">
        <f>'Table 3 Levels 1&amp;2'!C71</f>
        <v>2422</v>
      </c>
      <c r="N70" s="686">
        <f t="shared" si="20"/>
        <v>2422</v>
      </c>
      <c r="O70" s="664">
        <f t="shared" si="21"/>
        <v>2752.5627580511973</v>
      </c>
      <c r="P70" s="665">
        <f t="shared" si="22"/>
        <v>0</v>
      </c>
      <c r="Q70" s="1315">
        <f>'[9]Oct midyear adj_OJJ'!$K69</f>
        <v>0</v>
      </c>
      <c r="R70" s="665">
        <f t="shared" si="23"/>
        <v>0</v>
      </c>
      <c r="S70" s="665">
        <f t="shared" si="24"/>
        <v>0</v>
      </c>
      <c r="T70" s="666">
        <f t="shared" si="25"/>
        <v>0</v>
      </c>
      <c r="U70" s="684"/>
      <c r="V70" s="685"/>
      <c r="W70" s="666">
        <f t="shared" si="26"/>
        <v>0</v>
      </c>
    </row>
    <row r="71" spans="1:23">
      <c r="A71" s="669">
        <v>65</v>
      </c>
      <c r="B71" s="670" t="s">
        <v>165</v>
      </c>
      <c r="C71" s="687">
        <f>'[10]Summary for MFP'!$E71</f>
        <v>1.232</v>
      </c>
      <c r="D71" s="688">
        <f>'Table 3 Levels 1&amp;2'!AP72</f>
        <v>5428.9052278462686</v>
      </c>
      <c r="E71" s="688">
        <f t="shared" ref="E71:E76" si="27">D71*(1+$E$4)</f>
        <v>7146.5249609501725</v>
      </c>
      <c r="F71" s="688">
        <f t="shared" si="16"/>
        <v>8616.8723528123664</v>
      </c>
      <c r="G71" s="689">
        <f t="shared" si="17"/>
        <v>10615.986738664835</v>
      </c>
      <c r="H71" s="685"/>
      <c r="I71" s="1309">
        <f>'[9]Oct midyear adj_OJJ'!$I70</f>
        <v>0</v>
      </c>
      <c r="J71" s="689">
        <f t="shared" si="18"/>
        <v>10615.986738664835</v>
      </c>
      <c r="K71" s="689">
        <f t="shared" si="19"/>
        <v>885</v>
      </c>
      <c r="L71" s="675">
        <f>'Table 3 Levels 1&amp;2'!AS72</f>
        <v>33215785.100000001</v>
      </c>
      <c r="M71" s="690">
        <f>'Table 3 Levels 1&amp;2'!C72</f>
        <v>8587</v>
      </c>
      <c r="N71" s="690">
        <f t="shared" si="20"/>
        <v>8588.232</v>
      </c>
      <c r="O71" s="677">
        <f t="shared" si="21"/>
        <v>3867.5928992137151</v>
      </c>
      <c r="P71" s="678">
        <f t="shared" si="22"/>
        <v>4764.8744518312969</v>
      </c>
      <c r="Q71" s="1316">
        <f>'[9]Oct midyear adj_OJJ'!$K70</f>
        <v>0</v>
      </c>
      <c r="R71" s="678">
        <f t="shared" si="23"/>
        <v>4764.8744518312969</v>
      </c>
      <c r="S71" s="678">
        <f t="shared" si="24"/>
        <v>397</v>
      </c>
      <c r="T71" s="679">
        <f t="shared" si="25"/>
        <v>15380.861190496133</v>
      </c>
      <c r="U71" s="685"/>
      <c r="V71" s="685"/>
      <c r="W71" s="679">
        <f t="shared" si="26"/>
        <v>1282</v>
      </c>
    </row>
    <row r="72" spans="1:23">
      <c r="A72" s="646">
        <v>66</v>
      </c>
      <c r="B72" s="647" t="s">
        <v>166</v>
      </c>
      <c r="C72" s="691">
        <f>'[10]Summary for MFP'!$E72</f>
        <v>0</v>
      </c>
      <c r="D72" s="692">
        <f>'Table 3 Levels 1&amp;2'!AP73</f>
        <v>6973.7739398251579</v>
      </c>
      <c r="E72" s="692">
        <f t="shared" si="27"/>
        <v>9180.1656947980882</v>
      </c>
      <c r="F72" s="692">
        <f t="shared" ref="F72:F76" si="28">E72+$F$4</f>
        <v>10650.513086660283</v>
      </c>
      <c r="G72" s="693">
        <f>C72*F72</f>
        <v>0</v>
      </c>
      <c r="H72" s="684"/>
      <c r="I72" s="1310">
        <f>'[9]Oct midyear adj_OJJ'!$I71</f>
        <v>78.017407702758362</v>
      </c>
      <c r="J72" s="693">
        <f t="shared" ref="J72:J75" si="29">SUM(G72:I72)</f>
        <v>78.017407702758362</v>
      </c>
      <c r="K72" s="693">
        <f t="shared" ref="K72:K75" si="30">ROUND(J72/12,0)</f>
        <v>7</v>
      </c>
      <c r="L72" s="653">
        <f>'Table 3 Levels 1&amp;2'!AS73</f>
        <v>7244965</v>
      </c>
      <c r="M72" s="694">
        <f>'Table 3 Levels 1&amp;2'!C73</f>
        <v>2059</v>
      </c>
      <c r="N72" s="694">
        <f>C72+M72</f>
        <v>2059</v>
      </c>
      <c r="O72" s="655">
        <f t="shared" ref="O72:O76" si="31">L72/N72</f>
        <v>3518.6813987372511</v>
      </c>
      <c r="P72" s="656">
        <f>C72*O72</f>
        <v>0</v>
      </c>
      <c r="Q72" s="1314">
        <f>'[9]Oct midyear adj_OJJ'!$K71</f>
        <v>24.927967259920109</v>
      </c>
      <c r="R72" s="656">
        <f t="shared" ref="R72:R75" si="32">SUM(P72:Q72)</f>
        <v>24.927967259920109</v>
      </c>
      <c r="S72" s="656">
        <f t="shared" ref="S72:S75" si="33">ROUND(R72/12,0)</f>
        <v>2</v>
      </c>
      <c r="T72" s="657">
        <f>G72+P72</f>
        <v>0</v>
      </c>
      <c r="U72" s="684"/>
      <c r="V72" s="685"/>
      <c r="W72" s="657">
        <f>K72+S72</f>
        <v>9</v>
      </c>
    </row>
    <row r="73" spans="1:23">
      <c r="A73" s="658">
        <v>67</v>
      </c>
      <c r="B73" s="659" t="s">
        <v>33</v>
      </c>
      <c r="C73" s="681">
        <f>'[10]Summary for MFP'!$E73</f>
        <v>7.1999999999999995E-2</v>
      </c>
      <c r="D73" s="682">
        <f>'Table 3 Levels 1&amp;2'!AP74</f>
        <v>5765.174319011162</v>
      </c>
      <c r="E73" s="682">
        <f t="shared" si="27"/>
        <v>7589.1842730485914</v>
      </c>
      <c r="F73" s="682">
        <f t="shared" si="28"/>
        <v>9059.5316649107863</v>
      </c>
      <c r="G73" s="683">
        <f>C73*F73</f>
        <v>652.28627987357652</v>
      </c>
      <c r="H73" s="684"/>
      <c r="I73" s="1308">
        <f>'[9]Oct midyear adj_OJJ'!$I72</f>
        <v>0</v>
      </c>
      <c r="J73" s="683">
        <f t="shared" si="29"/>
        <v>652.28627987357652</v>
      </c>
      <c r="K73" s="683">
        <f t="shared" si="30"/>
        <v>54</v>
      </c>
      <c r="L73" s="653">
        <f>'Table 3 Levels 1&amp;2'!AS74</f>
        <v>15610490.199999999</v>
      </c>
      <c r="M73" s="686">
        <f>'Table 3 Levels 1&amp;2'!C74</f>
        <v>5071</v>
      </c>
      <c r="N73" s="686">
        <f>C73+M73</f>
        <v>5071.0720000000001</v>
      </c>
      <c r="O73" s="664">
        <f t="shared" si="31"/>
        <v>3078.3412659098508</v>
      </c>
      <c r="P73" s="665">
        <f>C73*O73</f>
        <v>221.64057114550923</v>
      </c>
      <c r="Q73" s="1315">
        <f>'[9]Oct midyear adj_OJJ'!$K72</f>
        <v>0</v>
      </c>
      <c r="R73" s="665">
        <f t="shared" si="32"/>
        <v>221.64057114550923</v>
      </c>
      <c r="S73" s="665">
        <f t="shared" si="33"/>
        <v>18</v>
      </c>
      <c r="T73" s="666">
        <f>G73+P73</f>
        <v>873.92685101908569</v>
      </c>
      <c r="U73" s="684"/>
      <c r="V73" s="685"/>
      <c r="W73" s="666">
        <f>K73+S73</f>
        <v>72</v>
      </c>
    </row>
    <row r="74" spans="1:23">
      <c r="A74" s="658">
        <v>68</v>
      </c>
      <c r="B74" s="659" t="s">
        <v>31</v>
      </c>
      <c r="C74" s="681">
        <f>'[10]Summary for MFP'!$E74</f>
        <v>0</v>
      </c>
      <c r="D74" s="682">
        <f>'Table 3 Levels 1&amp;2'!AP75</f>
        <v>6660.2247137404065</v>
      </c>
      <c r="E74" s="682">
        <f t="shared" si="27"/>
        <v>8767.4144536808744</v>
      </c>
      <c r="F74" s="682">
        <f t="shared" si="28"/>
        <v>10237.761845543069</v>
      </c>
      <c r="G74" s="683">
        <f>C74*F74</f>
        <v>0</v>
      </c>
      <c r="H74" s="684"/>
      <c r="I74" s="1308">
        <f>'[9]Oct midyear adj_OJJ'!$I73</f>
        <v>0</v>
      </c>
      <c r="J74" s="683">
        <f t="shared" si="29"/>
        <v>0</v>
      </c>
      <c r="K74" s="683">
        <f t="shared" si="30"/>
        <v>0</v>
      </c>
      <c r="L74" s="653">
        <f>'Table 3 Levels 1&amp;2'!AS75</f>
        <v>5087485</v>
      </c>
      <c r="M74" s="686">
        <f>'Table 3 Levels 1&amp;2'!C75</f>
        <v>1772</v>
      </c>
      <c r="N74" s="686">
        <f>C74+M74</f>
        <v>1772</v>
      </c>
      <c r="O74" s="664">
        <f t="shared" si="31"/>
        <v>2871.0411963882621</v>
      </c>
      <c r="P74" s="665">
        <f>C74*O74</f>
        <v>0</v>
      </c>
      <c r="Q74" s="1315">
        <f>'[9]Oct midyear adj_OJJ'!$K73</f>
        <v>0</v>
      </c>
      <c r="R74" s="665">
        <f t="shared" si="32"/>
        <v>0</v>
      </c>
      <c r="S74" s="665">
        <f t="shared" si="33"/>
        <v>0</v>
      </c>
      <c r="T74" s="666">
        <f>G74+P74</f>
        <v>0</v>
      </c>
      <c r="U74" s="684"/>
      <c r="V74" s="685"/>
      <c r="W74" s="666">
        <f>K74+S74</f>
        <v>0</v>
      </c>
    </row>
    <row r="75" spans="1:23">
      <c r="A75" s="695">
        <v>69</v>
      </c>
      <c r="B75" s="696" t="s">
        <v>235</v>
      </c>
      <c r="C75" s="697">
        <f>'[10]Summary for MFP'!$E75</f>
        <v>0</v>
      </c>
      <c r="D75" s="698">
        <f>'Table 3 Levels 1&amp;2'!AP76</f>
        <v>6213.8128639488714</v>
      </c>
      <c r="E75" s="698">
        <f t="shared" si="27"/>
        <v>8179.7649564976664</v>
      </c>
      <c r="F75" s="698">
        <f t="shared" si="28"/>
        <v>9650.1123483598603</v>
      </c>
      <c r="G75" s="699">
        <f>C75*F75</f>
        <v>0</v>
      </c>
      <c r="H75" s="684"/>
      <c r="I75" s="1311">
        <f>'[9]Oct midyear adj_OJJ'!$I74</f>
        <v>0</v>
      </c>
      <c r="J75" s="699">
        <f t="shared" si="29"/>
        <v>0</v>
      </c>
      <c r="K75" s="699">
        <f t="shared" si="30"/>
        <v>0</v>
      </c>
      <c r="L75" s="653">
        <f>'Table 3 Levels 1&amp;2'!AS76</f>
        <v>11147643.800000001</v>
      </c>
      <c r="M75" s="700">
        <f>'Table 3 Levels 1&amp;2'!C76</f>
        <v>3943</v>
      </c>
      <c r="N75" s="700">
        <f>C75+M75</f>
        <v>3943</v>
      </c>
      <c r="O75" s="701">
        <f t="shared" si="31"/>
        <v>2827.1985290388029</v>
      </c>
      <c r="P75" s="702">
        <f>C75*O75</f>
        <v>0</v>
      </c>
      <c r="Q75" s="1317">
        <f>'[9]Oct midyear adj_OJJ'!$K74</f>
        <v>0</v>
      </c>
      <c r="R75" s="702">
        <f t="shared" si="32"/>
        <v>0</v>
      </c>
      <c r="S75" s="702">
        <f t="shared" si="33"/>
        <v>0</v>
      </c>
      <c r="T75" s="703">
        <f>G75+P75</f>
        <v>0</v>
      </c>
      <c r="U75" s="684"/>
      <c r="V75" s="685"/>
      <c r="W75" s="703">
        <f>K75+S75</f>
        <v>0</v>
      </c>
    </row>
    <row r="76" spans="1:23" s="8" customFormat="1" ht="13.5" thickBot="1">
      <c r="A76" s="704"/>
      <c r="B76" s="705" t="s">
        <v>167</v>
      </c>
      <c r="C76" s="706">
        <f>SUM(C7:C75)</f>
        <v>310.69909400000006</v>
      </c>
      <c r="D76" s="707">
        <f>'Table 3 Levels 1&amp;2'!AP77</f>
        <v>5030.6952566221626</v>
      </c>
      <c r="E76" s="707">
        <f t="shared" si="27"/>
        <v>6622.3276541975356</v>
      </c>
      <c r="F76" s="707">
        <f t="shared" si="28"/>
        <v>8092.6750460597304</v>
      </c>
      <c r="G76" s="708">
        <f>SUM(G7:G75)</f>
        <v>2434331.2008444211</v>
      </c>
      <c r="H76" s="709"/>
      <c r="I76" s="1312">
        <f t="shared" ref="I76:N76" si="34">SUM(I7:I75)</f>
        <v>-5928.4203465283663</v>
      </c>
      <c r="J76" s="708">
        <f t="shared" si="34"/>
        <v>2428402.7804978932</v>
      </c>
      <c r="K76" s="708">
        <f t="shared" si="34"/>
        <v>202366</v>
      </c>
      <c r="L76" s="710">
        <f t="shared" si="34"/>
        <v>2373275418.3000002</v>
      </c>
      <c r="M76" s="711">
        <f t="shared" si="34"/>
        <v>676830</v>
      </c>
      <c r="N76" s="711">
        <f t="shared" si="34"/>
        <v>677140.69909400004</v>
      </c>
      <c r="O76" s="710">
        <f t="shared" si="31"/>
        <v>3504.8482855562997</v>
      </c>
      <c r="P76" s="712">
        <f>SUM(P7:P75)</f>
        <v>1143473.181870868</v>
      </c>
      <c r="Q76" s="1318">
        <f>SUM(Q7:Q75)</f>
        <v>-1367.1787041319185</v>
      </c>
      <c r="R76" s="1318">
        <f>SUM(R7:R75)</f>
        <v>1142106.0031667359</v>
      </c>
      <c r="S76" s="712">
        <f>SUM(S7:S75)</f>
        <v>95176</v>
      </c>
      <c r="T76" s="713">
        <f>SUM(T7:T75)</f>
        <v>3577804.3827152881</v>
      </c>
      <c r="U76" s="709"/>
      <c r="V76" s="709"/>
      <c r="W76" s="713">
        <f>SUM(W7:W75)</f>
        <v>297542</v>
      </c>
    </row>
    <row r="77" spans="1:23" s="8" customFormat="1" ht="13.5" thickTop="1">
      <c r="A77" s="714"/>
      <c r="B77" s="714"/>
      <c r="C77" s="715"/>
      <c r="D77" s="715"/>
      <c r="E77" s="715"/>
      <c r="F77" s="715"/>
      <c r="H77" s="716"/>
      <c r="I77" s="716"/>
      <c r="J77" s="716"/>
      <c r="L77" s="717"/>
      <c r="M77" s="718"/>
      <c r="N77" s="717"/>
      <c r="O77" s="717"/>
      <c r="P77" s="717"/>
      <c r="Q77" s="717"/>
      <c r="R77" s="717"/>
      <c r="S77" s="717"/>
      <c r="U77" s="716"/>
      <c r="V77" s="716"/>
    </row>
    <row r="78" spans="1:23" ht="16.5" customHeight="1">
      <c r="A78" s="719"/>
      <c r="C78" s="720"/>
      <c r="M78" s="720"/>
    </row>
    <row r="79" spans="1:23" ht="12.75" hidden="1" customHeight="1">
      <c r="E79" s="2">
        <v>177</v>
      </c>
      <c r="F79" s="2"/>
    </row>
    <row r="80" spans="1:23" hidden="1">
      <c r="E80" s="349">
        <v>233</v>
      </c>
      <c r="F80" s="64"/>
    </row>
    <row r="81" spans="3:22" hidden="1">
      <c r="E81" s="2">
        <f>E80-E79</f>
        <v>56</v>
      </c>
      <c r="F81" s="2"/>
    </row>
    <row r="82" spans="3:22" hidden="1">
      <c r="E82" s="2"/>
      <c r="F82" s="2"/>
    </row>
    <row r="83" spans="3:22" ht="3" hidden="1" customHeight="1">
      <c r="E83" s="2">
        <f>E81/E79</f>
        <v>0.31638418079096048</v>
      </c>
      <c r="F83" s="2"/>
      <c r="G83" s="721" t="s">
        <v>581</v>
      </c>
      <c r="H83" s="722"/>
      <c r="I83" s="722"/>
      <c r="J83" s="722"/>
      <c r="K83" s="721"/>
      <c r="U83" s="722"/>
      <c r="V83" s="722"/>
    </row>
    <row r="84" spans="3:22" ht="10.5" hidden="1" customHeight="1"/>
    <row r="85" spans="3:22" hidden="1"/>
    <row r="86" spans="3:22" hidden="1">
      <c r="C86" s="723">
        <v>85661</v>
      </c>
      <c r="D86" s="724" t="s">
        <v>582</v>
      </c>
    </row>
    <row r="87" spans="3:22" hidden="1">
      <c r="C87" s="723">
        <v>650290</v>
      </c>
      <c r="D87" s="724" t="s">
        <v>583</v>
      </c>
    </row>
    <row r="88" spans="3:22" hidden="1">
      <c r="C88" s="725">
        <f>C86/C87</f>
        <v>0.13172738316750987</v>
      </c>
      <c r="D88" s="724" t="s">
        <v>584</v>
      </c>
    </row>
    <row r="89" spans="3:22" hidden="1">
      <c r="C89" s="723"/>
      <c r="D89" s="724"/>
    </row>
    <row r="90" spans="3:22" hidden="1">
      <c r="C90" s="723">
        <v>128510</v>
      </c>
      <c r="D90" s="724" t="s">
        <v>585</v>
      </c>
    </row>
    <row r="91" spans="3:22" ht="11.25" hidden="1" customHeight="1">
      <c r="C91" s="723">
        <v>911320</v>
      </c>
      <c r="D91" s="724" t="s">
        <v>586</v>
      </c>
    </row>
    <row r="92" spans="3:22" hidden="1">
      <c r="C92" s="725">
        <f>C90/C91</f>
        <v>0.14101523065443533</v>
      </c>
      <c r="D92" s="724" t="s">
        <v>587</v>
      </c>
    </row>
    <row r="93" spans="3:22" hidden="1">
      <c r="C93" s="723"/>
      <c r="D93" s="724"/>
    </row>
    <row r="94" spans="3:22" hidden="1">
      <c r="C94" s="726">
        <v>2663489616</v>
      </c>
      <c r="D94" s="602" t="s">
        <v>588</v>
      </c>
    </row>
    <row r="95" spans="3:22" hidden="1">
      <c r="C95" s="727">
        <f>C92</f>
        <v>0.14101523065443533</v>
      </c>
      <c r="D95" s="602"/>
    </row>
    <row r="96" spans="3:22" hidden="1">
      <c r="C96" s="728">
        <f>C94*C95</f>
        <v>375592602.54593337</v>
      </c>
      <c r="D96" s="724" t="s">
        <v>589</v>
      </c>
    </row>
    <row r="97" spans="3:4" hidden="1">
      <c r="C97" s="729">
        <f>50%/C92</f>
        <v>3.5457162866702978</v>
      </c>
      <c r="D97" s="602" t="s">
        <v>590</v>
      </c>
    </row>
    <row r="98" spans="3:4" hidden="1">
      <c r="C98" s="728">
        <f>C96*C97</f>
        <v>1331744808</v>
      </c>
      <c r="D98" s="730" t="s">
        <v>591</v>
      </c>
    </row>
    <row r="99" spans="3:4" hidden="1">
      <c r="C99" s="731">
        <f>C87</f>
        <v>650290</v>
      </c>
      <c r="D99" s="602" t="s">
        <v>592</v>
      </c>
    </row>
    <row r="100" spans="3:4" hidden="1">
      <c r="C100" s="728">
        <f>C98/C99</f>
        <v>2047.9244767719017</v>
      </c>
      <c r="D100" s="602" t="s">
        <v>593</v>
      </c>
    </row>
    <row r="101" spans="3:4" hidden="1">
      <c r="C101" s="732">
        <f>(C96/C99)*-1</f>
        <v>-577.57708490970697</v>
      </c>
      <c r="D101" s="602" t="s">
        <v>594</v>
      </c>
    </row>
    <row r="102" spans="3:4" hidden="1">
      <c r="C102" s="733">
        <f>SUM(C100:C101)</f>
        <v>1470.3473918621949</v>
      </c>
      <c r="D102" s="602" t="s">
        <v>595</v>
      </c>
    </row>
    <row r="103" spans="3:4" hidden="1">
      <c r="C103" s="733"/>
      <c r="D103" s="602"/>
    </row>
    <row r="104" spans="3:4" hidden="1">
      <c r="C104" s="733"/>
      <c r="D104" s="602"/>
    </row>
    <row r="105" spans="3:4">
      <c r="D105" s="602"/>
    </row>
  </sheetData>
  <mergeCells count="23">
    <mergeCell ref="A2:B4"/>
    <mergeCell ref="T2:T4"/>
    <mergeCell ref="C3:C4"/>
    <mergeCell ref="D3:D4"/>
    <mergeCell ref="G3:G4"/>
    <mergeCell ref="K3:K4"/>
    <mergeCell ref="C2:K2"/>
    <mergeCell ref="L2:S2"/>
    <mergeCell ref="I3:I4"/>
    <mergeCell ref="J3:J4"/>
    <mergeCell ref="Q3:Q4"/>
    <mergeCell ref="R3:R4"/>
    <mergeCell ref="V20:V22"/>
    <mergeCell ref="O3:O4"/>
    <mergeCell ref="P3:P4"/>
    <mergeCell ref="V9:V10"/>
    <mergeCell ref="V12:V14"/>
    <mergeCell ref="S3:S4"/>
    <mergeCell ref="W2:W4"/>
    <mergeCell ref="V16:V18"/>
    <mergeCell ref="L3:L4"/>
    <mergeCell ref="M3:M4"/>
    <mergeCell ref="N3:N4"/>
  </mergeCells>
  <printOptions horizontalCentered="1"/>
  <pageMargins left="0.27" right="0.25" top="0.87" bottom="0.2" header="0.25" footer="0.2"/>
  <pageSetup paperSize="5" scale="63" firstPageNumber="90" fitToWidth="3" orientation="portrait" useFirstPageNumber="1" r:id="rId1"/>
  <headerFooter alignWithMargins="0">
    <oddHeader xml:space="preserve">&amp;L&amp;"Arial,Bold"&amp;16Table 5E:  FY2012-13 MFP Budget Letter &amp;"Arial,Regular"&amp;10
&amp;"Arial,Bold"&amp;14Office of Juvenile Justice (Based on Preliminary Data) &amp;R&amp;"Arial,Bold"&amp;12&amp;KFF0000
</oddHeader>
    <oddFooter>&amp;R&amp;9&amp;P</oddFooter>
  </headerFooter>
  <colBreaks count="1" manualBreakCount="1">
    <brk id="11" min="1" max="78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dimension ref="A1:S87"/>
  <sheetViews>
    <sheetView view="pageBreakPreview" zoomScale="90" zoomScaleNormal="90" zoomScaleSheetLayoutView="90" workbookViewId="0">
      <pane xSplit="2" ySplit="10" topLeftCell="C11" activePane="bottomRight" state="frozen"/>
      <selection activeCell="A8" sqref="A8:A9"/>
      <selection pane="topRight" activeCell="A8" sqref="A8:A9"/>
      <selection pane="bottomLeft" activeCell="A8" sqref="A8:A9"/>
      <selection pane="bottomRight" activeCell="B90" sqref="B90"/>
    </sheetView>
  </sheetViews>
  <sheetFormatPr defaultRowHeight="12.75"/>
  <cols>
    <col min="1" max="1" width="3.5703125" customWidth="1"/>
    <col min="2" max="2" width="18.7109375" bestFit="1" customWidth="1"/>
    <col min="3" max="3" width="11.42578125" customWidth="1"/>
    <col min="4" max="4" width="10" bestFit="1" customWidth="1"/>
    <col min="5" max="5" width="11.5703125" bestFit="1" customWidth="1"/>
    <col min="6" max="6" width="10" bestFit="1" customWidth="1"/>
    <col min="7" max="7" width="11.140625" bestFit="1" customWidth="1"/>
    <col min="8" max="8" width="12" bestFit="1" customWidth="1"/>
    <col min="9" max="9" width="14.5703125" customWidth="1"/>
    <col min="10" max="10" width="11.85546875" customWidth="1"/>
    <col min="11" max="11" width="11" customWidth="1"/>
    <col min="12" max="12" width="14.5703125" customWidth="1"/>
    <col min="13" max="14" width="8.42578125" bestFit="1" customWidth="1"/>
    <col min="15" max="16" width="11.7109375" bestFit="1" customWidth="1"/>
    <col min="17" max="17" width="15.42578125" customWidth="1"/>
    <col min="18" max="19" width="11" bestFit="1" customWidth="1"/>
    <col min="20" max="20" width="15.5703125" bestFit="1" customWidth="1"/>
    <col min="21" max="21" width="11.5703125" bestFit="1" customWidth="1"/>
    <col min="22" max="22" width="16.85546875" customWidth="1"/>
  </cols>
  <sheetData>
    <row r="1" spans="1:19" s="2" customFormat="1" ht="33" customHeight="1"/>
    <row r="2" spans="1:19" ht="11.25" hidden="1" customHeight="1">
      <c r="C2" s="73" t="s">
        <v>82</v>
      </c>
      <c r="D2" s="73"/>
      <c r="E2" s="73"/>
      <c r="F2" s="73"/>
      <c r="G2" s="74" t="s">
        <v>226</v>
      </c>
      <c r="H2" s="123"/>
      <c r="I2" s="123"/>
      <c r="J2" s="35"/>
      <c r="K2" s="35"/>
      <c r="L2" s="35"/>
      <c r="M2" s="35"/>
    </row>
    <row r="3" spans="1:19" ht="26.25" customHeight="1">
      <c r="B3" s="1761" t="s">
        <v>854</v>
      </c>
      <c r="C3" s="1761"/>
      <c r="D3" s="1761"/>
      <c r="E3" s="1761"/>
      <c r="F3" s="1761"/>
      <c r="G3" s="1761"/>
      <c r="H3" s="1761"/>
      <c r="I3" s="1761"/>
      <c r="J3" s="1761"/>
      <c r="K3" s="1761"/>
      <c r="L3" s="1761"/>
      <c r="M3" s="1761"/>
      <c r="N3" s="1761"/>
    </row>
    <row r="4" spans="1:19" ht="6.75" customHeight="1">
      <c r="B4" s="1176"/>
      <c r="C4" s="1176"/>
      <c r="D4" s="1176"/>
      <c r="E4" s="1176"/>
      <c r="F4" s="1176"/>
      <c r="G4" s="1176"/>
      <c r="H4" s="1176"/>
      <c r="I4" s="1176"/>
      <c r="J4" s="1176"/>
      <c r="K4" s="1176"/>
      <c r="L4" s="1176"/>
      <c r="M4" s="1176"/>
    </row>
    <row r="5" spans="1:19" ht="35.25" customHeight="1">
      <c r="B5" s="1176"/>
      <c r="C5" s="1176"/>
      <c r="D5" s="1176"/>
      <c r="E5" s="1176"/>
      <c r="F5" s="1176"/>
      <c r="G5" s="1176"/>
      <c r="H5" s="1176"/>
      <c r="I5" s="1176"/>
      <c r="J5" s="1176"/>
      <c r="K5" s="1176"/>
      <c r="L5" s="1176"/>
      <c r="M5" s="1176"/>
    </row>
    <row r="6" spans="1:19" s="8" customFormat="1">
      <c r="B6" s="96"/>
      <c r="C6" s="97"/>
      <c r="D6" s="98"/>
      <c r="E6" s="98"/>
      <c r="F6" s="98"/>
      <c r="G6" s="99"/>
    </row>
    <row r="7" spans="1:19" s="8" customFormat="1" ht="22.5" customHeight="1">
      <c r="B7" s="96"/>
      <c r="C7" s="97"/>
      <c r="D7" s="1908" t="s">
        <v>1243</v>
      </c>
      <c r="E7" s="1909"/>
      <c r="F7" s="1909"/>
      <c r="G7" s="1909"/>
      <c r="H7" s="1909"/>
      <c r="I7" s="1915" t="s">
        <v>840</v>
      </c>
      <c r="J7" s="1916"/>
      <c r="K7" s="1916"/>
      <c r="L7" s="1917"/>
      <c r="M7" s="1915" t="s">
        <v>846</v>
      </c>
      <c r="N7" s="1916"/>
      <c r="O7" s="1916"/>
      <c r="P7" s="1916"/>
      <c r="Q7" s="1910" t="s">
        <v>1203</v>
      </c>
      <c r="R7" s="1911"/>
      <c r="S7" s="1912"/>
    </row>
    <row r="8" spans="1:19" ht="99" customHeight="1">
      <c r="A8" s="1904" t="s">
        <v>639</v>
      </c>
      <c r="B8" s="1867" t="s">
        <v>826</v>
      </c>
      <c r="C8" s="1867" t="s">
        <v>812</v>
      </c>
      <c r="D8" s="1867" t="s">
        <v>844</v>
      </c>
      <c r="E8" s="1867" t="s">
        <v>1430</v>
      </c>
      <c r="F8" s="1906" t="s">
        <v>845</v>
      </c>
      <c r="G8" s="1906" t="s">
        <v>1431</v>
      </c>
      <c r="H8" s="1907" t="s">
        <v>1432</v>
      </c>
      <c r="I8" s="1833" t="s">
        <v>843</v>
      </c>
      <c r="J8" s="1868" t="s">
        <v>839</v>
      </c>
      <c r="K8" s="1833" t="s">
        <v>827</v>
      </c>
      <c r="L8" s="1868" t="s">
        <v>838</v>
      </c>
      <c r="M8" s="1740" t="s">
        <v>824</v>
      </c>
      <c r="N8" s="1913" t="s">
        <v>825</v>
      </c>
      <c r="O8" s="1740" t="s">
        <v>1406</v>
      </c>
      <c r="P8" s="1906" t="s">
        <v>1433</v>
      </c>
      <c r="Q8" s="1918" t="s">
        <v>1434</v>
      </c>
      <c r="R8" s="1906" t="s">
        <v>1435</v>
      </c>
      <c r="S8" s="1677" t="s">
        <v>1436</v>
      </c>
    </row>
    <row r="9" spans="1:19" ht="28.5" customHeight="1">
      <c r="A9" s="1905"/>
      <c r="B9" s="1867"/>
      <c r="C9" s="1867"/>
      <c r="D9" s="1867"/>
      <c r="E9" s="1867"/>
      <c r="F9" s="1906"/>
      <c r="G9" s="1906"/>
      <c r="H9" s="1907"/>
      <c r="I9" s="1834"/>
      <c r="J9" s="1868"/>
      <c r="K9" s="1834"/>
      <c r="L9" s="1868"/>
      <c r="M9" s="1741"/>
      <c r="N9" s="1914"/>
      <c r="O9" s="1741"/>
      <c r="P9" s="1906"/>
      <c r="Q9" s="1918"/>
      <c r="R9" s="1906"/>
      <c r="S9" s="1677"/>
    </row>
    <row r="10" spans="1:19">
      <c r="A10" s="1407"/>
      <c r="B10" s="116"/>
      <c r="C10" s="228">
        <v>1</v>
      </c>
      <c r="D10" s="228">
        <f>C10+1</f>
        <v>2</v>
      </c>
      <c r="E10" s="228">
        <f t="shared" ref="E10:H10" si="0">D10+1</f>
        <v>3</v>
      </c>
      <c r="F10" s="228">
        <f t="shared" si="0"/>
        <v>4</v>
      </c>
      <c r="G10" s="228">
        <f t="shared" si="0"/>
        <v>5</v>
      </c>
      <c r="H10" s="228">
        <f t="shared" si="0"/>
        <v>6</v>
      </c>
      <c r="I10" s="228">
        <f t="shared" ref="I10" si="1">H10+1</f>
        <v>7</v>
      </c>
      <c r="J10" s="228">
        <f t="shared" ref="J10" si="2">I10+1</f>
        <v>8</v>
      </c>
      <c r="K10" s="228">
        <f t="shared" ref="K10" si="3">J10+1</f>
        <v>9</v>
      </c>
      <c r="L10" s="228">
        <f t="shared" ref="L10" si="4">K10+1</f>
        <v>10</v>
      </c>
      <c r="M10" s="228">
        <f t="shared" ref="M10" si="5">L10+1</f>
        <v>11</v>
      </c>
      <c r="N10" s="228">
        <f t="shared" ref="N10" si="6">M10+1</f>
        <v>12</v>
      </c>
      <c r="O10" s="228">
        <f t="shared" ref="O10" si="7">N10+1</f>
        <v>13</v>
      </c>
      <c r="P10" s="228">
        <f t="shared" ref="P10" si="8">O10+1</f>
        <v>14</v>
      </c>
      <c r="Q10" s="228">
        <f t="shared" ref="Q10" si="9">P10+1</f>
        <v>15</v>
      </c>
      <c r="R10" s="228">
        <f t="shared" ref="R10" si="10">Q10+1</f>
        <v>16</v>
      </c>
      <c r="S10" s="228">
        <f t="shared" ref="S10" si="11">R10+1</f>
        <v>17</v>
      </c>
    </row>
    <row r="11" spans="1:19">
      <c r="A11" s="1021">
        <v>1</v>
      </c>
      <c r="B11" s="1022" t="s">
        <v>102</v>
      </c>
      <c r="C11" s="1411"/>
      <c r="D11" s="1413">
        <f>'Table 3 Levels 1&amp;2'!AP8</f>
        <v>5399.02320652251</v>
      </c>
      <c r="E11" s="1408">
        <f>D11*C11</f>
        <v>0</v>
      </c>
      <c r="F11" s="1413">
        <f>'Table 3 Levels 1&amp;2'!AT8</f>
        <v>2045</v>
      </c>
      <c r="G11" s="1413">
        <f>F11*C11</f>
        <v>0</v>
      </c>
      <c r="H11" s="1413">
        <f>E11+G11</f>
        <v>0</v>
      </c>
      <c r="I11" s="1413">
        <f t="shared" ref="I11:I42" si="12">D11+F11</f>
        <v>7444.02320652251</v>
      </c>
      <c r="J11" s="1411"/>
      <c r="K11" s="1413">
        <f t="shared" ref="K11:K45" si="13">IF(I11&gt;J11,J11,I11)</f>
        <v>0</v>
      </c>
      <c r="L11" s="1428">
        <f t="shared" ref="L11:L42" si="14">K11*C11</f>
        <v>0</v>
      </c>
      <c r="M11" s="1429">
        <f>'Table 3 Levels 1&amp;2'!V8</f>
        <v>0.76939999999999997</v>
      </c>
      <c r="N11" s="1429">
        <f>'Table 3 Levels 1&amp;2'!W8</f>
        <v>0.2306</v>
      </c>
      <c r="O11" s="1438">
        <f>M11*L11</f>
        <v>0</v>
      </c>
      <c r="P11" s="1438">
        <f>N11*L11</f>
        <v>0</v>
      </c>
      <c r="Q11" s="1439">
        <f t="shared" ref="Q11:Q42" si="15">E11-O11</f>
        <v>0</v>
      </c>
      <c r="R11" s="1446">
        <f t="shared" ref="R11:R42" si="16">G11-P11</f>
        <v>0</v>
      </c>
      <c r="S11" s="1439">
        <f>SUM(Q11:R11)</f>
        <v>0</v>
      </c>
    </row>
    <row r="12" spans="1:19">
      <c r="A12" s="1028">
        <v>2</v>
      </c>
      <c r="B12" s="1029" t="s">
        <v>103</v>
      </c>
      <c r="C12" s="1411"/>
      <c r="D12" s="1413">
        <f>'Table 3 Levels 1&amp;2'!AP9</f>
        <v>6973.9251387606755</v>
      </c>
      <c r="E12" s="1408">
        <f t="shared" ref="E12:E45" si="17">D12*C12</f>
        <v>0</v>
      </c>
      <c r="F12" s="1413">
        <f>'Table 3 Levels 1&amp;2'!AT9</f>
        <v>2616.0300000000002</v>
      </c>
      <c r="G12" s="1413">
        <f t="shared" ref="G12:G75" si="18">F12*C12</f>
        <v>0</v>
      </c>
      <c r="H12" s="1413">
        <f t="shared" ref="H12:H75" si="19">E12+G12</f>
        <v>0</v>
      </c>
      <c r="I12" s="1413">
        <f t="shared" si="12"/>
        <v>9589.9551387606753</v>
      </c>
      <c r="J12" s="1411"/>
      <c r="K12" s="1413">
        <f t="shared" si="13"/>
        <v>0</v>
      </c>
      <c r="L12" s="1413">
        <f t="shared" si="14"/>
        <v>0</v>
      </c>
      <c r="M12" s="1430">
        <f>'Table 3 Levels 1&amp;2'!V9</f>
        <v>0.85019999999999996</v>
      </c>
      <c r="N12" s="1430">
        <f>'Table 3 Levels 1&amp;2'!W9</f>
        <v>0.14979999999999999</v>
      </c>
      <c r="O12" s="1413">
        <f t="shared" ref="O12:O75" si="20">M12*L12</f>
        <v>0</v>
      </c>
      <c r="P12" s="1413">
        <f t="shared" ref="P12:P75" si="21">N12*L12</f>
        <v>0</v>
      </c>
      <c r="Q12" s="1440">
        <f t="shared" si="15"/>
        <v>0</v>
      </c>
      <c r="R12" s="1447">
        <f t="shared" si="16"/>
        <v>0</v>
      </c>
      <c r="S12" s="1440">
        <f t="shared" ref="S12:S75" si="22">SUM(Q12:R12)</f>
        <v>0</v>
      </c>
    </row>
    <row r="13" spans="1:19">
      <c r="A13" s="1028">
        <v>3</v>
      </c>
      <c r="B13" s="1029" t="s">
        <v>104</v>
      </c>
      <c r="C13" s="1411"/>
      <c r="D13" s="1413">
        <f>'Table 3 Levels 1&amp;2'!AP10</f>
        <v>4923.248062570342</v>
      </c>
      <c r="E13" s="1408">
        <f t="shared" si="17"/>
        <v>0</v>
      </c>
      <c r="F13" s="1413">
        <f>'Table 3 Levels 1&amp;2'!AT10</f>
        <v>3358.67</v>
      </c>
      <c r="G13" s="1413">
        <f t="shared" si="18"/>
        <v>0</v>
      </c>
      <c r="H13" s="1413">
        <f t="shared" si="19"/>
        <v>0</v>
      </c>
      <c r="I13" s="1413">
        <f t="shared" si="12"/>
        <v>8281.9180625703411</v>
      </c>
      <c r="J13" s="1411"/>
      <c r="K13" s="1413">
        <f t="shared" si="13"/>
        <v>0</v>
      </c>
      <c r="L13" s="1413">
        <f t="shared" si="14"/>
        <v>0</v>
      </c>
      <c r="M13" s="1430">
        <f>'Table 3 Levels 1&amp;2'!V10</f>
        <v>0.67669999999999997</v>
      </c>
      <c r="N13" s="1430">
        <f>'Table 3 Levels 1&amp;2'!W10</f>
        <v>0.32329999999999998</v>
      </c>
      <c r="O13" s="1413">
        <f t="shared" si="20"/>
        <v>0</v>
      </c>
      <c r="P13" s="1413">
        <f t="shared" si="21"/>
        <v>0</v>
      </c>
      <c r="Q13" s="1440">
        <f t="shared" si="15"/>
        <v>0</v>
      </c>
      <c r="R13" s="1447">
        <f t="shared" si="16"/>
        <v>0</v>
      </c>
      <c r="S13" s="1440">
        <f t="shared" si="22"/>
        <v>0</v>
      </c>
    </row>
    <row r="14" spans="1:19">
      <c r="A14" s="1028">
        <v>4</v>
      </c>
      <c r="B14" s="1029" t="s">
        <v>105</v>
      </c>
      <c r="C14" s="1411"/>
      <c r="D14" s="1413">
        <f>'Table 3 Levels 1&amp;2'!AP11</f>
        <v>6651.9360283082933</v>
      </c>
      <c r="E14" s="1408">
        <f t="shared" si="17"/>
        <v>0</v>
      </c>
      <c r="F14" s="1413">
        <f>'Table 3 Levels 1&amp;2'!AT11</f>
        <v>3133.44</v>
      </c>
      <c r="G14" s="1413">
        <f t="shared" si="18"/>
        <v>0</v>
      </c>
      <c r="H14" s="1413">
        <f t="shared" si="19"/>
        <v>0</v>
      </c>
      <c r="I14" s="1413">
        <f t="shared" si="12"/>
        <v>9785.3760283082938</v>
      </c>
      <c r="J14" s="1411"/>
      <c r="K14" s="1413">
        <f t="shared" si="13"/>
        <v>0</v>
      </c>
      <c r="L14" s="1413">
        <f t="shared" si="14"/>
        <v>0</v>
      </c>
      <c r="M14" s="1430">
        <f>'Table 3 Levels 1&amp;2'!V11</f>
        <v>0.79890000000000005</v>
      </c>
      <c r="N14" s="1430">
        <f>'Table 3 Levels 1&amp;2'!W11</f>
        <v>0.2011</v>
      </c>
      <c r="O14" s="1413">
        <f t="shared" si="20"/>
        <v>0</v>
      </c>
      <c r="P14" s="1413">
        <f t="shared" si="21"/>
        <v>0</v>
      </c>
      <c r="Q14" s="1440">
        <f t="shared" si="15"/>
        <v>0</v>
      </c>
      <c r="R14" s="1447">
        <f t="shared" si="16"/>
        <v>0</v>
      </c>
      <c r="S14" s="1440">
        <f t="shared" si="22"/>
        <v>0</v>
      </c>
    </row>
    <row r="15" spans="1:19">
      <c r="A15" s="1032">
        <v>5</v>
      </c>
      <c r="B15" s="1033" t="s">
        <v>106</v>
      </c>
      <c r="C15" s="1419"/>
      <c r="D15" s="1418">
        <f>'Table 3 Levels 1&amp;2'!AP12</f>
        <v>5359.8269363359432</v>
      </c>
      <c r="E15" s="1171">
        <f t="shared" si="17"/>
        <v>0</v>
      </c>
      <c r="F15" s="1418">
        <f>'Table 3 Levels 1&amp;2'!AT12</f>
        <v>1183.8900000000001</v>
      </c>
      <c r="G15" s="1418">
        <f t="shared" si="18"/>
        <v>0</v>
      </c>
      <c r="H15" s="1418">
        <f t="shared" si="19"/>
        <v>0</v>
      </c>
      <c r="I15" s="1418">
        <f t="shared" si="12"/>
        <v>6543.7169363359435</v>
      </c>
      <c r="J15" s="1420"/>
      <c r="K15" s="1418">
        <f t="shared" si="13"/>
        <v>0</v>
      </c>
      <c r="L15" s="1418">
        <f t="shared" si="14"/>
        <v>0</v>
      </c>
      <c r="M15" s="1431">
        <f>'Table 3 Levels 1&amp;2'!V12</f>
        <v>0.84040000000000004</v>
      </c>
      <c r="N15" s="1431">
        <f>'Table 3 Levels 1&amp;2'!W12</f>
        <v>0.15959999999999999</v>
      </c>
      <c r="O15" s="1418">
        <f t="shared" si="20"/>
        <v>0</v>
      </c>
      <c r="P15" s="1418">
        <f t="shared" si="21"/>
        <v>0</v>
      </c>
      <c r="Q15" s="1441">
        <f t="shared" si="15"/>
        <v>0</v>
      </c>
      <c r="R15" s="1448">
        <f t="shared" si="16"/>
        <v>0</v>
      </c>
      <c r="S15" s="1441">
        <f t="shared" si="22"/>
        <v>0</v>
      </c>
    </row>
    <row r="16" spans="1:19">
      <c r="A16" s="1021">
        <v>6</v>
      </c>
      <c r="B16" s="1022" t="s">
        <v>107</v>
      </c>
      <c r="C16" s="1411"/>
      <c r="D16" s="1413">
        <f>'Table 3 Levels 1&amp;2'!AP13</f>
        <v>6083.3964532638856</v>
      </c>
      <c r="E16" s="1408">
        <f t="shared" si="17"/>
        <v>0</v>
      </c>
      <c r="F16" s="1413">
        <f>'Table 3 Levels 1&amp;2'!AT13</f>
        <v>3081.93</v>
      </c>
      <c r="G16" s="1413">
        <f t="shared" si="18"/>
        <v>0</v>
      </c>
      <c r="H16" s="1413">
        <f t="shared" si="19"/>
        <v>0</v>
      </c>
      <c r="I16" s="1413">
        <f t="shared" si="12"/>
        <v>9165.3264532638859</v>
      </c>
      <c r="J16" s="1411"/>
      <c r="K16" s="1413">
        <f t="shared" si="13"/>
        <v>0</v>
      </c>
      <c r="L16" s="1413">
        <f t="shared" si="14"/>
        <v>0</v>
      </c>
      <c r="M16" s="1430">
        <f>'Table 3 Levels 1&amp;2'!V13</f>
        <v>0.77710000000000001</v>
      </c>
      <c r="N16" s="1430">
        <f>'Table 3 Levels 1&amp;2'!W13</f>
        <v>0.22289999999999999</v>
      </c>
      <c r="O16" s="1413">
        <f t="shared" si="20"/>
        <v>0</v>
      </c>
      <c r="P16" s="1413">
        <f t="shared" si="21"/>
        <v>0</v>
      </c>
      <c r="Q16" s="1440">
        <f t="shared" si="15"/>
        <v>0</v>
      </c>
      <c r="R16" s="1447">
        <f t="shared" si="16"/>
        <v>0</v>
      </c>
      <c r="S16" s="1440">
        <f t="shared" si="22"/>
        <v>0</v>
      </c>
    </row>
    <row r="17" spans="1:19">
      <c r="A17" s="1028">
        <v>7</v>
      </c>
      <c r="B17" s="1029" t="s">
        <v>108</v>
      </c>
      <c r="C17" s="1411"/>
      <c r="D17" s="1413">
        <f>'Table 3 Levels 1&amp;2'!AP14</f>
        <v>2300.1158467087466</v>
      </c>
      <c r="E17" s="1408">
        <f t="shared" si="17"/>
        <v>0</v>
      </c>
      <c r="F17" s="1413">
        <f>'Table 3 Levels 1&amp;2'!AT14</f>
        <v>6138.11</v>
      </c>
      <c r="G17" s="1413">
        <f t="shared" si="18"/>
        <v>0</v>
      </c>
      <c r="H17" s="1413">
        <f t="shared" si="19"/>
        <v>0</v>
      </c>
      <c r="I17" s="1413">
        <f t="shared" si="12"/>
        <v>8438.2258467087468</v>
      </c>
      <c r="J17" s="1411"/>
      <c r="K17" s="1413">
        <f t="shared" si="13"/>
        <v>0</v>
      </c>
      <c r="L17" s="1413">
        <f t="shared" si="14"/>
        <v>0</v>
      </c>
      <c r="M17" s="1430">
        <f>'Table 3 Levels 1&amp;2'!V14</f>
        <v>0.25</v>
      </c>
      <c r="N17" s="1430">
        <f>'Table 3 Levels 1&amp;2'!W14</f>
        <v>0.75</v>
      </c>
      <c r="O17" s="1413">
        <f t="shared" si="20"/>
        <v>0</v>
      </c>
      <c r="P17" s="1413">
        <f t="shared" si="21"/>
        <v>0</v>
      </c>
      <c r="Q17" s="1440">
        <f t="shared" si="15"/>
        <v>0</v>
      </c>
      <c r="R17" s="1447">
        <f t="shared" si="16"/>
        <v>0</v>
      </c>
      <c r="S17" s="1440">
        <f t="shared" si="22"/>
        <v>0</v>
      </c>
    </row>
    <row r="18" spans="1:19">
      <c r="A18" s="1028">
        <v>8</v>
      </c>
      <c r="B18" s="1029" t="s">
        <v>109</v>
      </c>
      <c r="C18" s="1411"/>
      <c r="D18" s="1413">
        <f>'Table 3 Levels 1&amp;2'!AP15</f>
        <v>4759.0127550312372</v>
      </c>
      <c r="E18" s="1408">
        <f t="shared" si="17"/>
        <v>0</v>
      </c>
      <c r="F18" s="1413">
        <f>'Table 3 Levels 1&amp;2'!AT15</f>
        <v>3546.81</v>
      </c>
      <c r="G18" s="1413">
        <f t="shared" si="18"/>
        <v>0</v>
      </c>
      <c r="H18" s="1413">
        <f t="shared" si="19"/>
        <v>0</v>
      </c>
      <c r="I18" s="1413">
        <f t="shared" si="12"/>
        <v>8305.8227550312367</v>
      </c>
      <c r="J18" s="1411"/>
      <c r="K18" s="1413">
        <f t="shared" si="13"/>
        <v>0</v>
      </c>
      <c r="L18" s="1413">
        <f t="shared" si="14"/>
        <v>0</v>
      </c>
      <c r="M18" s="1430">
        <f>'Table 3 Levels 1&amp;2'!V15</f>
        <v>0.63970000000000005</v>
      </c>
      <c r="N18" s="1430">
        <f>'Table 3 Levels 1&amp;2'!W15</f>
        <v>0.36030000000000001</v>
      </c>
      <c r="O18" s="1413">
        <f t="shared" si="20"/>
        <v>0</v>
      </c>
      <c r="P18" s="1413">
        <f t="shared" si="21"/>
        <v>0</v>
      </c>
      <c r="Q18" s="1440">
        <f t="shared" si="15"/>
        <v>0</v>
      </c>
      <c r="R18" s="1447">
        <f t="shared" si="16"/>
        <v>0</v>
      </c>
      <c r="S18" s="1440">
        <f t="shared" si="22"/>
        <v>0</v>
      </c>
    </row>
    <row r="19" spans="1:19">
      <c r="A19" s="1028">
        <v>9</v>
      </c>
      <c r="B19" s="1029" t="s">
        <v>110</v>
      </c>
      <c r="C19" s="1411"/>
      <c r="D19" s="1413">
        <f>'Table 3 Levels 1&amp;2'!AP16</f>
        <v>5012.846316612161</v>
      </c>
      <c r="E19" s="1408">
        <f t="shared" si="17"/>
        <v>0</v>
      </c>
      <c r="F19" s="1413">
        <f>'Table 3 Levels 1&amp;2'!AT16</f>
        <v>3511.93</v>
      </c>
      <c r="G19" s="1413">
        <f t="shared" si="18"/>
        <v>0</v>
      </c>
      <c r="H19" s="1413">
        <f t="shared" si="19"/>
        <v>0</v>
      </c>
      <c r="I19" s="1413">
        <f t="shared" si="12"/>
        <v>8524.7763166121604</v>
      </c>
      <c r="J19" s="1411"/>
      <c r="K19" s="1413">
        <f t="shared" si="13"/>
        <v>0</v>
      </c>
      <c r="L19" s="1413">
        <f t="shared" si="14"/>
        <v>0</v>
      </c>
      <c r="M19" s="1430">
        <f>'Table 3 Levels 1&amp;2'!V16</f>
        <v>0.65910000000000002</v>
      </c>
      <c r="N19" s="1430">
        <f>'Table 3 Levels 1&amp;2'!W16</f>
        <v>0.34089999999999998</v>
      </c>
      <c r="O19" s="1413">
        <f t="shared" si="20"/>
        <v>0</v>
      </c>
      <c r="P19" s="1413">
        <f t="shared" si="21"/>
        <v>0</v>
      </c>
      <c r="Q19" s="1440">
        <f t="shared" si="15"/>
        <v>0</v>
      </c>
      <c r="R19" s="1447">
        <f t="shared" si="16"/>
        <v>0</v>
      </c>
      <c r="S19" s="1440">
        <f t="shared" si="22"/>
        <v>0</v>
      </c>
    </row>
    <row r="20" spans="1:19">
      <c r="A20" s="1032">
        <v>10</v>
      </c>
      <c r="B20" s="1033" t="s">
        <v>111</v>
      </c>
      <c r="C20" s="1419"/>
      <c r="D20" s="1418">
        <f>'Table 3 Levels 1&amp;2'!AP17</f>
        <v>4907.9432478040553</v>
      </c>
      <c r="E20" s="1171">
        <f t="shared" si="17"/>
        <v>0</v>
      </c>
      <c r="F20" s="1418">
        <f>'Table 3 Levels 1&amp;2'!AT17</f>
        <v>3798.82</v>
      </c>
      <c r="G20" s="1418">
        <f t="shared" si="18"/>
        <v>0</v>
      </c>
      <c r="H20" s="1418">
        <f t="shared" si="19"/>
        <v>0</v>
      </c>
      <c r="I20" s="1418">
        <f t="shared" si="12"/>
        <v>8706.7632478040559</v>
      </c>
      <c r="J20" s="1420"/>
      <c r="K20" s="1418">
        <f t="shared" si="13"/>
        <v>0</v>
      </c>
      <c r="L20" s="1418">
        <f t="shared" si="14"/>
        <v>0</v>
      </c>
      <c r="M20" s="1431">
        <f>'Table 3 Levels 1&amp;2'!V17</f>
        <v>0.6381</v>
      </c>
      <c r="N20" s="1431">
        <f>'Table 3 Levels 1&amp;2'!W17</f>
        <v>0.3619</v>
      </c>
      <c r="O20" s="1418">
        <f t="shared" si="20"/>
        <v>0</v>
      </c>
      <c r="P20" s="1418">
        <f t="shared" si="21"/>
        <v>0</v>
      </c>
      <c r="Q20" s="1441">
        <f t="shared" si="15"/>
        <v>0</v>
      </c>
      <c r="R20" s="1448">
        <f t="shared" si="16"/>
        <v>0</v>
      </c>
      <c r="S20" s="1441">
        <f t="shared" si="22"/>
        <v>0</v>
      </c>
    </row>
    <row r="21" spans="1:19">
      <c r="A21" s="1021">
        <v>11</v>
      </c>
      <c r="B21" s="1022" t="s">
        <v>112</v>
      </c>
      <c r="C21" s="1411"/>
      <c r="D21" s="1413">
        <f>'Table 3 Levels 1&amp;2'!AP18</f>
        <v>7446.6673448893916</v>
      </c>
      <c r="E21" s="1408">
        <f t="shared" si="17"/>
        <v>0</v>
      </c>
      <c r="F21" s="1413">
        <f>'Table 3 Levels 1&amp;2'!AT18</f>
        <v>3219.82</v>
      </c>
      <c r="G21" s="1413">
        <f t="shared" si="18"/>
        <v>0</v>
      </c>
      <c r="H21" s="1413">
        <f t="shared" si="19"/>
        <v>0</v>
      </c>
      <c r="I21" s="1413">
        <f t="shared" si="12"/>
        <v>10666.487344889392</v>
      </c>
      <c r="J21" s="1411"/>
      <c r="K21" s="1413">
        <f t="shared" si="13"/>
        <v>0</v>
      </c>
      <c r="L21" s="1413">
        <f t="shared" si="14"/>
        <v>0</v>
      </c>
      <c r="M21" s="1430">
        <f>'Table 3 Levels 1&amp;2'!V18</f>
        <v>0.82330000000000003</v>
      </c>
      <c r="N21" s="1430">
        <f>'Table 3 Levels 1&amp;2'!W18</f>
        <v>0.1767</v>
      </c>
      <c r="O21" s="1413">
        <f t="shared" si="20"/>
        <v>0</v>
      </c>
      <c r="P21" s="1413">
        <f t="shared" si="21"/>
        <v>0</v>
      </c>
      <c r="Q21" s="1440">
        <f t="shared" si="15"/>
        <v>0</v>
      </c>
      <c r="R21" s="1447">
        <f t="shared" si="16"/>
        <v>0</v>
      </c>
      <c r="S21" s="1440">
        <f t="shared" si="22"/>
        <v>0</v>
      </c>
    </row>
    <row r="22" spans="1:19">
      <c r="A22" s="1028">
        <v>12</v>
      </c>
      <c r="B22" s="1029" t="s">
        <v>113</v>
      </c>
      <c r="C22" s="1411"/>
      <c r="D22" s="1413">
        <f>'Table 3 Levels 1&amp;2'!AP19</f>
        <v>2844.4241534693879</v>
      </c>
      <c r="E22" s="1408">
        <f t="shared" si="17"/>
        <v>0</v>
      </c>
      <c r="F22" s="1413">
        <f>'Table 3 Levels 1&amp;2'!AT19</f>
        <v>6240.06</v>
      </c>
      <c r="G22" s="1413">
        <f t="shared" si="18"/>
        <v>0</v>
      </c>
      <c r="H22" s="1413">
        <f t="shared" si="19"/>
        <v>0</v>
      </c>
      <c r="I22" s="1413">
        <f t="shared" si="12"/>
        <v>9084.4841534693878</v>
      </c>
      <c r="J22" s="1411"/>
      <c r="K22" s="1413">
        <f t="shared" si="13"/>
        <v>0</v>
      </c>
      <c r="L22" s="1413">
        <f t="shared" si="14"/>
        <v>0</v>
      </c>
      <c r="M22" s="1430">
        <f>'Table 3 Levels 1&amp;2'!V19</f>
        <v>0.27960000000000002</v>
      </c>
      <c r="N22" s="1430">
        <f>'Table 3 Levels 1&amp;2'!W19</f>
        <v>0.72040000000000004</v>
      </c>
      <c r="O22" s="1413">
        <f t="shared" si="20"/>
        <v>0</v>
      </c>
      <c r="P22" s="1413">
        <f t="shared" si="21"/>
        <v>0</v>
      </c>
      <c r="Q22" s="1440">
        <f t="shared" si="15"/>
        <v>0</v>
      </c>
      <c r="R22" s="1447">
        <f t="shared" si="16"/>
        <v>0</v>
      </c>
      <c r="S22" s="1440">
        <f t="shared" si="22"/>
        <v>0</v>
      </c>
    </row>
    <row r="23" spans="1:19">
      <c r="A23" s="1028">
        <v>13</v>
      </c>
      <c r="B23" s="1029" t="s">
        <v>114</v>
      </c>
      <c r="C23" s="1411"/>
      <c r="D23" s="1413">
        <f>'Table 3 Levels 1&amp;2'!AP20</f>
        <v>6874.4204826675441</v>
      </c>
      <c r="E23" s="1408">
        <f t="shared" si="17"/>
        <v>0</v>
      </c>
      <c r="F23" s="1413">
        <f>'Table 3 Levels 1&amp;2'!AT20</f>
        <v>2455.5100000000002</v>
      </c>
      <c r="G23" s="1413">
        <f t="shared" si="18"/>
        <v>0</v>
      </c>
      <c r="H23" s="1413">
        <f t="shared" si="19"/>
        <v>0</v>
      </c>
      <c r="I23" s="1413">
        <f t="shared" si="12"/>
        <v>9329.9304826675434</v>
      </c>
      <c r="J23" s="1411"/>
      <c r="K23" s="1413">
        <f t="shared" si="13"/>
        <v>0</v>
      </c>
      <c r="L23" s="1413">
        <f t="shared" si="14"/>
        <v>0</v>
      </c>
      <c r="M23" s="1430">
        <f>'Table 3 Levels 1&amp;2'!V20</f>
        <v>0.83509999999999995</v>
      </c>
      <c r="N23" s="1430">
        <f>'Table 3 Levels 1&amp;2'!W20</f>
        <v>0.16489999999999999</v>
      </c>
      <c r="O23" s="1413">
        <f t="shared" si="20"/>
        <v>0</v>
      </c>
      <c r="P23" s="1413">
        <f t="shared" si="21"/>
        <v>0</v>
      </c>
      <c r="Q23" s="1440">
        <f t="shared" si="15"/>
        <v>0</v>
      </c>
      <c r="R23" s="1447">
        <f t="shared" si="16"/>
        <v>0</v>
      </c>
      <c r="S23" s="1440">
        <f t="shared" si="22"/>
        <v>0</v>
      </c>
    </row>
    <row r="24" spans="1:19">
      <c r="A24" s="1028">
        <v>14</v>
      </c>
      <c r="B24" s="1029" t="s">
        <v>115</v>
      </c>
      <c r="C24" s="1411"/>
      <c r="D24" s="1413">
        <f>'Table 3 Levels 1&amp;2'!AP21</f>
        <v>6087.6600221205308</v>
      </c>
      <c r="E24" s="1408">
        <f t="shared" si="17"/>
        <v>0</v>
      </c>
      <c r="F24" s="1413">
        <f>'Table 3 Levels 1&amp;2'!AT21</f>
        <v>3518.41</v>
      </c>
      <c r="G24" s="1413">
        <f t="shared" si="18"/>
        <v>0</v>
      </c>
      <c r="H24" s="1413">
        <f t="shared" si="19"/>
        <v>0</v>
      </c>
      <c r="I24" s="1413">
        <f t="shared" si="12"/>
        <v>9606.0700221205298</v>
      </c>
      <c r="J24" s="1411"/>
      <c r="K24" s="1413">
        <f t="shared" si="13"/>
        <v>0</v>
      </c>
      <c r="L24" s="1413">
        <f t="shared" si="14"/>
        <v>0</v>
      </c>
      <c r="M24" s="1430">
        <f>'Table 3 Levels 1&amp;2'!V21</f>
        <v>0.69640000000000002</v>
      </c>
      <c r="N24" s="1430">
        <f>'Table 3 Levels 1&amp;2'!W21</f>
        <v>0.30359999999999998</v>
      </c>
      <c r="O24" s="1413">
        <f t="shared" si="20"/>
        <v>0</v>
      </c>
      <c r="P24" s="1413">
        <f t="shared" si="21"/>
        <v>0</v>
      </c>
      <c r="Q24" s="1440">
        <f t="shared" si="15"/>
        <v>0</v>
      </c>
      <c r="R24" s="1447">
        <f t="shared" si="16"/>
        <v>0</v>
      </c>
      <c r="S24" s="1440">
        <f t="shared" si="22"/>
        <v>0</v>
      </c>
    </row>
    <row r="25" spans="1:19">
      <c r="A25" s="1032">
        <v>15</v>
      </c>
      <c r="B25" s="1033" t="s">
        <v>116</v>
      </c>
      <c r="C25" s="1419"/>
      <c r="D25" s="1418">
        <f>'Table 3 Levels 1&amp;2'!AP22</f>
        <v>5982.6927068040786</v>
      </c>
      <c r="E25" s="1171">
        <f t="shared" si="17"/>
        <v>0</v>
      </c>
      <c r="F25" s="1418">
        <f>'Table 3 Levels 1&amp;2'!AT22</f>
        <v>2623.49</v>
      </c>
      <c r="G25" s="1418">
        <f t="shared" si="18"/>
        <v>0</v>
      </c>
      <c r="H25" s="1418">
        <f t="shared" si="19"/>
        <v>0</v>
      </c>
      <c r="I25" s="1418">
        <f t="shared" si="12"/>
        <v>8606.1827068040784</v>
      </c>
      <c r="J25" s="1420"/>
      <c r="K25" s="1418">
        <f t="shared" si="13"/>
        <v>0</v>
      </c>
      <c r="L25" s="1418">
        <f t="shared" si="14"/>
        <v>0</v>
      </c>
      <c r="M25" s="1431">
        <f>'Table 3 Levels 1&amp;2'!V22</f>
        <v>0.78459999999999996</v>
      </c>
      <c r="N25" s="1431">
        <f>'Table 3 Levels 1&amp;2'!W22</f>
        <v>0.21540000000000001</v>
      </c>
      <c r="O25" s="1418">
        <f t="shared" si="20"/>
        <v>0</v>
      </c>
      <c r="P25" s="1418">
        <f t="shared" si="21"/>
        <v>0</v>
      </c>
      <c r="Q25" s="1441">
        <f t="shared" si="15"/>
        <v>0</v>
      </c>
      <c r="R25" s="1448">
        <f t="shared" si="16"/>
        <v>0</v>
      </c>
      <c r="S25" s="1441">
        <f t="shared" si="22"/>
        <v>0</v>
      </c>
    </row>
    <row r="26" spans="1:19">
      <c r="A26" s="1021">
        <v>16</v>
      </c>
      <c r="B26" s="1022" t="s">
        <v>117</v>
      </c>
      <c r="C26" s="1411"/>
      <c r="D26" s="1413">
        <f>'Table 3 Levels 1&amp;2'!AP23</f>
        <v>2187.7762352203886</v>
      </c>
      <c r="E26" s="1408">
        <f t="shared" si="17"/>
        <v>0</v>
      </c>
      <c r="F26" s="1413">
        <f>'Table 3 Levels 1&amp;2'!AT23</f>
        <v>5917.14</v>
      </c>
      <c r="G26" s="1413">
        <f t="shared" si="18"/>
        <v>0</v>
      </c>
      <c r="H26" s="1413">
        <f t="shared" si="19"/>
        <v>0</v>
      </c>
      <c r="I26" s="1413">
        <f t="shared" si="12"/>
        <v>8104.9162352203894</v>
      </c>
      <c r="J26" s="1411"/>
      <c r="K26" s="1413">
        <f t="shared" si="13"/>
        <v>0</v>
      </c>
      <c r="L26" s="1413">
        <f t="shared" si="14"/>
        <v>0</v>
      </c>
      <c r="M26" s="1430">
        <f>'Table 3 Levels 1&amp;2'!V23</f>
        <v>0.25</v>
      </c>
      <c r="N26" s="1430">
        <f>'Table 3 Levels 1&amp;2'!W23</f>
        <v>0.75</v>
      </c>
      <c r="O26" s="1413">
        <f t="shared" si="20"/>
        <v>0</v>
      </c>
      <c r="P26" s="1413">
        <f t="shared" si="21"/>
        <v>0</v>
      </c>
      <c r="Q26" s="1440">
        <f t="shared" si="15"/>
        <v>0</v>
      </c>
      <c r="R26" s="1447">
        <f t="shared" si="16"/>
        <v>0</v>
      </c>
      <c r="S26" s="1440">
        <f t="shared" si="22"/>
        <v>0</v>
      </c>
    </row>
    <row r="27" spans="1:19">
      <c r="A27" s="1028">
        <v>17</v>
      </c>
      <c r="B27" s="1029" t="s">
        <v>118</v>
      </c>
      <c r="C27" s="1411"/>
      <c r="D27" s="1413">
        <f>'Table 3 Levels 1&amp;2'!AP24</f>
        <v>4187.8349826090744</v>
      </c>
      <c r="E27" s="1408">
        <f t="shared" si="17"/>
        <v>0</v>
      </c>
      <c r="F27" s="1413">
        <f>'Table 3 Levels 1&amp;2'!AT24</f>
        <v>4548.13</v>
      </c>
      <c r="G27" s="1413">
        <f t="shared" si="18"/>
        <v>0</v>
      </c>
      <c r="H27" s="1413">
        <f t="shared" si="19"/>
        <v>0</v>
      </c>
      <c r="I27" s="1413">
        <f t="shared" si="12"/>
        <v>8735.9649826090754</v>
      </c>
      <c r="J27" s="1411"/>
      <c r="K27" s="1413">
        <f t="shared" si="13"/>
        <v>0</v>
      </c>
      <c r="L27" s="1413">
        <f t="shared" si="14"/>
        <v>0</v>
      </c>
      <c r="M27" s="1430">
        <f>'Table 3 Levels 1&amp;2'!V24</f>
        <v>0.4914</v>
      </c>
      <c r="N27" s="1430">
        <f>'Table 3 Levels 1&amp;2'!W24</f>
        <v>0.50860000000000005</v>
      </c>
      <c r="O27" s="1413">
        <f t="shared" si="20"/>
        <v>0</v>
      </c>
      <c r="P27" s="1413">
        <f t="shared" si="21"/>
        <v>0</v>
      </c>
      <c r="Q27" s="1440">
        <f t="shared" si="15"/>
        <v>0</v>
      </c>
      <c r="R27" s="1447">
        <f t="shared" si="16"/>
        <v>0</v>
      </c>
      <c r="S27" s="1440">
        <f t="shared" si="22"/>
        <v>0</v>
      </c>
    </row>
    <row r="28" spans="1:19">
      <c r="A28" s="1028">
        <v>18</v>
      </c>
      <c r="B28" s="1029" t="s">
        <v>119</v>
      </c>
      <c r="C28" s="1411"/>
      <c r="D28" s="1413">
        <f>'Table 3 Levels 1&amp;2'!AP25</f>
        <v>6641.1505403331139</v>
      </c>
      <c r="E28" s="1408">
        <f t="shared" si="17"/>
        <v>0</v>
      </c>
      <c r="F28" s="1413">
        <f>'Table 3 Levels 1&amp;2'!AT25</f>
        <v>1808.29</v>
      </c>
      <c r="G28" s="1413">
        <f t="shared" si="18"/>
        <v>0</v>
      </c>
      <c r="H28" s="1413">
        <f t="shared" si="19"/>
        <v>0</v>
      </c>
      <c r="I28" s="1413">
        <f t="shared" si="12"/>
        <v>8449.4405403331148</v>
      </c>
      <c r="J28" s="1411"/>
      <c r="K28" s="1413">
        <f t="shared" si="13"/>
        <v>0</v>
      </c>
      <c r="L28" s="1413">
        <f t="shared" si="14"/>
        <v>0</v>
      </c>
      <c r="M28" s="1430">
        <f>'Table 3 Levels 1&amp;2'!V25</f>
        <v>0.83360000000000001</v>
      </c>
      <c r="N28" s="1430">
        <f>'Table 3 Levels 1&amp;2'!W25</f>
        <v>0.16639999999999999</v>
      </c>
      <c r="O28" s="1413">
        <f t="shared" si="20"/>
        <v>0</v>
      </c>
      <c r="P28" s="1413">
        <f t="shared" si="21"/>
        <v>0</v>
      </c>
      <c r="Q28" s="1440">
        <f t="shared" si="15"/>
        <v>0</v>
      </c>
      <c r="R28" s="1447">
        <f t="shared" si="16"/>
        <v>0</v>
      </c>
      <c r="S28" s="1440">
        <f t="shared" si="22"/>
        <v>0</v>
      </c>
    </row>
    <row r="29" spans="1:19">
      <c r="A29" s="1028">
        <v>19</v>
      </c>
      <c r="B29" s="1029" t="s">
        <v>120</v>
      </c>
      <c r="C29" s="1411"/>
      <c r="D29" s="1413">
        <f>'Table 3 Levels 1&amp;2'!AP26</f>
        <v>6124.1146698916154</v>
      </c>
      <c r="E29" s="1408">
        <f t="shared" si="17"/>
        <v>0</v>
      </c>
      <c r="F29" s="1413">
        <f>'Table 3 Levels 1&amp;2'!AT26</f>
        <v>2267.1</v>
      </c>
      <c r="G29" s="1413">
        <f t="shared" si="18"/>
        <v>0</v>
      </c>
      <c r="H29" s="1413">
        <f t="shared" si="19"/>
        <v>0</v>
      </c>
      <c r="I29" s="1413">
        <f t="shared" si="12"/>
        <v>8391.2146698916149</v>
      </c>
      <c r="J29" s="1411"/>
      <c r="K29" s="1413">
        <f t="shared" si="13"/>
        <v>0</v>
      </c>
      <c r="L29" s="1413">
        <f t="shared" si="14"/>
        <v>0</v>
      </c>
      <c r="M29" s="1430">
        <f>'Table 3 Levels 1&amp;2'!V26</f>
        <v>0.75790000000000002</v>
      </c>
      <c r="N29" s="1430">
        <f>'Table 3 Levels 1&amp;2'!W26</f>
        <v>0.24210000000000001</v>
      </c>
      <c r="O29" s="1413">
        <f t="shared" si="20"/>
        <v>0</v>
      </c>
      <c r="P29" s="1413">
        <f t="shared" si="21"/>
        <v>0</v>
      </c>
      <c r="Q29" s="1440">
        <f t="shared" si="15"/>
        <v>0</v>
      </c>
      <c r="R29" s="1447">
        <f t="shared" si="16"/>
        <v>0</v>
      </c>
      <c r="S29" s="1440">
        <f t="shared" si="22"/>
        <v>0</v>
      </c>
    </row>
    <row r="30" spans="1:19">
      <c r="A30" s="1032">
        <v>20</v>
      </c>
      <c r="B30" s="1033" t="s">
        <v>121</v>
      </c>
      <c r="C30" s="1419"/>
      <c r="D30" s="1418">
        <f>'Table 3 Levels 1&amp;2'!AP27</f>
        <v>6027.8593240749269</v>
      </c>
      <c r="E30" s="1171">
        <f t="shared" si="17"/>
        <v>0</v>
      </c>
      <c r="F30" s="1418">
        <f>'Table 3 Levels 1&amp;2'!AT27</f>
        <v>2246.13</v>
      </c>
      <c r="G30" s="1418">
        <f t="shared" si="18"/>
        <v>0</v>
      </c>
      <c r="H30" s="1418">
        <f t="shared" si="19"/>
        <v>0</v>
      </c>
      <c r="I30" s="1418">
        <f t="shared" si="12"/>
        <v>8273.9893240749261</v>
      </c>
      <c r="J30" s="1420"/>
      <c r="K30" s="1418">
        <f t="shared" si="13"/>
        <v>0</v>
      </c>
      <c r="L30" s="1418">
        <f t="shared" si="14"/>
        <v>0</v>
      </c>
      <c r="M30" s="1431">
        <f>'Table 3 Levels 1&amp;2'!V27</f>
        <v>0.80759999999999998</v>
      </c>
      <c r="N30" s="1431">
        <f>'Table 3 Levels 1&amp;2'!W27</f>
        <v>0.19239999999999999</v>
      </c>
      <c r="O30" s="1418">
        <f t="shared" si="20"/>
        <v>0</v>
      </c>
      <c r="P30" s="1418">
        <f t="shared" si="21"/>
        <v>0</v>
      </c>
      <c r="Q30" s="1441">
        <f t="shared" si="15"/>
        <v>0</v>
      </c>
      <c r="R30" s="1448">
        <f t="shared" si="16"/>
        <v>0</v>
      </c>
      <c r="S30" s="1441">
        <f t="shared" si="22"/>
        <v>0</v>
      </c>
    </row>
    <row r="31" spans="1:19">
      <c r="A31" s="1021">
        <v>21</v>
      </c>
      <c r="B31" s="1022" t="s">
        <v>122</v>
      </c>
      <c r="C31" s="1411"/>
      <c r="D31" s="1413">
        <f>'Table 3 Levels 1&amp;2'!AP28</f>
        <v>6326.5027633562577</v>
      </c>
      <c r="E31" s="1408">
        <f t="shared" si="17"/>
        <v>0</v>
      </c>
      <c r="F31" s="1413">
        <f>'Table 3 Levels 1&amp;2'!AT28</f>
        <v>2032.39</v>
      </c>
      <c r="G31" s="1413">
        <f t="shared" si="18"/>
        <v>0</v>
      </c>
      <c r="H31" s="1413">
        <f t="shared" si="19"/>
        <v>0</v>
      </c>
      <c r="I31" s="1413">
        <f t="shared" si="12"/>
        <v>8358.892763356258</v>
      </c>
      <c r="J31" s="1411"/>
      <c r="K31" s="1413">
        <f t="shared" si="13"/>
        <v>0</v>
      </c>
      <c r="L31" s="1413">
        <f t="shared" si="14"/>
        <v>0</v>
      </c>
      <c r="M31" s="1430">
        <f>'Table 3 Levels 1&amp;2'!V28</f>
        <v>0.82709999999999995</v>
      </c>
      <c r="N31" s="1430">
        <f>'Table 3 Levels 1&amp;2'!W28</f>
        <v>0.1729</v>
      </c>
      <c r="O31" s="1413">
        <f t="shared" si="20"/>
        <v>0</v>
      </c>
      <c r="P31" s="1413">
        <f t="shared" si="21"/>
        <v>0</v>
      </c>
      <c r="Q31" s="1440">
        <f t="shared" si="15"/>
        <v>0</v>
      </c>
      <c r="R31" s="1447">
        <f t="shared" si="16"/>
        <v>0</v>
      </c>
      <c r="S31" s="1440">
        <f t="shared" si="22"/>
        <v>0</v>
      </c>
    </row>
    <row r="32" spans="1:19">
      <c r="A32" s="1028">
        <v>22</v>
      </c>
      <c r="B32" s="1029" t="s">
        <v>123</v>
      </c>
      <c r="C32" s="1411"/>
      <c r="D32" s="1413">
        <f>'Table 3 Levels 1&amp;2'!AP29</f>
        <v>6695.0387203547707</v>
      </c>
      <c r="E32" s="1408">
        <f t="shared" si="17"/>
        <v>0</v>
      </c>
      <c r="F32" s="1413">
        <f>'Table 3 Levels 1&amp;2'!AT29</f>
        <v>1574.44</v>
      </c>
      <c r="G32" s="1413">
        <f t="shared" si="18"/>
        <v>0</v>
      </c>
      <c r="H32" s="1413">
        <f t="shared" si="19"/>
        <v>0</v>
      </c>
      <c r="I32" s="1413">
        <f t="shared" si="12"/>
        <v>8269.4787203547712</v>
      </c>
      <c r="J32" s="1411"/>
      <c r="K32" s="1413">
        <f t="shared" si="13"/>
        <v>0</v>
      </c>
      <c r="L32" s="1413">
        <f t="shared" si="14"/>
        <v>0</v>
      </c>
      <c r="M32" s="1430">
        <f>'Table 3 Levels 1&amp;2'!V29</f>
        <v>0.89870000000000005</v>
      </c>
      <c r="N32" s="1430">
        <f>'Table 3 Levels 1&amp;2'!W29</f>
        <v>0.1013</v>
      </c>
      <c r="O32" s="1413">
        <f t="shared" si="20"/>
        <v>0</v>
      </c>
      <c r="P32" s="1413">
        <f t="shared" si="21"/>
        <v>0</v>
      </c>
      <c r="Q32" s="1440">
        <f t="shared" si="15"/>
        <v>0</v>
      </c>
      <c r="R32" s="1447">
        <f t="shared" si="16"/>
        <v>0</v>
      </c>
      <c r="S32" s="1440">
        <f t="shared" si="22"/>
        <v>0</v>
      </c>
    </row>
    <row r="33" spans="1:19">
      <c r="A33" s="1028">
        <v>23</v>
      </c>
      <c r="B33" s="1029" t="s">
        <v>124</v>
      </c>
      <c r="C33" s="1411"/>
      <c r="D33" s="1413">
        <f>'Table 3 Levels 1&amp;2'!AP30</f>
        <v>5496.9755485380147</v>
      </c>
      <c r="E33" s="1408">
        <f t="shared" si="17"/>
        <v>0</v>
      </c>
      <c r="F33" s="1413">
        <f>'Table 3 Levels 1&amp;2'!AT30</f>
        <v>3128.39</v>
      </c>
      <c r="G33" s="1413">
        <f t="shared" si="18"/>
        <v>0</v>
      </c>
      <c r="H33" s="1413">
        <f t="shared" si="19"/>
        <v>0</v>
      </c>
      <c r="I33" s="1413">
        <f t="shared" si="12"/>
        <v>8625.365548538015</v>
      </c>
      <c r="J33" s="1411"/>
      <c r="K33" s="1413">
        <f t="shared" si="13"/>
        <v>0</v>
      </c>
      <c r="L33" s="1413">
        <f t="shared" si="14"/>
        <v>0</v>
      </c>
      <c r="M33" s="1430">
        <f>'Table 3 Levels 1&amp;2'!V30</f>
        <v>0.7177</v>
      </c>
      <c r="N33" s="1430">
        <f>'Table 3 Levels 1&amp;2'!W30</f>
        <v>0.2823</v>
      </c>
      <c r="O33" s="1413">
        <f t="shared" si="20"/>
        <v>0</v>
      </c>
      <c r="P33" s="1413">
        <f t="shared" si="21"/>
        <v>0</v>
      </c>
      <c r="Q33" s="1440">
        <f t="shared" si="15"/>
        <v>0</v>
      </c>
      <c r="R33" s="1447">
        <f t="shared" si="16"/>
        <v>0</v>
      </c>
      <c r="S33" s="1440">
        <f t="shared" si="22"/>
        <v>0</v>
      </c>
    </row>
    <row r="34" spans="1:19">
      <c r="A34" s="1028">
        <v>24</v>
      </c>
      <c r="B34" s="1029" t="s">
        <v>125</v>
      </c>
      <c r="C34" s="1411"/>
      <c r="D34" s="1413">
        <f>'Table 3 Levels 1&amp;2'!AP31</f>
        <v>3503.8380218798839</v>
      </c>
      <c r="E34" s="1408">
        <f t="shared" si="17"/>
        <v>0</v>
      </c>
      <c r="F34" s="1413">
        <f>'Table 3 Levels 1&amp;2'!AT31</f>
        <v>5353.59</v>
      </c>
      <c r="G34" s="1413">
        <f t="shared" si="18"/>
        <v>0</v>
      </c>
      <c r="H34" s="1413">
        <f t="shared" si="19"/>
        <v>0</v>
      </c>
      <c r="I34" s="1413">
        <f t="shared" si="12"/>
        <v>8857.4280218798849</v>
      </c>
      <c r="J34" s="1411"/>
      <c r="K34" s="1413">
        <f t="shared" si="13"/>
        <v>0</v>
      </c>
      <c r="L34" s="1413">
        <f t="shared" si="14"/>
        <v>0</v>
      </c>
      <c r="M34" s="1430">
        <f>'Table 3 Levels 1&amp;2'!V31</f>
        <v>0.37909999999999999</v>
      </c>
      <c r="N34" s="1430">
        <f>'Table 3 Levels 1&amp;2'!W31</f>
        <v>0.62090000000000001</v>
      </c>
      <c r="O34" s="1413">
        <f t="shared" si="20"/>
        <v>0</v>
      </c>
      <c r="P34" s="1413">
        <f t="shared" si="21"/>
        <v>0</v>
      </c>
      <c r="Q34" s="1440">
        <f t="shared" si="15"/>
        <v>0</v>
      </c>
      <c r="R34" s="1447">
        <f t="shared" si="16"/>
        <v>0</v>
      </c>
      <c r="S34" s="1440">
        <f t="shared" si="22"/>
        <v>0</v>
      </c>
    </row>
    <row r="35" spans="1:19">
      <c r="A35" s="1032">
        <v>25</v>
      </c>
      <c r="B35" s="1033" t="s">
        <v>126</v>
      </c>
      <c r="C35" s="1419"/>
      <c r="D35" s="1418">
        <f>'Table 3 Levels 1&amp;2'!AP32</f>
        <v>4502.0636316073678</v>
      </c>
      <c r="E35" s="1171">
        <f t="shared" si="17"/>
        <v>0</v>
      </c>
      <c r="F35" s="1418">
        <f>'Table 3 Levels 1&amp;2'!AT32</f>
        <v>4364.78</v>
      </c>
      <c r="G35" s="1418">
        <f t="shared" si="18"/>
        <v>0</v>
      </c>
      <c r="H35" s="1418">
        <f t="shared" si="19"/>
        <v>0</v>
      </c>
      <c r="I35" s="1418">
        <f t="shared" si="12"/>
        <v>8866.8436316073676</v>
      </c>
      <c r="J35" s="1420"/>
      <c r="K35" s="1418">
        <f t="shared" si="13"/>
        <v>0</v>
      </c>
      <c r="L35" s="1418">
        <f t="shared" si="14"/>
        <v>0</v>
      </c>
      <c r="M35" s="1431">
        <f>'Table 3 Levels 1&amp;2'!V32</f>
        <v>0.56850000000000001</v>
      </c>
      <c r="N35" s="1431">
        <f>'Table 3 Levels 1&amp;2'!W32</f>
        <v>0.43149999999999999</v>
      </c>
      <c r="O35" s="1418">
        <f t="shared" si="20"/>
        <v>0</v>
      </c>
      <c r="P35" s="1418">
        <f t="shared" si="21"/>
        <v>0</v>
      </c>
      <c r="Q35" s="1441">
        <f t="shared" si="15"/>
        <v>0</v>
      </c>
      <c r="R35" s="1448">
        <f t="shared" si="16"/>
        <v>0</v>
      </c>
      <c r="S35" s="1441">
        <f t="shared" si="22"/>
        <v>0</v>
      </c>
    </row>
    <row r="36" spans="1:19">
      <c r="A36" s="1021">
        <v>26</v>
      </c>
      <c r="B36" s="1022" t="s">
        <v>127</v>
      </c>
      <c r="C36" s="1411"/>
      <c r="D36" s="1413">
        <f>'Table 3 Levels 1&amp;2'!AP33</f>
        <v>3981.4860660479076</v>
      </c>
      <c r="E36" s="1408">
        <f t="shared" si="17"/>
        <v>0</v>
      </c>
      <c r="F36" s="1413">
        <f>'Table 3 Levels 1&amp;2'!AT33</f>
        <v>4844.67</v>
      </c>
      <c r="G36" s="1413">
        <f t="shared" si="18"/>
        <v>0</v>
      </c>
      <c r="H36" s="1413">
        <f t="shared" si="19"/>
        <v>0</v>
      </c>
      <c r="I36" s="1413">
        <f t="shared" si="12"/>
        <v>8826.1560660479081</v>
      </c>
      <c r="J36" s="1411"/>
      <c r="K36" s="1413">
        <f t="shared" si="13"/>
        <v>0</v>
      </c>
      <c r="L36" s="1413">
        <f t="shared" si="14"/>
        <v>0</v>
      </c>
      <c r="M36" s="1430">
        <f>'Table 3 Levels 1&amp;2'!V33</f>
        <v>0.45639999999999997</v>
      </c>
      <c r="N36" s="1430">
        <f>'Table 3 Levels 1&amp;2'!W33</f>
        <v>0.54359999999999997</v>
      </c>
      <c r="O36" s="1413">
        <f t="shared" si="20"/>
        <v>0</v>
      </c>
      <c r="P36" s="1413">
        <f t="shared" si="21"/>
        <v>0</v>
      </c>
      <c r="Q36" s="1440">
        <f t="shared" si="15"/>
        <v>0</v>
      </c>
      <c r="R36" s="1447">
        <f t="shared" si="16"/>
        <v>0</v>
      </c>
      <c r="S36" s="1440">
        <f t="shared" si="22"/>
        <v>0</v>
      </c>
    </row>
    <row r="37" spans="1:19">
      <c r="A37" s="1028">
        <v>27</v>
      </c>
      <c r="B37" s="1029" t="s">
        <v>128</v>
      </c>
      <c r="C37" s="1411"/>
      <c r="D37" s="1413">
        <f>'Table 3 Levels 1&amp;2'!AP34</f>
        <v>6346.4745005001778</v>
      </c>
      <c r="E37" s="1408">
        <f t="shared" si="17"/>
        <v>0</v>
      </c>
      <c r="F37" s="1413">
        <f>'Table 3 Levels 1&amp;2'!AT34</f>
        <v>3055.18</v>
      </c>
      <c r="G37" s="1413">
        <f t="shared" si="18"/>
        <v>0</v>
      </c>
      <c r="H37" s="1413">
        <f t="shared" si="19"/>
        <v>0</v>
      </c>
      <c r="I37" s="1413">
        <f t="shared" si="12"/>
        <v>9401.6545005001772</v>
      </c>
      <c r="J37" s="1411"/>
      <c r="K37" s="1413">
        <f t="shared" si="13"/>
        <v>0</v>
      </c>
      <c r="L37" s="1413">
        <f t="shared" si="14"/>
        <v>0</v>
      </c>
      <c r="M37" s="1430">
        <f>'Table 3 Levels 1&amp;2'!V34</f>
        <v>0.78390000000000004</v>
      </c>
      <c r="N37" s="1430">
        <f>'Table 3 Levels 1&amp;2'!W34</f>
        <v>0.21609999999999999</v>
      </c>
      <c r="O37" s="1413">
        <f t="shared" si="20"/>
        <v>0</v>
      </c>
      <c r="P37" s="1413">
        <f t="shared" si="21"/>
        <v>0</v>
      </c>
      <c r="Q37" s="1440">
        <f t="shared" si="15"/>
        <v>0</v>
      </c>
      <c r="R37" s="1447">
        <f t="shared" si="16"/>
        <v>0</v>
      </c>
      <c r="S37" s="1440">
        <f t="shared" si="22"/>
        <v>0</v>
      </c>
    </row>
    <row r="38" spans="1:19">
      <c r="A38" s="1028">
        <v>28</v>
      </c>
      <c r="B38" s="1029" t="s">
        <v>129</v>
      </c>
      <c r="C38" s="1411"/>
      <c r="D38" s="1413">
        <f>'Table 3 Levels 1&amp;2'!AP35</f>
        <v>3894.7544155219402</v>
      </c>
      <c r="E38" s="1408">
        <f t="shared" si="17"/>
        <v>0</v>
      </c>
      <c r="F38" s="1413">
        <f>'Table 3 Levels 1&amp;2'!AT35</f>
        <v>4167.09</v>
      </c>
      <c r="G38" s="1413">
        <f t="shared" si="18"/>
        <v>0</v>
      </c>
      <c r="H38" s="1413">
        <f t="shared" si="19"/>
        <v>0</v>
      </c>
      <c r="I38" s="1413">
        <f t="shared" si="12"/>
        <v>8061.8444155219404</v>
      </c>
      <c r="J38" s="1411"/>
      <c r="K38" s="1413">
        <f t="shared" si="13"/>
        <v>0</v>
      </c>
      <c r="L38" s="1413">
        <f t="shared" si="14"/>
        <v>0</v>
      </c>
      <c r="M38" s="1430">
        <f>'Table 3 Levels 1&amp;2'!V35</f>
        <v>0.52229999999999999</v>
      </c>
      <c r="N38" s="1430">
        <f>'Table 3 Levels 1&amp;2'!W35</f>
        <v>0.47770000000000001</v>
      </c>
      <c r="O38" s="1413">
        <f t="shared" si="20"/>
        <v>0</v>
      </c>
      <c r="P38" s="1413">
        <f t="shared" si="21"/>
        <v>0</v>
      </c>
      <c r="Q38" s="1440">
        <f t="shared" si="15"/>
        <v>0</v>
      </c>
      <c r="R38" s="1447">
        <f t="shared" si="16"/>
        <v>0</v>
      </c>
      <c r="S38" s="1440">
        <f t="shared" si="22"/>
        <v>0</v>
      </c>
    </row>
    <row r="39" spans="1:19">
      <c r="A39" s="1028">
        <v>29</v>
      </c>
      <c r="B39" s="1029" t="s">
        <v>130</v>
      </c>
      <c r="C39" s="1411"/>
      <c r="D39" s="1413">
        <f>'Table 3 Levels 1&amp;2'!AP36</f>
        <v>4699.4957126061545</v>
      </c>
      <c r="E39" s="1408">
        <f t="shared" si="17"/>
        <v>0</v>
      </c>
      <c r="F39" s="1413">
        <f>'Table 3 Levels 1&amp;2'!AT36</f>
        <v>3595.05</v>
      </c>
      <c r="G39" s="1413">
        <f t="shared" si="18"/>
        <v>0</v>
      </c>
      <c r="H39" s="1413">
        <f t="shared" si="19"/>
        <v>0</v>
      </c>
      <c r="I39" s="1413">
        <f t="shared" si="12"/>
        <v>8294.5457126061556</v>
      </c>
      <c r="J39" s="1411"/>
      <c r="K39" s="1413">
        <f t="shared" si="13"/>
        <v>0</v>
      </c>
      <c r="L39" s="1413">
        <f t="shared" si="14"/>
        <v>0</v>
      </c>
      <c r="M39" s="1430">
        <f>'Table 3 Levels 1&amp;2'!V36</f>
        <v>0.62649999999999995</v>
      </c>
      <c r="N39" s="1430">
        <f>'Table 3 Levels 1&amp;2'!W36</f>
        <v>0.3735</v>
      </c>
      <c r="O39" s="1413">
        <f t="shared" si="20"/>
        <v>0</v>
      </c>
      <c r="P39" s="1413">
        <f t="shared" si="21"/>
        <v>0</v>
      </c>
      <c r="Q39" s="1440">
        <f t="shared" si="15"/>
        <v>0</v>
      </c>
      <c r="R39" s="1447">
        <f t="shared" si="16"/>
        <v>0</v>
      </c>
      <c r="S39" s="1440">
        <f t="shared" si="22"/>
        <v>0</v>
      </c>
    </row>
    <row r="40" spans="1:19">
      <c r="A40" s="1032">
        <v>30</v>
      </c>
      <c r="B40" s="1033" t="s">
        <v>131</v>
      </c>
      <c r="C40" s="1419"/>
      <c r="D40" s="1418">
        <f>'Table 3 Levels 1&amp;2'!AP37</f>
        <v>6321.9422628216744</v>
      </c>
      <c r="E40" s="1171">
        <f t="shared" si="17"/>
        <v>0</v>
      </c>
      <c r="F40" s="1418">
        <f>'Table 3 Levels 1&amp;2'!AT37</f>
        <v>2994.12</v>
      </c>
      <c r="G40" s="1418">
        <f t="shared" si="18"/>
        <v>0</v>
      </c>
      <c r="H40" s="1418">
        <f t="shared" si="19"/>
        <v>0</v>
      </c>
      <c r="I40" s="1418">
        <f t="shared" si="12"/>
        <v>9316.0622628216734</v>
      </c>
      <c r="J40" s="1420"/>
      <c r="K40" s="1418">
        <f t="shared" si="13"/>
        <v>0</v>
      </c>
      <c r="L40" s="1418">
        <f t="shared" si="14"/>
        <v>0</v>
      </c>
      <c r="M40" s="1431">
        <f>'Table 3 Levels 1&amp;2'!V37</f>
        <v>0.78869999999999996</v>
      </c>
      <c r="N40" s="1431">
        <f>'Table 3 Levels 1&amp;2'!W37</f>
        <v>0.21129999999999999</v>
      </c>
      <c r="O40" s="1418">
        <f t="shared" si="20"/>
        <v>0</v>
      </c>
      <c r="P40" s="1418">
        <f t="shared" si="21"/>
        <v>0</v>
      </c>
      <c r="Q40" s="1441">
        <f t="shared" si="15"/>
        <v>0</v>
      </c>
      <c r="R40" s="1448">
        <f t="shared" si="16"/>
        <v>0</v>
      </c>
      <c r="S40" s="1441">
        <f t="shared" si="22"/>
        <v>0</v>
      </c>
    </row>
    <row r="41" spans="1:19">
      <c r="A41" s="1021">
        <v>31</v>
      </c>
      <c r="B41" s="1022" t="s">
        <v>132</v>
      </c>
      <c r="C41" s="1411"/>
      <c r="D41" s="1413">
        <f>'Table 3 Levels 1&amp;2'!AP38</f>
        <v>4780.3858673700497</v>
      </c>
      <c r="E41" s="1408">
        <f t="shared" si="17"/>
        <v>0</v>
      </c>
      <c r="F41" s="1413">
        <f>'Table 3 Levels 1&amp;2'!AT38</f>
        <v>3753.45</v>
      </c>
      <c r="G41" s="1413">
        <f t="shared" si="18"/>
        <v>0</v>
      </c>
      <c r="H41" s="1413">
        <f t="shared" si="19"/>
        <v>0</v>
      </c>
      <c r="I41" s="1413">
        <f t="shared" si="12"/>
        <v>8533.8358673700495</v>
      </c>
      <c r="J41" s="1411"/>
      <c r="K41" s="1413">
        <f t="shared" si="13"/>
        <v>0</v>
      </c>
      <c r="L41" s="1413">
        <f t="shared" si="14"/>
        <v>0</v>
      </c>
      <c r="M41" s="1430">
        <f>'Table 3 Levels 1&amp;2'!V38</f>
        <v>0.63280000000000003</v>
      </c>
      <c r="N41" s="1430">
        <f>'Table 3 Levels 1&amp;2'!W38</f>
        <v>0.36720000000000003</v>
      </c>
      <c r="O41" s="1413">
        <f t="shared" si="20"/>
        <v>0</v>
      </c>
      <c r="P41" s="1413">
        <f t="shared" si="21"/>
        <v>0</v>
      </c>
      <c r="Q41" s="1440">
        <f t="shared" si="15"/>
        <v>0</v>
      </c>
      <c r="R41" s="1447">
        <f t="shared" si="16"/>
        <v>0</v>
      </c>
      <c r="S41" s="1440">
        <f t="shared" si="22"/>
        <v>0</v>
      </c>
    </row>
    <row r="42" spans="1:19">
      <c r="A42" s="1028">
        <v>32</v>
      </c>
      <c r="B42" s="1029" t="s">
        <v>133</v>
      </c>
      <c r="C42" s="1411"/>
      <c r="D42" s="1413">
        <f>'Table 3 Levels 1&amp;2'!AP39</f>
        <v>6034.7511328697501</v>
      </c>
      <c r="E42" s="1408">
        <f t="shared" si="17"/>
        <v>0</v>
      </c>
      <c r="F42" s="1413">
        <f>'Table 3 Levels 1&amp;2'!AT39</f>
        <v>1925.27</v>
      </c>
      <c r="G42" s="1413">
        <f t="shared" si="18"/>
        <v>0</v>
      </c>
      <c r="H42" s="1413">
        <f t="shared" si="19"/>
        <v>0</v>
      </c>
      <c r="I42" s="1413">
        <f t="shared" si="12"/>
        <v>7960.0211328697496</v>
      </c>
      <c r="J42" s="1411"/>
      <c r="K42" s="1413">
        <f t="shared" si="13"/>
        <v>0</v>
      </c>
      <c r="L42" s="1413">
        <f t="shared" si="14"/>
        <v>0</v>
      </c>
      <c r="M42" s="1430">
        <f>'Table 3 Levels 1&amp;2'!V39</f>
        <v>0.85340000000000005</v>
      </c>
      <c r="N42" s="1430">
        <f>'Table 3 Levels 1&amp;2'!W39</f>
        <v>0.14660000000000001</v>
      </c>
      <c r="O42" s="1413">
        <f t="shared" si="20"/>
        <v>0</v>
      </c>
      <c r="P42" s="1413">
        <f t="shared" si="21"/>
        <v>0</v>
      </c>
      <c r="Q42" s="1440">
        <f t="shared" si="15"/>
        <v>0</v>
      </c>
      <c r="R42" s="1447">
        <f t="shared" si="16"/>
        <v>0</v>
      </c>
      <c r="S42" s="1440">
        <f t="shared" si="22"/>
        <v>0</v>
      </c>
    </row>
    <row r="43" spans="1:19">
      <c r="A43" s="1028">
        <v>33</v>
      </c>
      <c r="B43" s="1029" t="s">
        <v>134</v>
      </c>
      <c r="C43" s="1411"/>
      <c r="D43" s="1413">
        <f>'Table 3 Levels 1&amp;2'!AP40</f>
        <v>6044.4994924392777</v>
      </c>
      <c r="E43" s="1408">
        <f t="shared" si="17"/>
        <v>0</v>
      </c>
      <c r="F43" s="1413">
        <f>'Table 3 Levels 1&amp;2'!AT40</f>
        <v>2768.16</v>
      </c>
      <c r="G43" s="1413">
        <f t="shared" si="18"/>
        <v>0</v>
      </c>
      <c r="H43" s="1413">
        <f t="shared" si="19"/>
        <v>0</v>
      </c>
      <c r="I43" s="1413">
        <f t="shared" ref="I43:I74" si="23">D43+F43</f>
        <v>8812.6594924392775</v>
      </c>
      <c r="J43" s="1411"/>
      <c r="K43" s="1413">
        <f t="shared" si="13"/>
        <v>0</v>
      </c>
      <c r="L43" s="1413">
        <f t="shared" ref="L43:L74" si="24">K43*C43</f>
        <v>0</v>
      </c>
      <c r="M43" s="1430">
        <f>'Table 3 Levels 1&amp;2'!V40</f>
        <v>0.75719999999999998</v>
      </c>
      <c r="N43" s="1430">
        <f>'Table 3 Levels 1&amp;2'!W40</f>
        <v>0.24279999999999999</v>
      </c>
      <c r="O43" s="1413">
        <f t="shared" si="20"/>
        <v>0</v>
      </c>
      <c r="P43" s="1413">
        <f t="shared" si="21"/>
        <v>0</v>
      </c>
      <c r="Q43" s="1440">
        <f t="shared" ref="Q43:Q79" si="25">E43-O43</f>
        <v>0</v>
      </c>
      <c r="R43" s="1447">
        <f t="shared" ref="R43:R79" si="26">G43-P43</f>
        <v>0</v>
      </c>
      <c r="S43" s="1440">
        <f t="shared" si="22"/>
        <v>0</v>
      </c>
    </row>
    <row r="44" spans="1:19">
      <c r="A44" s="1028">
        <v>34</v>
      </c>
      <c r="B44" s="1029" t="s">
        <v>135</v>
      </c>
      <c r="C44" s="1411"/>
      <c r="D44" s="1413">
        <f>'Table 3 Levels 1&amp;2'!AP41</f>
        <v>6487.9994010417822</v>
      </c>
      <c r="E44" s="1408">
        <f t="shared" si="17"/>
        <v>0</v>
      </c>
      <c r="F44" s="1413">
        <f>'Table 3 Levels 1&amp;2'!AT41</f>
        <v>2792.44</v>
      </c>
      <c r="G44" s="1413">
        <f t="shared" si="18"/>
        <v>0</v>
      </c>
      <c r="H44" s="1413">
        <f t="shared" si="19"/>
        <v>0</v>
      </c>
      <c r="I44" s="1413">
        <f t="shared" si="23"/>
        <v>9280.4394010417818</v>
      </c>
      <c r="J44" s="1411"/>
      <c r="K44" s="1413">
        <f t="shared" si="13"/>
        <v>0</v>
      </c>
      <c r="L44" s="1413">
        <f t="shared" si="24"/>
        <v>0</v>
      </c>
      <c r="M44" s="1430">
        <f>'Table 3 Levels 1&amp;2'!V41</f>
        <v>0.79210000000000003</v>
      </c>
      <c r="N44" s="1430">
        <f>'Table 3 Levels 1&amp;2'!W41</f>
        <v>0.2079</v>
      </c>
      <c r="O44" s="1413">
        <f t="shared" si="20"/>
        <v>0</v>
      </c>
      <c r="P44" s="1413">
        <f t="shared" si="21"/>
        <v>0</v>
      </c>
      <c r="Q44" s="1440">
        <f t="shared" si="25"/>
        <v>0</v>
      </c>
      <c r="R44" s="1447">
        <f t="shared" si="26"/>
        <v>0</v>
      </c>
      <c r="S44" s="1440">
        <f t="shared" si="22"/>
        <v>0</v>
      </c>
    </row>
    <row r="45" spans="1:19">
      <c r="A45" s="1032">
        <v>35</v>
      </c>
      <c r="B45" s="1033" t="s">
        <v>136</v>
      </c>
      <c r="C45" s="1419"/>
      <c r="D45" s="1418">
        <f>'Table 3 Levels 1&amp;2'!AP42</f>
        <v>5368.7485167533277</v>
      </c>
      <c r="E45" s="1171">
        <f t="shared" si="17"/>
        <v>0</v>
      </c>
      <c r="F45" s="1418">
        <f>'Table 3 Levels 1&amp;2'!AT42</f>
        <v>3251.7</v>
      </c>
      <c r="G45" s="1418">
        <f t="shared" si="18"/>
        <v>0</v>
      </c>
      <c r="H45" s="1418">
        <f t="shared" si="19"/>
        <v>0</v>
      </c>
      <c r="I45" s="1418">
        <f t="shared" si="23"/>
        <v>8620.4485167533276</v>
      </c>
      <c r="J45" s="1420"/>
      <c r="K45" s="1418">
        <f t="shared" si="13"/>
        <v>0</v>
      </c>
      <c r="L45" s="1418">
        <f t="shared" si="24"/>
        <v>0</v>
      </c>
      <c r="M45" s="1431">
        <f>'Table 3 Levels 1&amp;2'!V42</f>
        <v>0.70950000000000002</v>
      </c>
      <c r="N45" s="1431">
        <f>'Table 3 Levels 1&amp;2'!W42</f>
        <v>0.29049999999999998</v>
      </c>
      <c r="O45" s="1418">
        <f t="shared" si="20"/>
        <v>0</v>
      </c>
      <c r="P45" s="1418">
        <f t="shared" si="21"/>
        <v>0</v>
      </c>
      <c r="Q45" s="1441">
        <f t="shared" si="25"/>
        <v>0</v>
      </c>
      <c r="R45" s="1448">
        <f t="shared" si="26"/>
        <v>0</v>
      </c>
      <c r="S45" s="1441">
        <f t="shared" si="22"/>
        <v>0</v>
      </c>
    </row>
    <row r="46" spans="1:19">
      <c r="A46" s="1319">
        <v>36</v>
      </c>
      <c r="B46" s="1410" t="s">
        <v>410</v>
      </c>
      <c r="C46" s="1172">
        <f>1833+417</f>
        <v>2250</v>
      </c>
      <c r="D46" s="1413">
        <f>'Table 3 Levels 1&amp;2'!AP43</f>
        <v>4232.6450566452304</v>
      </c>
      <c r="E46" s="1408">
        <f>D46*C46</f>
        <v>9523451.3774517681</v>
      </c>
      <c r="F46" s="1413">
        <f>'Table 3 Levels 1&amp;2'!AT43</f>
        <v>4288.99</v>
      </c>
      <c r="G46" s="1425">
        <f t="shared" si="18"/>
        <v>9650227.5</v>
      </c>
      <c r="H46" s="1425">
        <f t="shared" si="19"/>
        <v>19173678.87745177</v>
      </c>
      <c r="I46" s="1409">
        <f t="shared" si="23"/>
        <v>8521.6350566452311</v>
      </c>
      <c r="J46" s="1409">
        <v>4865</v>
      </c>
      <c r="K46" s="1425">
        <f>IF(I46&gt;J46,J46,I46)</f>
        <v>4865</v>
      </c>
      <c r="L46" s="1425">
        <f t="shared" si="24"/>
        <v>10946250</v>
      </c>
      <c r="M46" s="1432">
        <f>'Table 3 Levels 1&amp;2'!V43</f>
        <v>0.54549999999999998</v>
      </c>
      <c r="N46" s="1436">
        <f>'Table 3 Levels 1&amp;2'!W43</f>
        <v>0.45450000000000002</v>
      </c>
      <c r="O46" s="1437">
        <f t="shared" si="20"/>
        <v>5971179.375</v>
      </c>
      <c r="P46" s="1437">
        <f t="shared" si="21"/>
        <v>4975070.625</v>
      </c>
      <c r="Q46" s="1442">
        <f t="shared" si="25"/>
        <v>3552272.0024517681</v>
      </c>
      <c r="R46" s="1449">
        <f t="shared" si="26"/>
        <v>4675156.875</v>
      </c>
      <c r="S46" s="1452">
        <f t="shared" si="22"/>
        <v>8227428.8774517681</v>
      </c>
    </row>
    <row r="47" spans="1:19">
      <c r="A47" s="1028">
        <v>37</v>
      </c>
      <c r="B47" s="1022" t="s">
        <v>138</v>
      </c>
      <c r="C47" s="1412"/>
      <c r="D47" s="1414">
        <f>'Table 3 Levels 1&amp;2'!AP44</f>
        <v>6138.2568163718242</v>
      </c>
      <c r="E47" s="1408">
        <f t="shared" ref="E47:E79" si="27">D47*C47</f>
        <v>0</v>
      </c>
      <c r="F47" s="1413">
        <f>'Table 3 Levels 1&amp;2'!AT44</f>
        <v>2861.47</v>
      </c>
      <c r="G47" s="1426">
        <f t="shared" si="18"/>
        <v>0</v>
      </c>
      <c r="H47" s="1426">
        <f t="shared" si="19"/>
        <v>0</v>
      </c>
      <c r="I47" s="1413">
        <f t="shared" si="23"/>
        <v>8999.7268163718236</v>
      </c>
      <c r="J47" s="1412"/>
      <c r="K47" s="1426">
        <f t="shared" ref="K47:K79" si="28">IF(I47&gt;J47,J47,I47)</f>
        <v>0</v>
      </c>
      <c r="L47" s="1426">
        <f t="shared" si="24"/>
        <v>0</v>
      </c>
      <c r="M47" s="1433">
        <f>'Table 3 Levels 1&amp;2'!V44</f>
        <v>0.79600000000000004</v>
      </c>
      <c r="N47" s="1433">
        <f>'Table 3 Levels 1&amp;2'!W44</f>
        <v>0.20399999999999999</v>
      </c>
      <c r="O47" s="1426">
        <f t="shared" si="20"/>
        <v>0</v>
      </c>
      <c r="P47" s="1426">
        <f t="shared" si="21"/>
        <v>0</v>
      </c>
      <c r="Q47" s="1442">
        <f t="shared" si="25"/>
        <v>0</v>
      </c>
      <c r="R47" s="1450">
        <f t="shared" si="26"/>
        <v>0</v>
      </c>
      <c r="S47" s="1442">
        <f t="shared" si="22"/>
        <v>0</v>
      </c>
    </row>
    <row r="48" spans="1:19">
      <c r="A48" s="1028">
        <v>38</v>
      </c>
      <c r="B48" s="1029" t="s">
        <v>139</v>
      </c>
      <c r="C48" s="1412"/>
      <c r="D48" s="1414">
        <f>'Table 3 Levels 1&amp;2'!AP45</f>
        <v>3017.0499751683283</v>
      </c>
      <c r="E48" s="1408">
        <f t="shared" si="27"/>
        <v>0</v>
      </c>
      <c r="F48" s="1413">
        <f>'Table 3 Levels 1&amp;2'!AT45</f>
        <v>6075.12</v>
      </c>
      <c r="G48" s="1426">
        <f t="shared" si="18"/>
        <v>0</v>
      </c>
      <c r="H48" s="1426">
        <f t="shared" si="19"/>
        <v>0</v>
      </c>
      <c r="I48" s="1413">
        <f t="shared" si="23"/>
        <v>9092.1699751683282</v>
      </c>
      <c r="J48" s="1412"/>
      <c r="K48" s="1426">
        <f t="shared" si="28"/>
        <v>0</v>
      </c>
      <c r="L48" s="1426">
        <f t="shared" si="24"/>
        <v>0</v>
      </c>
      <c r="M48" s="1433">
        <f>'Table 3 Levels 1&amp;2'!V45</f>
        <v>0.25</v>
      </c>
      <c r="N48" s="1433">
        <f>'Table 3 Levels 1&amp;2'!W45</f>
        <v>0.75</v>
      </c>
      <c r="O48" s="1426">
        <f t="shared" si="20"/>
        <v>0</v>
      </c>
      <c r="P48" s="1426">
        <f t="shared" si="21"/>
        <v>0</v>
      </c>
      <c r="Q48" s="1442">
        <f t="shared" si="25"/>
        <v>0</v>
      </c>
      <c r="R48" s="1450">
        <f t="shared" si="26"/>
        <v>0</v>
      </c>
      <c r="S48" s="1442">
        <f t="shared" si="22"/>
        <v>0</v>
      </c>
    </row>
    <row r="49" spans="1:19">
      <c r="A49" s="1028">
        <v>39</v>
      </c>
      <c r="B49" s="1029" t="s">
        <v>140</v>
      </c>
      <c r="C49" s="1412"/>
      <c r="D49" s="1414">
        <f>'Table 3 Levels 1&amp;2'!AP46</f>
        <v>4465.3237446097473</v>
      </c>
      <c r="E49" s="1408">
        <f t="shared" si="27"/>
        <v>0</v>
      </c>
      <c r="F49" s="1413">
        <f>'Table 3 Levels 1&amp;2'!AT46</f>
        <v>4138.67</v>
      </c>
      <c r="G49" s="1426">
        <f t="shared" si="18"/>
        <v>0</v>
      </c>
      <c r="H49" s="1426">
        <f t="shared" si="19"/>
        <v>0</v>
      </c>
      <c r="I49" s="1413">
        <f t="shared" si="23"/>
        <v>8603.9937446097465</v>
      </c>
      <c r="J49" s="1412"/>
      <c r="K49" s="1426">
        <f t="shared" si="28"/>
        <v>0</v>
      </c>
      <c r="L49" s="1426">
        <f t="shared" si="24"/>
        <v>0</v>
      </c>
      <c r="M49" s="1433">
        <f>'Table 3 Levels 1&amp;2'!V46</f>
        <v>0.52159999999999995</v>
      </c>
      <c r="N49" s="1433">
        <f>'Table 3 Levels 1&amp;2'!W46</f>
        <v>0.47839999999999999</v>
      </c>
      <c r="O49" s="1426">
        <f t="shared" si="20"/>
        <v>0</v>
      </c>
      <c r="P49" s="1426">
        <f t="shared" si="21"/>
        <v>0</v>
      </c>
      <c r="Q49" s="1442">
        <f t="shared" si="25"/>
        <v>0</v>
      </c>
      <c r="R49" s="1450">
        <f t="shared" si="26"/>
        <v>0</v>
      </c>
      <c r="S49" s="1442">
        <f t="shared" si="22"/>
        <v>0</v>
      </c>
    </row>
    <row r="50" spans="1:19">
      <c r="A50" s="1032">
        <v>40</v>
      </c>
      <c r="B50" s="1033" t="s">
        <v>141</v>
      </c>
      <c r="C50" s="1415"/>
      <c r="D50" s="1416">
        <f>'Table 3 Levels 1&amp;2'!AP47</f>
        <v>5579.0927084382856</v>
      </c>
      <c r="E50" s="1171">
        <f t="shared" si="27"/>
        <v>0</v>
      </c>
      <c r="F50" s="1418">
        <f>'Table 3 Levels 1&amp;2'!AT47</f>
        <v>2904.28</v>
      </c>
      <c r="G50" s="1427">
        <f t="shared" si="18"/>
        <v>0</v>
      </c>
      <c r="H50" s="1427">
        <f t="shared" si="19"/>
        <v>0</v>
      </c>
      <c r="I50" s="1418">
        <f t="shared" si="23"/>
        <v>8483.3727084382863</v>
      </c>
      <c r="J50" s="1417"/>
      <c r="K50" s="1427">
        <f t="shared" si="28"/>
        <v>0</v>
      </c>
      <c r="L50" s="1427">
        <f t="shared" si="24"/>
        <v>0</v>
      </c>
      <c r="M50" s="1434">
        <f>'Table 3 Levels 1&amp;2'!V47</f>
        <v>0.73929999999999996</v>
      </c>
      <c r="N50" s="1434">
        <f>'Table 3 Levels 1&amp;2'!W47</f>
        <v>0.26069999999999999</v>
      </c>
      <c r="O50" s="1427">
        <f t="shared" si="20"/>
        <v>0</v>
      </c>
      <c r="P50" s="1427">
        <f t="shared" si="21"/>
        <v>0</v>
      </c>
      <c r="Q50" s="1443">
        <f t="shared" si="25"/>
        <v>0</v>
      </c>
      <c r="R50" s="1451">
        <f t="shared" si="26"/>
        <v>0</v>
      </c>
      <c r="S50" s="1443">
        <f t="shared" si="22"/>
        <v>0</v>
      </c>
    </row>
    <row r="51" spans="1:19">
      <c r="A51" s="1021">
        <v>41</v>
      </c>
      <c r="B51" s="1022" t="s">
        <v>142</v>
      </c>
      <c r="C51" s="1412"/>
      <c r="D51" s="1414">
        <f>'Table 3 Levels 1&amp;2'!AP48</f>
        <v>2494.4613887704331</v>
      </c>
      <c r="E51" s="1408">
        <f t="shared" si="27"/>
        <v>0</v>
      </c>
      <c r="F51" s="1413">
        <f>'Table 3 Levels 1&amp;2'!AT48</f>
        <v>6420.89</v>
      </c>
      <c r="G51" s="1426">
        <f t="shared" si="18"/>
        <v>0</v>
      </c>
      <c r="H51" s="1426">
        <f t="shared" si="19"/>
        <v>0</v>
      </c>
      <c r="I51" s="1413">
        <f t="shared" si="23"/>
        <v>8915.3513887704339</v>
      </c>
      <c r="J51" s="1412"/>
      <c r="K51" s="1426">
        <f t="shared" si="28"/>
        <v>0</v>
      </c>
      <c r="L51" s="1426">
        <f t="shared" si="24"/>
        <v>0</v>
      </c>
      <c r="M51" s="1433">
        <f>'Table 3 Levels 1&amp;2'!V48</f>
        <v>0.25</v>
      </c>
      <c r="N51" s="1433">
        <f>'Table 3 Levels 1&amp;2'!W48</f>
        <v>0.75</v>
      </c>
      <c r="O51" s="1426">
        <f t="shared" si="20"/>
        <v>0</v>
      </c>
      <c r="P51" s="1426">
        <f t="shared" si="21"/>
        <v>0</v>
      </c>
      <c r="Q51" s="1442">
        <f t="shared" si="25"/>
        <v>0</v>
      </c>
      <c r="R51" s="1450">
        <f t="shared" si="26"/>
        <v>0</v>
      </c>
      <c r="S51" s="1442">
        <f t="shared" si="22"/>
        <v>0</v>
      </c>
    </row>
    <row r="52" spans="1:19">
      <c r="A52" s="1028">
        <v>42</v>
      </c>
      <c r="B52" s="1029" t="s">
        <v>143</v>
      </c>
      <c r="C52" s="1412"/>
      <c r="D52" s="1414">
        <f>'Table 3 Levels 1&amp;2'!AP49</f>
        <v>5793.7803101919453</v>
      </c>
      <c r="E52" s="1408">
        <f t="shared" si="27"/>
        <v>0</v>
      </c>
      <c r="F52" s="1413">
        <f>'Table 3 Levels 1&amp;2'!AT49</f>
        <v>2728.55</v>
      </c>
      <c r="G52" s="1426">
        <f t="shared" si="18"/>
        <v>0</v>
      </c>
      <c r="H52" s="1426">
        <f t="shared" si="19"/>
        <v>0</v>
      </c>
      <c r="I52" s="1413">
        <f t="shared" si="23"/>
        <v>8522.3303101919446</v>
      </c>
      <c r="J52" s="1412"/>
      <c r="K52" s="1426">
        <f t="shared" si="28"/>
        <v>0</v>
      </c>
      <c r="L52" s="1426">
        <f t="shared" si="24"/>
        <v>0</v>
      </c>
      <c r="M52" s="1433">
        <f>'Table 3 Levels 1&amp;2'!V49</f>
        <v>0.76149999999999995</v>
      </c>
      <c r="N52" s="1433">
        <f>'Table 3 Levels 1&amp;2'!W49</f>
        <v>0.23849999999999999</v>
      </c>
      <c r="O52" s="1426">
        <f t="shared" si="20"/>
        <v>0</v>
      </c>
      <c r="P52" s="1426">
        <f t="shared" si="21"/>
        <v>0</v>
      </c>
      <c r="Q52" s="1442">
        <f t="shared" si="25"/>
        <v>0</v>
      </c>
      <c r="R52" s="1450">
        <f t="shared" si="26"/>
        <v>0</v>
      </c>
      <c r="S52" s="1442">
        <f t="shared" si="22"/>
        <v>0</v>
      </c>
    </row>
    <row r="53" spans="1:19">
      <c r="A53" s="1028">
        <v>43</v>
      </c>
      <c r="B53" s="1029" t="s">
        <v>144</v>
      </c>
      <c r="C53" s="1412"/>
      <c r="D53" s="1414">
        <f>'Table 3 Levels 1&amp;2'!AP50</f>
        <v>6161.6565788857788</v>
      </c>
      <c r="E53" s="1408">
        <f t="shared" si="27"/>
        <v>0</v>
      </c>
      <c r="F53" s="1413">
        <f>'Table 3 Levels 1&amp;2'!AT50</f>
        <v>3359.76</v>
      </c>
      <c r="G53" s="1426">
        <f t="shared" si="18"/>
        <v>0</v>
      </c>
      <c r="H53" s="1426">
        <f t="shared" si="19"/>
        <v>0</v>
      </c>
      <c r="I53" s="1413">
        <f t="shared" si="23"/>
        <v>9521.416578885779</v>
      </c>
      <c r="J53" s="1412"/>
      <c r="K53" s="1426">
        <f t="shared" si="28"/>
        <v>0</v>
      </c>
      <c r="L53" s="1426">
        <f t="shared" si="24"/>
        <v>0</v>
      </c>
      <c r="M53" s="1433">
        <f>'Table 3 Levels 1&amp;2'!V50</f>
        <v>0.75419999999999998</v>
      </c>
      <c r="N53" s="1433">
        <f>'Table 3 Levels 1&amp;2'!W50</f>
        <v>0.24579999999999999</v>
      </c>
      <c r="O53" s="1426">
        <f t="shared" si="20"/>
        <v>0</v>
      </c>
      <c r="P53" s="1426">
        <f t="shared" si="21"/>
        <v>0</v>
      </c>
      <c r="Q53" s="1442">
        <f t="shared" si="25"/>
        <v>0</v>
      </c>
      <c r="R53" s="1450">
        <f t="shared" si="26"/>
        <v>0</v>
      </c>
      <c r="S53" s="1442">
        <f t="shared" si="22"/>
        <v>0</v>
      </c>
    </row>
    <row r="54" spans="1:19">
      <c r="A54" s="1028">
        <v>44</v>
      </c>
      <c r="B54" s="1029" t="s">
        <v>145</v>
      </c>
      <c r="C54" s="1412"/>
      <c r="D54" s="1414">
        <f>'Table 3 Levels 1&amp;2'!AP51</f>
        <v>4776.3499168287053</v>
      </c>
      <c r="E54" s="1408">
        <f t="shared" si="27"/>
        <v>0</v>
      </c>
      <c r="F54" s="1413">
        <f>'Table 3 Levels 1&amp;2'!AT51</f>
        <v>3932.56</v>
      </c>
      <c r="G54" s="1426">
        <f t="shared" si="18"/>
        <v>0</v>
      </c>
      <c r="H54" s="1426">
        <f t="shared" si="19"/>
        <v>0</v>
      </c>
      <c r="I54" s="1413">
        <f t="shared" si="23"/>
        <v>8708.9099168287048</v>
      </c>
      <c r="J54" s="1412"/>
      <c r="K54" s="1426">
        <f t="shared" si="28"/>
        <v>0</v>
      </c>
      <c r="L54" s="1426">
        <f t="shared" si="24"/>
        <v>0</v>
      </c>
      <c r="M54" s="1433">
        <f>'Table 3 Levels 1&amp;2'!V51</f>
        <v>0.61629999999999996</v>
      </c>
      <c r="N54" s="1433">
        <f>'Table 3 Levels 1&amp;2'!W51</f>
        <v>0.38369999999999999</v>
      </c>
      <c r="O54" s="1426">
        <f t="shared" si="20"/>
        <v>0</v>
      </c>
      <c r="P54" s="1426">
        <f t="shared" si="21"/>
        <v>0</v>
      </c>
      <c r="Q54" s="1442">
        <f t="shared" si="25"/>
        <v>0</v>
      </c>
      <c r="R54" s="1450">
        <f t="shared" si="26"/>
        <v>0</v>
      </c>
      <c r="S54" s="1442">
        <f t="shared" si="22"/>
        <v>0</v>
      </c>
    </row>
    <row r="55" spans="1:19">
      <c r="A55" s="1032">
        <v>45</v>
      </c>
      <c r="B55" s="1033" t="s">
        <v>146</v>
      </c>
      <c r="C55" s="1415"/>
      <c r="D55" s="1416">
        <f>'Table 3 Levels 1&amp;2'!AP52</f>
        <v>3168.6867457778631</v>
      </c>
      <c r="E55" s="1171">
        <f t="shared" si="27"/>
        <v>0</v>
      </c>
      <c r="F55" s="1418">
        <f>'Table 3 Levels 1&amp;2'!AT52</f>
        <v>5006.3500000000004</v>
      </c>
      <c r="G55" s="1427">
        <f t="shared" si="18"/>
        <v>0</v>
      </c>
      <c r="H55" s="1427">
        <f t="shared" si="19"/>
        <v>0</v>
      </c>
      <c r="I55" s="1418">
        <f t="shared" si="23"/>
        <v>8175.036745777863</v>
      </c>
      <c r="J55" s="1417"/>
      <c r="K55" s="1427">
        <f t="shared" si="28"/>
        <v>0</v>
      </c>
      <c r="L55" s="1427">
        <f t="shared" si="24"/>
        <v>0</v>
      </c>
      <c r="M55" s="1434">
        <f>'Table 3 Levels 1&amp;2'!V52</f>
        <v>0.35160000000000002</v>
      </c>
      <c r="N55" s="1434">
        <f>'Table 3 Levels 1&amp;2'!W52</f>
        <v>0.64839999999999998</v>
      </c>
      <c r="O55" s="1427">
        <f t="shared" si="20"/>
        <v>0</v>
      </c>
      <c r="P55" s="1427">
        <f t="shared" si="21"/>
        <v>0</v>
      </c>
      <c r="Q55" s="1443">
        <f t="shared" si="25"/>
        <v>0</v>
      </c>
      <c r="R55" s="1451">
        <f t="shared" si="26"/>
        <v>0</v>
      </c>
      <c r="S55" s="1443">
        <f t="shared" si="22"/>
        <v>0</v>
      </c>
    </row>
    <row r="56" spans="1:19">
      <c r="A56" s="1021">
        <v>46</v>
      </c>
      <c r="B56" s="1022" t="s">
        <v>147</v>
      </c>
      <c r="C56" s="1412"/>
      <c r="D56" s="1414">
        <f>'Table 3 Levels 1&amp;2'!AP53</f>
        <v>6492.6294011097007</v>
      </c>
      <c r="E56" s="1408">
        <f t="shared" si="27"/>
        <v>0</v>
      </c>
      <c r="F56" s="1413">
        <f>'Table 3 Levels 1&amp;2'!AT53</f>
        <v>1810.44</v>
      </c>
      <c r="G56" s="1426">
        <f t="shared" si="18"/>
        <v>0</v>
      </c>
      <c r="H56" s="1426">
        <f t="shared" si="19"/>
        <v>0</v>
      </c>
      <c r="I56" s="1413">
        <f t="shared" si="23"/>
        <v>8303.0694011097003</v>
      </c>
      <c r="J56" s="1412"/>
      <c r="K56" s="1426">
        <f t="shared" si="28"/>
        <v>0</v>
      </c>
      <c r="L56" s="1426">
        <f t="shared" si="24"/>
        <v>0</v>
      </c>
      <c r="M56" s="1433">
        <f>'Table 3 Levels 1&amp;2'!V53</f>
        <v>0.81940000000000002</v>
      </c>
      <c r="N56" s="1433">
        <f>'Table 3 Levels 1&amp;2'!W53</f>
        <v>0.18060000000000001</v>
      </c>
      <c r="O56" s="1426">
        <f t="shared" si="20"/>
        <v>0</v>
      </c>
      <c r="P56" s="1426">
        <f t="shared" si="21"/>
        <v>0</v>
      </c>
      <c r="Q56" s="1442">
        <f t="shared" si="25"/>
        <v>0</v>
      </c>
      <c r="R56" s="1450">
        <f t="shared" si="26"/>
        <v>0</v>
      </c>
      <c r="S56" s="1442">
        <f t="shared" si="22"/>
        <v>0</v>
      </c>
    </row>
    <row r="57" spans="1:19">
      <c r="A57" s="1028">
        <v>47</v>
      </c>
      <c r="B57" s="1029" t="s">
        <v>148</v>
      </c>
      <c r="C57" s="1412"/>
      <c r="D57" s="1414">
        <f>'Table 3 Levels 1&amp;2'!AP54</f>
        <v>4096.5801047247915</v>
      </c>
      <c r="E57" s="1408">
        <f t="shared" si="27"/>
        <v>0</v>
      </c>
      <c r="F57" s="1413">
        <f>'Table 3 Levels 1&amp;2'!AT54</f>
        <v>5172.8100000000004</v>
      </c>
      <c r="G57" s="1426">
        <f t="shared" si="18"/>
        <v>0</v>
      </c>
      <c r="H57" s="1426">
        <f t="shared" si="19"/>
        <v>0</v>
      </c>
      <c r="I57" s="1413">
        <f t="shared" si="23"/>
        <v>9269.3901047247928</v>
      </c>
      <c r="J57" s="1412"/>
      <c r="K57" s="1426">
        <f t="shared" si="28"/>
        <v>0</v>
      </c>
      <c r="L57" s="1426">
        <f t="shared" si="24"/>
        <v>0</v>
      </c>
      <c r="M57" s="1433">
        <f>'Table 3 Levels 1&amp;2'!V54</f>
        <v>0.44890000000000002</v>
      </c>
      <c r="N57" s="1433">
        <f>'Table 3 Levels 1&amp;2'!W54</f>
        <v>0.55110000000000003</v>
      </c>
      <c r="O57" s="1426">
        <f t="shared" si="20"/>
        <v>0</v>
      </c>
      <c r="P57" s="1426">
        <f t="shared" si="21"/>
        <v>0</v>
      </c>
      <c r="Q57" s="1442">
        <f t="shared" si="25"/>
        <v>0</v>
      </c>
      <c r="R57" s="1450">
        <f t="shared" si="26"/>
        <v>0</v>
      </c>
      <c r="S57" s="1442">
        <f t="shared" si="22"/>
        <v>0</v>
      </c>
    </row>
    <row r="58" spans="1:19">
      <c r="A58" s="1028">
        <v>48</v>
      </c>
      <c r="B58" s="1029" t="s">
        <v>222</v>
      </c>
      <c r="C58" s="1412"/>
      <c r="D58" s="1414">
        <f>'Table 3 Levels 1&amp;2'!AP55</f>
        <v>5131.0710973096047</v>
      </c>
      <c r="E58" s="1408">
        <f t="shared" si="27"/>
        <v>0</v>
      </c>
      <c r="F58" s="1413">
        <f>'Table 3 Levels 1&amp;2'!AT55</f>
        <v>4035.23</v>
      </c>
      <c r="G58" s="1426">
        <f t="shared" si="18"/>
        <v>0</v>
      </c>
      <c r="H58" s="1426">
        <f t="shared" si="19"/>
        <v>0</v>
      </c>
      <c r="I58" s="1413">
        <f t="shared" si="23"/>
        <v>9166.3010973096043</v>
      </c>
      <c r="J58" s="1412"/>
      <c r="K58" s="1426">
        <f t="shared" si="28"/>
        <v>0</v>
      </c>
      <c r="L58" s="1426">
        <f t="shared" si="24"/>
        <v>0</v>
      </c>
      <c r="M58" s="1433">
        <f>'Table 3 Levels 1&amp;2'!V55</f>
        <v>0.61929999999999996</v>
      </c>
      <c r="N58" s="1433">
        <f>'Table 3 Levels 1&amp;2'!W55</f>
        <v>0.38069999999999998</v>
      </c>
      <c r="O58" s="1426">
        <f t="shared" si="20"/>
        <v>0</v>
      </c>
      <c r="P58" s="1426">
        <f t="shared" si="21"/>
        <v>0</v>
      </c>
      <c r="Q58" s="1442">
        <f t="shared" si="25"/>
        <v>0</v>
      </c>
      <c r="R58" s="1450">
        <f t="shared" si="26"/>
        <v>0</v>
      </c>
      <c r="S58" s="1442">
        <f t="shared" si="22"/>
        <v>0</v>
      </c>
    </row>
    <row r="59" spans="1:19">
      <c r="A59" s="1028">
        <v>49</v>
      </c>
      <c r="B59" s="1029" t="s">
        <v>149</v>
      </c>
      <c r="C59" s="1412"/>
      <c r="D59" s="1414">
        <f>'Table 3 Levels 1&amp;2'!AP56</f>
        <v>5374.408275744262</v>
      </c>
      <c r="E59" s="1408">
        <f t="shared" si="27"/>
        <v>0</v>
      </c>
      <c r="F59" s="1413">
        <f>'Table 3 Levels 1&amp;2'!AT56</f>
        <v>2247.1799999999998</v>
      </c>
      <c r="G59" s="1426">
        <f t="shared" si="18"/>
        <v>0</v>
      </c>
      <c r="H59" s="1426">
        <f t="shared" si="19"/>
        <v>0</v>
      </c>
      <c r="I59" s="1413">
        <f t="shared" si="23"/>
        <v>7621.5882757442614</v>
      </c>
      <c r="J59" s="1412"/>
      <c r="K59" s="1426">
        <f t="shared" si="28"/>
        <v>0</v>
      </c>
      <c r="L59" s="1426">
        <f t="shared" si="24"/>
        <v>0</v>
      </c>
      <c r="M59" s="1433">
        <f>'Table 3 Levels 1&amp;2'!V56</f>
        <v>0.76070000000000004</v>
      </c>
      <c r="N59" s="1433">
        <f>'Table 3 Levels 1&amp;2'!W56</f>
        <v>0.23930000000000001</v>
      </c>
      <c r="O59" s="1426">
        <f t="shared" si="20"/>
        <v>0</v>
      </c>
      <c r="P59" s="1426">
        <f t="shared" si="21"/>
        <v>0</v>
      </c>
      <c r="Q59" s="1442">
        <f t="shared" si="25"/>
        <v>0</v>
      </c>
      <c r="R59" s="1450">
        <f t="shared" si="26"/>
        <v>0</v>
      </c>
      <c r="S59" s="1442">
        <f t="shared" si="22"/>
        <v>0</v>
      </c>
    </row>
    <row r="60" spans="1:19">
      <c r="A60" s="1032">
        <v>50</v>
      </c>
      <c r="B60" s="1033" t="s">
        <v>150</v>
      </c>
      <c r="C60" s="1415"/>
      <c r="D60" s="1416">
        <f>'Table 3 Levels 1&amp;2'!AP57</f>
        <v>5693.8089501615532</v>
      </c>
      <c r="E60" s="1171">
        <f t="shared" si="27"/>
        <v>0</v>
      </c>
      <c r="F60" s="1418">
        <f>'Table 3 Levels 1&amp;2'!AT57</f>
        <v>2629.6</v>
      </c>
      <c r="G60" s="1427">
        <f t="shared" si="18"/>
        <v>0</v>
      </c>
      <c r="H60" s="1427">
        <f t="shared" si="19"/>
        <v>0</v>
      </c>
      <c r="I60" s="1418">
        <f t="shared" si="23"/>
        <v>8323.4089501615526</v>
      </c>
      <c r="J60" s="1417"/>
      <c r="K60" s="1427">
        <f t="shared" si="28"/>
        <v>0</v>
      </c>
      <c r="L60" s="1427">
        <f t="shared" si="24"/>
        <v>0</v>
      </c>
      <c r="M60" s="1434">
        <f>'Table 3 Levels 1&amp;2'!V57</f>
        <v>0.76700000000000002</v>
      </c>
      <c r="N60" s="1434">
        <f>'Table 3 Levels 1&amp;2'!W57</f>
        <v>0.23300000000000001</v>
      </c>
      <c r="O60" s="1427">
        <f t="shared" si="20"/>
        <v>0</v>
      </c>
      <c r="P60" s="1427">
        <f t="shared" si="21"/>
        <v>0</v>
      </c>
      <c r="Q60" s="1443">
        <f t="shared" si="25"/>
        <v>0</v>
      </c>
      <c r="R60" s="1451">
        <f t="shared" si="26"/>
        <v>0</v>
      </c>
      <c r="S60" s="1443">
        <f t="shared" si="22"/>
        <v>0</v>
      </c>
    </row>
    <row r="61" spans="1:19">
      <c r="A61" s="1021">
        <v>51</v>
      </c>
      <c r="B61" s="1022" t="s">
        <v>151</v>
      </c>
      <c r="C61" s="1412"/>
      <c r="D61" s="1414">
        <f>'Table 3 Levels 1&amp;2'!AP58</f>
        <v>5087.2824531699534</v>
      </c>
      <c r="E61" s="1408">
        <f t="shared" si="27"/>
        <v>0</v>
      </c>
      <c r="F61" s="1413">
        <f>'Table 3 Levels 1&amp;2'!AT58</f>
        <v>3892.1</v>
      </c>
      <c r="G61" s="1426">
        <f t="shared" si="18"/>
        <v>0</v>
      </c>
      <c r="H61" s="1426">
        <f t="shared" si="19"/>
        <v>0</v>
      </c>
      <c r="I61" s="1413">
        <f t="shared" si="23"/>
        <v>8979.3824531699538</v>
      </c>
      <c r="J61" s="1412"/>
      <c r="K61" s="1426">
        <f t="shared" si="28"/>
        <v>0</v>
      </c>
      <c r="L61" s="1426">
        <f t="shared" si="24"/>
        <v>0</v>
      </c>
      <c r="M61" s="1433">
        <f>'Table 3 Levels 1&amp;2'!V58</f>
        <v>0.63800000000000001</v>
      </c>
      <c r="N61" s="1433">
        <f>'Table 3 Levels 1&amp;2'!W58</f>
        <v>0.36199999999999999</v>
      </c>
      <c r="O61" s="1426">
        <f t="shared" si="20"/>
        <v>0</v>
      </c>
      <c r="P61" s="1426">
        <f t="shared" si="21"/>
        <v>0</v>
      </c>
      <c r="Q61" s="1442">
        <f t="shared" si="25"/>
        <v>0</v>
      </c>
      <c r="R61" s="1450">
        <f t="shared" si="26"/>
        <v>0</v>
      </c>
      <c r="S61" s="1442">
        <f t="shared" si="22"/>
        <v>0</v>
      </c>
    </row>
    <row r="62" spans="1:19">
      <c r="A62" s="1028">
        <v>52</v>
      </c>
      <c r="B62" s="1029" t="s">
        <v>152</v>
      </c>
      <c r="C62" s="1412"/>
      <c r="D62" s="1414">
        <f>'Table 3 Levels 1&amp;2'!AP59</f>
        <v>5578.2623139672487</v>
      </c>
      <c r="E62" s="1408">
        <f t="shared" si="27"/>
        <v>0</v>
      </c>
      <c r="F62" s="1413">
        <f>'Table 3 Levels 1&amp;2'!AT59</f>
        <v>3564.47</v>
      </c>
      <c r="G62" s="1426">
        <f t="shared" si="18"/>
        <v>0</v>
      </c>
      <c r="H62" s="1426">
        <f t="shared" si="19"/>
        <v>0</v>
      </c>
      <c r="I62" s="1413">
        <f t="shared" si="23"/>
        <v>9142.732313967248</v>
      </c>
      <c r="J62" s="1412"/>
      <c r="K62" s="1426">
        <f t="shared" si="28"/>
        <v>0</v>
      </c>
      <c r="L62" s="1426">
        <f t="shared" si="24"/>
        <v>0</v>
      </c>
      <c r="M62" s="1433">
        <f>'Table 3 Levels 1&amp;2'!V59</f>
        <v>0.69810000000000005</v>
      </c>
      <c r="N62" s="1433">
        <f>'Table 3 Levels 1&amp;2'!W59</f>
        <v>0.3019</v>
      </c>
      <c r="O62" s="1426">
        <f t="shared" si="20"/>
        <v>0</v>
      </c>
      <c r="P62" s="1426">
        <f t="shared" si="21"/>
        <v>0</v>
      </c>
      <c r="Q62" s="1442">
        <f t="shared" si="25"/>
        <v>0</v>
      </c>
      <c r="R62" s="1450">
        <f t="shared" si="26"/>
        <v>0</v>
      </c>
      <c r="S62" s="1442">
        <f t="shared" si="22"/>
        <v>0</v>
      </c>
    </row>
    <row r="63" spans="1:19">
      <c r="A63" s="1028">
        <v>53</v>
      </c>
      <c r="B63" s="1029" t="s">
        <v>153</v>
      </c>
      <c r="C63" s="1412"/>
      <c r="D63" s="1414">
        <f>'Table 3 Levels 1&amp;2'!AP60</f>
        <v>5473.7452211682521</v>
      </c>
      <c r="E63" s="1408">
        <f t="shared" si="27"/>
        <v>0</v>
      </c>
      <c r="F63" s="1413">
        <f>'Table 3 Levels 1&amp;2'!AT60</f>
        <v>1928.82</v>
      </c>
      <c r="G63" s="1426">
        <f t="shared" si="18"/>
        <v>0</v>
      </c>
      <c r="H63" s="1426">
        <f t="shared" si="19"/>
        <v>0</v>
      </c>
      <c r="I63" s="1413">
        <f t="shared" si="23"/>
        <v>7402.5652211682518</v>
      </c>
      <c r="J63" s="1412"/>
      <c r="K63" s="1426">
        <f t="shared" si="28"/>
        <v>0</v>
      </c>
      <c r="L63" s="1426">
        <f t="shared" si="24"/>
        <v>0</v>
      </c>
      <c r="M63" s="1433">
        <f>'Table 3 Levels 1&amp;2'!V60</f>
        <v>0.78249999999999997</v>
      </c>
      <c r="N63" s="1433">
        <f>'Table 3 Levels 1&amp;2'!W60</f>
        <v>0.2175</v>
      </c>
      <c r="O63" s="1426">
        <f t="shared" si="20"/>
        <v>0</v>
      </c>
      <c r="P63" s="1426">
        <f t="shared" si="21"/>
        <v>0</v>
      </c>
      <c r="Q63" s="1442">
        <f t="shared" si="25"/>
        <v>0</v>
      </c>
      <c r="R63" s="1450">
        <f t="shared" si="26"/>
        <v>0</v>
      </c>
      <c r="S63" s="1442">
        <f t="shared" si="22"/>
        <v>0</v>
      </c>
    </row>
    <row r="64" spans="1:19">
      <c r="A64" s="1028">
        <v>54</v>
      </c>
      <c r="B64" s="1029" t="s">
        <v>154</v>
      </c>
      <c r="C64" s="1412"/>
      <c r="D64" s="1414">
        <f>'Table 3 Levels 1&amp;2'!AP61</f>
        <v>6932.5231664483354</v>
      </c>
      <c r="E64" s="1408">
        <f t="shared" si="27"/>
        <v>0</v>
      </c>
      <c r="F64" s="1413">
        <f>'Table 3 Levels 1&amp;2'!AT61</f>
        <v>3066.55</v>
      </c>
      <c r="G64" s="1426">
        <f t="shared" si="18"/>
        <v>0</v>
      </c>
      <c r="H64" s="1426">
        <f t="shared" si="19"/>
        <v>0</v>
      </c>
      <c r="I64" s="1413">
        <f t="shared" si="23"/>
        <v>9999.0731664483355</v>
      </c>
      <c r="J64" s="1412"/>
      <c r="K64" s="1426">
        <f t="shared" si="28"/>
        <v>0</v>
      </c>
      <c r="L64" s="1426">
        <f t="shared" si="24"/>
        <v>0</v>
      </c>
      <c r="M64" s="1433">
        <f>'Table 3 Levels 1&amp;2'!V61</f>
        <v>0.76039999999999996</v>
      </c>
      <c r="N64" s="1433">
        <f>'Table 3 Levels 1&amp;2'!W61</f>
        <v>0.23960000000000001</v>
      </c>
      <c r="O64" s="1426">
        <f t="shared" si="20"/>
        <v>0</v>
      </c>
      <c r="P64" s="1426">
        <f t="shared" si="21"/>
        <v>0</v>
      </c>
      <c r="Q64" s="1442">
        <f t="shared" si="25"/>
        <v>0</v>
      </c>
      <c r="R64" s="1450">
        <f t="shared" si="26"/>
        <v>0</v>
      </c>
      <c r="S64" s="1442">
        <f t="shared" si="22"/>
        <v>0</v>
      </c>
    </row>
    <row r="65" spans="1:19">
      <c r="A65" s="1032">
        <v>55</v>
      </c>
      <c r="B65" s="1033" t="s">
        <v>155</v>
      </c>
      <c r="C65" s="1415"/>
      <c r="D65" s="1416">
        <f>'Table 3 Levels 1&amp;2'!AP62</f>
        <v>4882.0877908344764</v>
      </c>
      <c r="E65" s="1171">
        <f t="shared" si="27"/>
        <v>0</v>
      </c>
      <c r="F65" s="1418">
        <f>'Table 3 Levels 1&amp;2'!AT62</f>
        <v>3033.7</v>
      </c>
      <c r="G65" s="1427">
        <f t="shared" si="18"/>
        <v>0</v>
      </c>
      <c r="H65" s="1427">
        <f t="shared" si="19"/>
        <v>0</v>
      </c>
      <c r="I65" s="1418">
        <f t="shared" si="23"/>
        <v>7915.7877908344763</v>
      </c>
      <c r="J65" s="1417"/>
      <c r="K65" s="1427">
        <f t="shared" si="28"/>
        <v>0</v>
      </c>
      <c r="L65" s="1427">
        <f t="shared" si="24"/>
        <v>0</v>
      </c>
      <c r="M65" s="1434">
        <f>'Table 3 Levels 1&amp;2'!V62</f>
        <v>0.6542</v>
      </c>
      <c r="N65" s="1434">
        <f>'Table 3 Levels 1&amp;2'!W62</f>
        <v>0.3458</v>
      </c>
      <c r="O65" s="1427">
        <f t="shared" si="20"/>
        <v>0</v>
      </c>
      <c r="P65" s="1427">
        <f t="shared" si="21"/>
        <v>0</v>
      </c>
      <c r="Q65" s="1443">
        <f t="shared" si="25"/>
        <v>0</v>
      </c>
      <c r="R65" s="1451">
        <f t="shared" si="26"/>
        <v>0</v>
      </c>
      <c r="S65" s="1443">
        <f t="shared" si="22"/>
        <v>0</v>
      </c>
    </row>
    <row r="66" spans="1:19">
      <c r="A66" s="1021">
        <v>56</v>
      </c>
      <c r="B66" s="1022" t="s">
        <v>156</v>
      </c>
      <c r="C66" s="1412"/>
      <c r="D66" s="1414">
        <f>'Table 3 Levels 1&amp;2'!AP63</f>
        <v>5666.7332192361464</v>
      </c>
      <c r="E66" s="1408">
        <f t="shared" si="27"/>
        <v>0</v>
      </c>
      <c r="F66" s="1413">
        <f>'Table 3 Levels 1&amp;2'!AT63</f>
        <v>3016.21</v>
      </c>
      <c r="G66" s="1426">
        <f t="shared" si="18"/>
        <v>0</v>
      </c>
      <c r="H66" s="1426">
        <f t="shared" si="19"/>
        <v>0</v>
      </c>
      <c r="I66" s="1413">
        <f t="shared" si="23"/>
        <v>8682.9432192361455</v>
      </c>
      <c r="J66" s="1412"/>
      <c r="K66" s="1426">
        <f t="shared" si="28"/>
        <v>0</v>
      </c>
      <c r="L66" s="1426">
        <f t="shared" si="24"/>
        <v>0</v>
      </c>
      <c r="M66" s="1433">
        <f>'Table 3 Levels 1&amp;2'!V63</f>
        <v>0.71779999999999999</v>
      </c>
      <c r="N66" s="1433">
        <f>'Table 3 Levels 1&amp;2'!W63</f>
        <v>0.28220000000000001</v>
      </c>
      <c r="O66" s="1426">
        <f t="shared" si="20"/>
        <v>0</v>
      </c>
      <c r="P66" s="1426">
        <f t="shared" si="21"/>
        <v>0</v>
      </c>
      <c r="Q66" s="1442">
        <f t="shared" si="25"/>
        <v>0</v>
      </c>
      <c r="R66" s="1450">
        <f t="shared" si="26"/>
        <v>0</v>
      </c>
      <c r="S66" s="1442">
        <f t="shared" si="22"/>
        <v>0</v>
      </c>
    </row>
    <row r="67" spans="1:19">
      <c r="A67" s="1028">
        <v>57</v>
      </c>
      <c r="B67" s="1029" t="s">
        <v>157</v>
      </c>
      <c r="C67" s="1412"/>
      <c r="D67" s="1414">
        <f>'Table 3 Levels 1&amp;2'!AP64</f>
        <v>5153.7210189587295</v>
      </c>
      <c r="E67" s="1408">
        <f t="shared" si="27"/>
        <v>0</v>
      </c>
      <c r="F67" s="1413">
        <f>'Table 3 Levels 1&amp;2'!AT64</f>
        <v>2872.93</v>
      </c>
      <c r="G67" s="1426">
        <f t="shared" si="18"/>
        <v>0</v>
      </c>
      <c r="H67" s="1426">
        <f t="shared" si="19"/>
        <v>0</v>
      </c>
      <c r="I67" s="1413">
        <f t="shared" si="23"/>
        <v>8026.6510189587298</v>
      </c>
      <c r="J67" s="1412"/>
      <c r="K67" s="1426">
        <f t="shared" si="28"/>
        <v>0</v>
      </c>
      <c r="L67" s="1426">
        <f t="shared" si="24"/>
        <v>0</v>
      </c>
      <c r="M67" s="1433">
        <f>'Table 3 Levels 1&amp;2'!V64</f>
        <v>0.69879999999999998</v>
      </c>
      <c r="N67" s="1433">
        <f>'Table 3 Levels 1&amp;2'!W64</f>
        <v>0.30120000000000002</v>
      </c>
      <c r="O67" s="1426">
        <f t="shared" si="20"/>
        <v>0</v>
      </c>
      <c r="P67" s="1426">
        <f t="shared" si="21"/>
        <v>0</v>
      </c>
      <c r="Q67" s="1442">
        <f t="shared" si="25"/>
        <v>0</v>
      </c>
      <c r="R67" s="1450">
        <f t="shared" si="26"/>
        <v>0</v>
      </c>
      <c r="S67" s="1442">
        <f t="shared" si="22"/>
        <v>0</v>
      </c>
    </row>
    <row r="68" spans="1:19">
      <c r="A68" s="1028">
        <v>58</v>
      </c>
      <c r="B68" s="1029" t="s">
        <v>158</v>
      </c>
      <c r="C68" s="1412"/>
      <c r="D68" s="1414">
        <f>'Table 3 Levels 1&amp;2'!AP65</f>
        <v>6022.5243487330172</v>
      </c>
      <c r="E68" s="1408">
        <f t="shared" si="27"/>
        <v>0</v>
      </c>
      <c r="F68" s="1413">
        <f>'Table 3 Levels 1&amp;2'!AT65</f>
        <v>1830.1</v>
      </c>
      <c r="G68" s="1426">
        <f t="shared" si="18"/>
        <v>0</v>
      </c>
      <c r="H68" s="1426">
        <f t="shared" si="19"/>
        <v>0</v>
      </c>
      <c r="I68" s="1413">
        <f t="shared" si="23"/>
        <v>7852.6243487330175</v>
      </c>
      <c r="J68" s="1412"/>
      <c r="K68" s="1426">
        <f t="shared" si="28"/>
        <v>0</v>
      </c>
      <c r="L68" s="1426">
        <f t="shared" si="24"/>
        <v>0</v>
      </c>
      <c r="M68" s="1433">
        <f>'Table 3 Levels 1&amp;2'!V65</f>
        <v>0.85450000000000004</v>
      </c>
      <c r="N68" s="1433">
        <f>'Table 3 Levels 1&amp;2'!W65</f>
        <v>0.14549999999999999</v>
      </c>
      <c r="O68" s="1426">
        <f t="shared" si="20"/>
        <v>0</v>
      </c>
      <c r="P68" s="1426">
        <f t="shared" si="21"/>
        <v>0</v>
      </c>
      <c r="Q68" s="1442">
        <f t="shared" si="25"/>
        <v>0</v>
      </c>
      <c r="R68" s="1450">
        <f t="shared" si="26"/>
        <v>0</v>
      </c>
      <c r="S68" s="1442">
        <f t="shared" si="22"/>
        <v>0</v>
      </c>
    </row>
    <row r="69" spans="1:19">
      <c r="A69" s="1028">
        <v>59</v>
      </c>
      <c r="B69" s="1029" t="s">
        <v>159</v>
      </c>
      <c r="C69" s="1412"/>
      <c r="D69" s="1414">
        <f>'Table 3 Levels 1&amp;2'!AP66</f>
        <v>7017.7902899170676</v>
      </c>
      <c r="E69" s="1408">
        <f t="shared" si="27"/>
        <v>0</v>
      </c>
      <c r="F69" s="1413">
        <f>'Table 3 Levels 1&amp;2'!AT66</f>
        <v>1688.92</v>
      </c>
      <c r="G69" s="1426">
        <f t="shared" si="18"/>
        <v>0</v>
      </c>
      <c r="H69" s="1426">
        <f t="shared" si="19"/>
        <v>0</v>
      </c>
      <c r="I69" s="1413">
        <f t="shared" si="23"/>
        <v>8706.7102899170677</v>
      </c>
      <c r="J69" s="1412"/>
      <c r="K69" s="1426">
        <f t="shared" si="28"/>
        <v>0</v>
      </c>
      <c r="L69" s="1426">
        <f t="shared" si="24"/>
        <v>0</v>
      </c>
      <c r="M69" s="1433">
        <f>'Table 3 Levels 1&amp;2'!V66</f>
        <v>0.89410000000000001</v>
      </c>
      <c r="N69" s="1433">
        <f>'Table 3 Levels 1&amp;2'!W66</f>
        <v>0.10589999999999999</v>
      </c>
      <c r="O69" s="1426">
        <f t="shared" si="20"/>
        <v>0</v>
      </c>
      <c r="P69" s="1426">
        <f t="shared" si="21"/>
        <v>0</v>
      </c>
      <c r="Q69" s="1442">
        <f t="shared" si="25"/>
        <v>0</v>
      </c>
      <c r="R69" s="1450">
        <f t="shared" si="26"/>
        <v>0</v>
      </c>
      <c r="S69" s="1442">
        <f t="shared" si="22"/>
        <v>0</v>
      </c>
    </row>
    <row r="70" spans="1:19">
      <c r="A70" s="1032">
        <v>60</v>
      </c>
      <c r="B70" s="1033" t="s">
        <v>160</v>
      </c>
      <c r="C70" s="1415"/>
      <c r="D70" s="1416">
        <f>'Table 3 Levels 1&amp;2'!AP67</f>
        <v>5418.9095223212844</v>
      </c>
      <c r="E70" s="1171">
        <f t="shared" si="27"/>
        <v>0</v>
      </c>
      <c r="F70" s="1418">
        <f>'Table 3 Levels 1&amp;2'!AT67</f>
        <v>3362.7</v>
      </c>
      <c r="G70" s="1427">
        <f t="shared" si="18"/>
        <v>0</v>
      </c>
      <c r="H70" s="1427">
        <f t="shared" si="19"/>
        <v>0</v>
      </c>
      <c r="I70" s="1418">
        <f t="shared" si="23"/>
        <v>8781.6095223212833</v>
      </c>
      <c r="J70" s="1417"/>
      <c r="K70" s="1427">
        <f t="shared" si="28"/>
        <v>0</v>
      </c>
      <c r="L70" s="1427">
        <f t="shared" si="24"/>
        <v>0</v>
      </c>
      <c r="M70" s="1434">
        <f>'Table 3 Levels 1&amp;2'!V67</f>
        <v>0.70940000000000003</v>
      </c>
      <c r="N70" s="1434">
        <f>'Table 3 Levels 1&amp;2'!W67</f>
        <v>0.29060000000000002</v>
      </c>
      <c r="O70" s="1427">
        <f t="shared" si="20"/>
        <v>0</v>
      </c>
      <c r="P70" s="1427">
        <f t="shared" si="21"/>
        <v>0</v>
      </c>
      <c r="Q70" s="1443">
        <f t="shared" si="25"/>
        <v>0</v>
      </c>
      <c r="R70" s="1451">
        <f t="shared" si="26"/>
        <v>0</v>
      </c>
      <c r="S70" s="1443">
        <f t="shared" si="22"/>
        <v>0</v>
      </c>
    </row>
    <row r="71" spans="1:19">
      <c r="A71" s="1021">
        <v>61</v>
      </c>
      <c r="B71" s="1022" t="s">
        <v>161</v>
      </c>
      <c r="C71" s="1412"/>
      <c r="D71" s="1414">
        <f>'Table 3 Levels 1&amp;2'!AP68</f>
        <v>3896.6449620294334</v>
      </c>
      <c r="E71" s="1408">
        <f t="shared" si="27"/>
        <v>0</v>
      </c>
      <c r="F71" s="1413">
        <f>'Table 3 Levels 1&amp;2'!AT68</f>
        <v>4796.05</v>
      </c>
      <c r="G71" s="1426">
        <f t="shared" si="18"/>
        <v>0</v>
      </c>
      <c r="H71" s="1426">
        <f t="shared" si="19"/>
        <v>0</v>
      </c>
      <c r="I71" s="1413">
        <f t="shared" si="23"/>
        <v>8692.6949620294326</v>
      </c>
      <c r="J71" s="1412"/>
      <c r="K71" s="1426">
        <f t="shared" si="28"/>
        <v>0</v>
      </c>
      <c r="L71" s="1426">
        <f t="shared" si="24"/>
        <v>0</v>
      </c>
      <c r="M71" s="1433">
        <f>'Table 3 Levels 1&amp;2'!V68</f>
        <v>0.48409999999999997</v>
      </c>
      <c r="N71" s="1433">
        <f>'Table 3 Levels 1&amp;2'!W68</f>
        <v>0.51590000000000003</v>
      </c>
      <c r="O71" s="1426">
        <f t="shared" si="20"/>
        <v>0</v>
      </c>
      <c r="P71" s="1426">
        <f t="shared" si="21"/>
        <v>0</v>
      </c>
      <c r="Q71" s="1442">
        <f t="shared" si="25"/>
        <v>0</v>
      </c>
      <c r="R71" s="1450">
        <f t="shared" si="26"/>
        <v>0</v>
      </c>
      <c r="S71" s="1442">
        <f t="shared" si="22"/>
        <v>0</v>
      </c>
    </row>
    <row r="72" spans="1:19">
      <c r="A72" s="1028">
        <v>62</v>
      </c>
      <c r="B72" s="1029" t="s">
        <v>162</v>
      </c>
      <c r="C72" s="1412"/>
      <c r="D72" s="1414">
        <f>'Table 3 Levels 1&amp;2'!AP69</f>
        <v>6080.8119490053386</v>
      </c>
      <c r="E72" s="1408">
        <f t="shared" si="27"/>
        <v>0</v>
      </c>
      <c r="F72" s="1413">
        <f>'Table 3 Levels 1&amp;2'!AT69</f>
        <v>1694.28</v>
      </c>
      <c r="G72" s="1426">
        <f t="shared" si="18"/>
        <v>0</v>
      </c>
      <c r="H72" s="1426">
        <f t="shared" si="19"/>
        <v>0</v>
      </c>
      <c r="I72" s="1413">
        <f t="shared" si="23"/>
        <v>7775.0919490053384</v>
      </c>
      <c r="J72" s="1412"/>
      <c r="K72" s="1426">
        <f t="shared" si="28"/>
        <v>0</v>
      </c>
      <c r="L72" s="1426">
        <f t="shared" si="24"/>
        <v>0</v>
      </c>
      <c r="M72" s="1433">
        <f>'Table 3 Levels 1&amp;2'!V69</f>
        <v>0.84219999999999995</v>
      </c>
      <c r="N72" s="1433">
        <f>'Table 3 Levels 1&amp;2'!W69</f>
        <v>0.1578</v>
      </c>
      <c r="O72" s="1426">
        <f t="shared" si="20"/>
        <v>0</v>
      </c>
      <c r="P72" s="1426">
        <f t="shared" si="21"/>
        <v>0</v>
      </c>
      <c r="Q72" s="1442">
        <f t="shared" si="25"/>
        <v>0</v>
      </c>
      <c r="R72" s="1450">
        <f t="shared" si="26"/>
        <v>0</v>
      </c>
      <c r="S72" s="1442">
        <f t="shared" si="22"/>
        <v>0</v>
      </c>
    </row>
    <row r="73" spans="1:19">
      <c r="A73" s="1028">
        <v>63</v>
      </c>
      <c r="B73" s="1029" t="s">
        <v>163</v>
      </c>
      <c r="C73" s="1412"/>
      <c r="D73" s="1414">
        <f>'Table 3 Levels 1&amp;2'!AP70</f>
        <v>5170.7445110703338</v>
      </c>
      <c r="E73" s="1408">
        <f t="shared" si="27"/>
        <v>0</v>
      </c>
      <c r="F73" s="1413">
        <f>'Table 3 Levels 1&amp;2'!AT70</f>
        <v>4998.83</v>
      </c>
      <c r="G73" s="1426">
        <f t="shared" si="18"/>
        <v>0</v>
      </c>
      <c r="H73" s="1426">
        <f t="shared" si="19"/>
        <v>0</v>
      </c>
      <c r="I73" s="1413">
        <f t="shared" si="23"/>
        <v>10169.574511070334</v>
      </c>
      <c r="J73" s="1412"/>
      <c r="K73" s="1426">
        <f t="shared" si="28"/>
        <v>0</v>
      </c>
      <c r="L73" s="1426">
        <f t="shared" si="24"/>
        <v>0</v>
      </c>
      <c r="M73" s="1433">
        <f>'Table 3 Levels 1&amp;2'!V70</f>
        <v>0.47639999999999999</v>
      </c>
      <c r="N73" s="1433">
        <f>'Table 3 Levels 1&amp;2'!W70</f>
        <v>0.52359999999999995</v>
      </c>
      <c r="O73" s="1426">
        <f t="shared" si="20"/>
        <v>0</v>
      </c>
      <c r="P73" s="1426">
        <f t="shared" si="21"/>
        <v>0</v>
      </c>
      <c r="Q73" s="1442">
        <f t="shared" si="25"/>
        <v>0</v>
      </c>
      <c r="R73" s="1450">
        <f t="shared" si="26"/>
        <v>0</v>
      </c>
      <c r="S73" s="1442">
        <f t="shared" si="22"/>
        <v>0</v>
      </c>
    </row>
    <row r="74" spans="1:19">
      <c r="A74" s="1028">
        <v>64</v>
      </c>
      <c r="B74" s="1029" t="s">
        <v>164</v>
      </c>
      <c r="C74" s="1412"/>
      <c r="D74" s="1414">
        <f>'Table 3 Levels 1&amp;2'!AP71</f>
        <v>6463.6351716135423</v>
      </c>
      <c r="E74" s="1408">
        <f t="shared" si="27"/>
        <v>0</v>
      </c>
      <c r="F74" s="1413">
        <f>'Table 3 Levels 1&amp;2'!AT71</f>
        <v>2752.56</v>
      </c>
      <c r="G74" s="1426">
        <f t="shared" si="18"/>
        <v>0</v>
      </c>
      <c r="H74" s="1426">
        <f t="shared" si="19"/>
        <v>0</v>
      </c>
      <c r="I74" s="1413">
        <f t="shared" si="23"/>
        <v>9216.1951716135427</v>
      </c>
      <c r="J74" s="1412"/>
      <c r="K74" s="1426">
        <f t="shared" si="28"/>
        <v>0</v>
      </c>
      <c r="L74" s="1426">
        <f t="shared" si="24"/>
        <v>0</v>
      </c>
      <c r="M74" s="1433">
        <f>'Table 3 Levels 1&amp;2'!V71</f>
        <v>0.7964</v>
      </c>
      <c r="N74" s="1433">
        <f>'Table 3 Levels 1&amp;2'!W71</f>
        <v>0.2036</v>
      </c>
      <c r="O74" s="1426">
        <f t="shared" si="20"/>
        <v>0</v>
      </c>
      <c r="P74" s="1426">
        <f t="shared" si="21"/>
        <v>0</v>
      </c>
      <c r="Q74" s="1442">
        <f t="shared" si="25"/>
        <v>0</v>
      </c>
      <c r="R74" s="1450">
        <f t="shared" si="26"/>
        <v>0</v>
      </c>
      <c r="S74" s="1442">
        <f t="shared" si="22"/>
        <v>0</v>
      </c>
    </row>
    <row r="75" spans="1:19">
      <c r="A75" s="1032">
        <v>65</v>
      </c>
      <c r="B75" s="1033" t="s">
        <v>165</v>
      </c>
      <c r="C75" s="1415"/>
      <c r="D75" s="1416">
        <f>'Table 3 Levels 1&amp;2'!AP72</f>
        <v>5428.9052278462686</v>
      </c>
      <c r="E75" s="1171">
        <f t="shared" si="27"/>
        <v>0</v>
      </c>
      <c r="F75" s="1418">
        <f>'Table 3 Levels 1&amp;2'!AT72</f>
        <v>3868.15</v>
      </c>
      <c r="G75" s="1427">
        <f t="shared" si="18"/>
        <v>0</v>
      </c>
      <c r="H75" s="1427">
        <f t="shared" si="19"/>
        <v>0</v>
      </c>
      <c r="I75" s="1418">
        <f t="shared" ref="I75:I80" si="29">D75+F75</f>
        <v>9297.0552278462692</v>
      </c>
      <c r="J75" s="1417"/>
      <c r="K75" s="1427">
        <f t="shared" si="28"/>
        <v>0</v>
      </c>
      <c r="L75" s="1427">
        <f t="shared" ref="L75:L79" si="30">K75*C75</f>
        <v>0</v>
      </c>
      <c r="M75" s="1434">
        <f>'Table 3 Levels 1&amp;2'!V72</f>
        <v>0.6542</v>
      </c>
      <c r="N75" s="1434">
        <f>'Table 3 Levels 1&amp;2'!W72</f>
        <v>0.3458</v>
      </c>
      <c r="O75" s="1427">
        <f t="shared" si="20"/>
        <v>0</v>
      </c>
      <c r="P75" s="1427">
        <f t="shared" si="21"/>
        <v>0</v>
      </c>
      <c r="Q75" s="1443">
        <f t="shared" si="25"/>
        <v>0</v>
      </c>
      <c r="R75" s="1451">
        <f t="shared" si="26"/>
        <v>0</v>
      </c>
      <c r="S75" s="1443">
        <f t="shared" si="22"/>
        <v>0</v>
      </c>
    </row>
    <row r="76" spans="1:19">
      <c r="A76" s="1021">
        <v>66</v>
      </c>
      <c r="B76" s="1022" t="s">
        <v>166</v>
      </c>
      <c r="C76" s="1412"/>
      <c r="D76" s="1414">
        <f>'Table 3 Levels 1&amp;2'!AP73</f>
        <v>6973.7739398251579</v>
      </c>
      <c r="E76" s="1408">
        <f t="shared" si="27"/>
        <v>0</v>
      </c>
      <c r="F76" s="1413">
        <f>'Table 3 Levels 1&amp;2'!AT73</f>
        <v>3518.68</v>
      </c>
      <c r="G76" s="1426">
        <f t="shared" ref="G76:G79" si="31">F76*C76</f>
        <v>0</v>
      </c>
      <c r="H76" s="1426">
        <f t="shared" ref="H76:H79" si="32">E76+G76</f>
        <v>0</v>
      </c>
      <c r="I76" s="1413">
        <f t="shared" si="29"/>
        <v>10492.453939825158</v>
      </c>
      <c r="J76" s="1412"/>
      <c r="K76" s="1426">
        <f t="shared" si="28"/>
        <v>0</v>
      </c>
      <c r="L76" s="1426">
        <f t="shared" si="30"/>
        <v>0</v>
      </c>
      <c r="M76" s="1433">
        <f>'Table 3 Levels 1&amp;2'!V73</f>
        <v>0.74729999999999996</v>
      </c>
      <c r="N76" s="1433">
        <f>'Table 3 Levels 1&amp;2'!W73</f>
        <v>0.25269999999999998</v>
      </c>
      <c r="O76" s="1426">
        <f t="shared" ref="O76:O79" si="33">M76*L76</f>
        <v>0</v>
      </c>
      <c r="P76" s="1426">
        <f t="shared" ref="P76:P79" si="34">N76*L76</f>
        <v>0</v>
      </c>
      <c r="Q76" s="1442">
        <f t="shared" si="25"/>
        <v>0</v>
      </c>
      <c r="R76" s="1450">
        <f t="shared" si="26"/>
        <v>0</v>
      </c>
      <c r="S76" s="1442">
        <f t="shared" ref="S76:S79" si="35">SUM(Q76:R76)</f>
        <v>0</v>
      </c>
    </row>
    <row r="77" spans="1:19">
      <c r="A77" s="1028">
        <v>67</v>
      </c>
      <c r="B77" s="1029" t="s">
        <v>33</v>
      </c>
      <c r="C77" s="1412"/>
      <c r="D77" s="1414">
        <f>'Table 3 Levels 1&amp;2'!AP74</f>
        <v>5765.174319011162</v>
      </c>
      <c r="E77" s="1408">
        <f t="shared" si="27"/>
        <v>0</v>
      </c>
      <c r="F77" s="1413">
        <f>'Table 3 Levels 1&amp;2'!AT74</f>
        <v>3078.38</v>
      </c>
      <c r="G77" s="1426">
        <f t="shared" si="31"/>
        <v>0</v>
      </c>
      <c r="H77" s="1426">
        <f t="shared" si="32"/>
        <v>0</v>
      </c>
      <c r="I77" s="1413">
        <f t="shared" si="29"/>
        <v>8843.5543190111621</v>
      </c>
      <c r="J77" s="1412"/>
      <c r="K77" s="1426">
        <f t="shared" si="28"/>
        <v>0</v>
      </c>
      <c r="L77" s="1426">
        <f t="shared" si="30"/>
        <v>0</v>
      </c>
      <c r="M77" s="1433">
        <f>'Table 3 Levels 1&amp;2'!V74</f>
        <v>0.74939999999999996</v>
      </c>
      <c r="N77" s="1433">
        <f>'Table 3 Levels 1&amp;2'!W74</f>
        <v>0.25059999999999999</v>
      </c>
      <c r="O77" s="1426">
        <f t="shared" si="33"/>
        <v>0</v>
      </c>
      <c r="P77" s="1426">
        <f t="shared" si="34"/>
        <v>0</v>
      </c>
      <c r="Q77" s="1442">
        <f t="shared" si="25"/>
        <v>0</v>
      </c>
      <c r="R77" s="1450">
        <f t="shared" si="26"/>
        <v>0</v>
      </c>
      <c r="S77" s="1442">
        <f t="shared" si="35"/>
        <v>0</v>
      </c>
    </row>
    <row r="78" spans="1:19">
      <c r="A78" s="1028">
        <v>68</v>
      </c>
      <c r="B78" s="1029" t="s">
        <v>31</v>
      </c>
      <c r="C78" s="1412"/>
      <c r="D78" s="1414">
        <f>'Table 3 Levels 1&amp;2'!AP75</f>
        <v>6660.2247137404065</v>
      </c>
      <c r="E78" s="1408">
        <f t="shared" si="27"/>
        <v>0</v>
      </c>
      <c r="F78" s="1413">
        <f>'Table 3 Levels 1&amp;2'!AT75</f>
        <v>2871.04</v>
      </c>
      <c r="G78" s="1426">
        <f t="shared" si="31"/>
        <v>0</v>
      </c>
      <c r="H78" s="1426">
        <f t="shared" si="32"/>
        <v>0</v>
      </c>
      <c r="I78" s="1413">
        <f t="shared" si="29"/>
        <v>9531.2647137404056</v>
      </c>
      <c r="J78" s="1412"/>
      <c r="K78" s="1426">
        <f t="shared" si="28"/>
        <v>0</v>
      </c>
      <c r="L78" s="1426">
        <f t="shared" si="30"/>
        <v>0</v>
      </c>
      <c r="M78" s="1433">
        <f>'Table 3 Levels 1&amp;2'!V75</f>
        <v>0.79110000000000003</v>
      </c>
      <c r="N78" s="1433">
        <f>'Table 3 Levels 1&amp;2'!W75</f>
        <v>0.2089</v>
      </c>
      <c r="O78" s="1426">
        <f t="shared" si="33"/>
        <v>0</v>
      </c>
      <c r="P78" s="1426">
        <f t="shared" si="34"/>
        <v>0</v>
      </c>
      <c r="Q78" s="1442">
        <f t="shared" si="25"/>
        <v>0</v>
      </c>
      <c r="R78" s="1450">
        <f t="shared" si="26"/>
        <v>0</v>
      </c>
      <c r="S78" s="1442">
        <f t="shared" si="35"/>
        <v>0</v>
      </c>
    </row>
    <row r="79" spans="1:19">
      <c r="A79" s="1042">
        <v>69</v>
      </c>
      <c r="B79" s="1043" t="s">
        <v>235</v>
      </c>
      <c r="C79" s="1412"/>
      <c r="D79" s="1414">
        <f>'Table 3 Levels 1&amp;2'!AP76</f>
        <v>6213.8128639488714</v>
      </c>
      <c r="E79" s="1408">
        <f t="shared" si="27"/>
        <v>0</v>
      </c>
      <c r="F79" s="1413">
        <f>'Table 3 Levels 1&amp;2'!AT76</f>
        <v>2827.2</v>
      </c>
      <c r="G79" s="1426">
        <f t="shared" si="31"/>
        <v>0</v>
      </c>
      <c r="H79" s="1426">
        <f t="shared" si="32"/>
        <v>0</v>
      </c>
      <c r="I79" s="1413">
        <f t="shared" si="29"/>
        <v>9041.0128639488721</v>
      </c>
      <c r="J79" s="1412"/>
      <c r="K79" s="1426">
        <f t="shared" si="28"/>
        <v>0</v>
      </c>
      <c r="L79" s="1426">
        <f t="shared" si="30"/>
        <v>0</v>
      </c>
      <c r="M79" s="1433">
        <f>'Table 3 Levels 1&amp;2'!V76</f>
        <v>0.80089999999999995</v>
      </c>
      <c r="N79" s="1433">
        <f>'Table 3 Levels 1&amp;2'!W76</f>
        <v>0.1991</v>
      </c>
      <c r="O79" s="1426">
        <f t="shared" si="33"/>
        <v>0</v>
      </c>
      <c r="P79" s="1426">
        <f t="shared" si="34"/>
        <v>0</v>
      </c>
      <c r="Q79" s="1442">
        <f t="shared" si="25"/>
        <v>0</v>
      </c>
      <c r="R79" s="1450">
        <f t="shared" si="26"/>
        <v>0</v>
      </c>
      <c r="S79" s="1442">
        <f t="shared" si="35"/>
        <v>0</v>
      </c>
    </row>
    <row r="80" spans="1:19" ht="18.75" customHeight="1" thickBot="1">
      <c r="A80" s="1046"/>
      <c r="B80" s="1047" t="s">
        <v>167</v>
      </c>
      <c r="C80" s="1421"/>
      <c r="D80" s="423">
        <f>'Table 3 Levels 1&amp;2'!AP77</f>
        <v>5030.6952566221626</v>
      </c>
      <c r="E80" s="1422">
        <f>SUM(E11:E79)</f>
        <v>9523451.3774517681</v>
      </c>
      <c r="F80" s="1423">
        <f>'Table 3 Levels 1&amp;2'!AT77</f>
        <v>3506.46</v>
      </c>
      <c r="G80" s="423">
        <f>SUM(G11:G79)</f>
        <v>9650227.5</v>
      </c>
      <c r="H80" s="423">
        <f>SUM(H11:H79)</f>
        <v>19173678.87745177</v>
      </c>
      <c r="I80" s="1423">
        <f t="shared" si="29"/>
        <v>8537.1552566221617</v>
      </c>
      <c r="J80" s="1424"/>
      <c r="K80" s="1424"/>
      <c r="L80" s="423">
        <f>SUM(L11:L79)</f>
        <v>10946250</v>
      </c>
      <c r="M80" s="1435">
        <f>'Table 3 Levels 1&amp;2'!V77</f>
        <v>0.65</v>
      </c>
      <c r="N80" s="1435">
        <f>'Table 3 Levels 1&amp;2'!W77</f>
        <v>0.35</v>
      </c>
      <c r="O80" s="423">
        <f>SUM(O11:O79)</f>
        <v>5971179.375</v>
      </c>
      <c r="P80" s="423">
        <f>SUM(P11:P79)</f>
        <v>4975070.625</v>
      </c>
      <c r="Q80" s="1445">
        <f t="shared" ref="Q80:S80" si="36">SUM(Q11:Q79)</f>
        <v>3552272.0024517681</v>
      </c>
      <c r="R80" s="1444">
        <f t="shared" si="36"/>
        <v>4675156.875</v>
      </c>
      <c r="S80" s="1445">
        <f t="shared" si="36"/>
        <v>8227428.8774517681</v>
      </c>
    </row>
    <row r="81" spans="2:3" ht="8.25" customHeight="1" thickTop="1"/>
    <row r="82" spans="2:3" hidden="1">
      <c r="C82" t="s">
        <v>1242</v>
      </c>
    </row>
    <row r="83" spans="2:3" hidden="1"/>
    <row r="84" spans="2:3" hidden="1">
      <c r="B84" s="833" t="s">
        <v>841</v>
      </c>
      <c r="C84" s="49">
        <f>'Table 5B1_RSD_Orleans'!F78</f>
        <v>746.0335616438357</v>
      </c>
    </row>
    <row r="85" spans="2:3" hidden="1">
      <c r="B85" s="833" t="s">
        <v>842</v>
      </c>
      <c r="C85" s="1184">
        <f>C46</f>
        <v>2250</v>
      </c>
    </row>
    <row r="86" spans="2:3" hidden="1">
      <c r="C86" s="1185">
        <f>C84*C85</f>
        <v>1678575.5136986303</v>
      </c>
    </row>
    <row r="87" spans="2:3" hidden="1"/>
  </sheetData>
  <mergeCells count="24">
    <mergeCell ref="Q7:S7"/>
    <mergeCell ref="M8:M9"/>
    <mergeCell ref="N8:N9"/>
    <mergeCell ref="O8:O9"/>
    <mergeCell ref="I7:L7"/>
    <mergeCell ref="M7:P7"/>
    <mergeCell ref="K8:K9"/>
    <mergeCell ref="L8:L9"/>
    <mergeCell ref="P8:P9"/>
    <mergeCell ref="Q8:Q9"/>
    <mergeCell ref="R8:R9"/>
    <mergeCell ref="S8:S9"/>
    <mergeCell ref="J8:J9"/>
    <mergeCell ref="I8:I9"/>
    <mergeCell ref="A8:A9"/>
    <mergeCell ref="B3:N3"/>
    <mergeCell ref="B8:B9"/>
    <mergeCell ref="C8:C9"/>
    <mergeCell ref="D8:D9"/>
    <mergeCell ref="E8:E9"/>
    <mergeCell ref="F8:F9"/>
    <mergeCell ref="G8:G9"/>
    <mergeCell ref="H8:H9"/>
    <mergeCell ref="D7:H7"/>
  </mergeCells>
  <pageMargins left="0.37" right="0.41" top="0.9" bottom="0.53" header="0.3" footer="0.3"/>
  <pageSetup paperSize="5" scale="80" firstPageNumber="92" orientation="portrait" useFirstPageNumber="1" r:id="rId1"/>
  <headerFooter>
    <oddHeader>&amp;L&amp;"Arial,Bold"&amp;18Table 5F: FY2012-13 MFP Budget Letter 
Student Scholarships for Educational Excellence Program</oddHeader>
    <oddFooter>&amp;R&amp;P</oddFooter>
  </headerFooter>
  <colBreaks count="3" manualBreakCount="3">
    <brk id="8" min="4" max="79" man="1"/>
    <brk id="16" min="4" max="79" man="1"/>
    <brk id="19" min="4" max="13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dimension ref="A1:M84"/>
  <sheetViews>
    <sheetView view="pageBreakPreview" zoomScale="80" zoomScaleNormal="85" zoomScaleSheetLayoutView="80" workbookViewId="0">
      <pane xSplit="2" ySplit="7" topLeftCell="C8" activePane="bottomRight" state="frozen"/>
      <selection activeCell="A8" sqref="A8:A9"/>
      <selection pane="topRight" activeCell="A8" sqref="A8:A9"/>
      <selection pane="bottomLeft" activeCell="A8" sqref="A8:A9"/>
      <selection pane="bottomRight" activeCell="A4" sqref="A4:A6"/>
    </sheetView>
  </sheetViews>
  <sheetFormatPr defaultRowHeight="12.75"/>
  <cols>
    <col min="1" max="1" width="4.7109375" customWidth="1"/>
    <col min="2" max="2" width="18.5703125" customWidth="1"/>
    <col min="3" max="3" width="18.42578125" customWidth="1"/>
    <col min="4" max="4" width="17.7109375" customWidth="1"/>
    <col min="5" max="5" width="19.42578125" customWidth="1"/>
    <col min="6" max="6" width="17" customWidth="1"/>
    <col min="7" max="7" width="18.7109375" customWidth="1"/>
    <col min="8" max="8" width="15.42578125" customWidth="1"/>
    <col min="9" max="9" width="14.42578125" customWidth="1"/>
    <col min="10" max="10" width="16" customWidth="1"/>
    <col min="11" max="11" width="13.7109375" customWidth="1"/>
    <col min="13" max="13" width="12.7109375" customWidth="1"/>
  </cols>
  <sheetData>
    <row r="1" spans="1:10" ht="46.5" customHeight="1">
      <c r="B1" s="234" t="s">
        <v>253</v>
      </c>
      <c r="C1" s="235"/>
      <c r="D1" s="235"/>
      <c r="E1" s="236"/>
      <c r="F1" s="236"/>
      <c r="G1" s="236"/>
      <c r="H1" s="236"/>
      <c r="I1" s="236"/>
      <c r="J1" s="236"/>
    </row>
    <row r="2" spans="1:10" ht="15" customHeight="1">
      <c r="A2" s="48"/>
      <c r="B2" s="48"/>
      <c r="C2" s="2"/>
      <c r="D2" s="2"/>
      <c r="E2" s="992">
        <f>'Table 7 Local Revenue'!AD77</f>
        <v>40.24</v>
      </c>
      <c r="F2" s="2"/>
      <c r="G2" s="2"/>
      <c r="H2" s="993">
        <f>'Table 7 Local Revenue'!AF77</f>
        <v>1.9800000000000002E-2</v>
      </c>
      <c r="I2" s="2"/>
      <c r="J2" s="2"/>
    </row>
    <row r="3" spans="1:10" ht="40.5" hidden="1" customHeight="1">
      <c r="A3" s="48"/>
      <c r="C3" s="115"/>
      <c r="D3" s="115"/>
      <c r="E3" s="115" t="s">
        <v>63</v>
      </c>
      <c r="F3" s="115"/>
      <c r="G3" s="115"/>
      <c r="H3" s="115" t="s">
        <v>64</v>
      </c>
      <c r="I3" s="115"/>
      <c r="J3" s="115"/>
    </row>
    <row r="4" spans="1:10" ht="45" customHeight="1">
      <c r="A4" s="1670" t="s">
        <v>203</v>
      </c>
      <c r="B4" s="1670" t="s">
        <v>3</v>
      </c>
      <c r="C4" s="1921" t="s">
        <v>280</v>
      </c>
      <c r="D4" s="1922"/>
      <c r="E4" s="1923"/>
      <c r="F4" s="1921" t="s">
        <v>233</v>
      </c>
      <c r="G4" s="1922"/>
      <c r="H4" s="1922"/>
      <c r="I4" s="1922"/>
      <c r="J4" s="1923"/>
    </row>
    <row r="5" spans="1:10" ht="51.75" customHeight="1">
      <c r="A5" s="1919"/>
      <c r="B5" s="1919"/>
      <c r="C5" s="1867" t="s">
        <v>752</v>
      </c>
      <c r="D5" s="1867" t="s">
        <v>749</v>
      </c>
      <c r="E5" s="67" t="s">
        <v>243</v>
      </c>
      <c r="F5" s="1867" t="s">
        <v>750</v>
      </c>
      <c r="G5" s="1867" t="s">
        <v>751</v>
      </c>
      <c r="H5" s="67" t="s">
        <v>242</v>
      </c>
      <c r="I5" s="1867" t="s">
        <v>281</v>
      </c>
      <c r="J5" s="1867" t="s">
        <v>304</v>
      </c>
    </row>
    <row r="6" spans="1:10" ht="15.75" customHeight="1">
      <c r="A6" s="1920"/>
      <c r="B6" s="1920"/>
      <c r="C6" s="1867"/>
      <c r="D6" s="1867"/>
      <c r="E6" s="387">
        <f>'Table 7 Local Revenue'!AD77*43.06%</f>
        <v>17.327344000000004</v>
      </c>
      <c r="F6" s="1867"/>
      <c r="G6" s="1867"/>
      <c r="H6" s="388">
        <f>'Table 7 Local Revenue'!AF77*43.06%</f>
        <v>8.5258800000000013E-3</v>
      </c>
      <c r="I6" s="1867"/>
      <c r="J6" s="1867"/>
    </row>
    <row r="7" spans="1:10">
      <c r="A7" s="63"/>
      <c r="B7" s="63"/>
      <c r="C7" s="218">
        <v>1</v>
      </c>
      <c r="D7" s="219">
        <f t="shared" ref="D7:J7" si="0">1+C7</f>
        <v>2</v>
      </c>
      <c r="E7" s="219">
        <f t="shared" si="0"/>
        <v>3</v>
      </c>
      <c r="F7" s="219">
        <f t="shared" si="0"/>
        <v>4</v>
      </c>
      <c r="G7" s="219">
        <f t="shared" si="0"/>
        <v>5</v>
      </c>
      <c r="H7" s="219">
        <f t="shared" si="0"/>
        <v>6</v>
      </c>
      <c r="I7" s="273">
        <f t="shared" si="0"/>
        <v>7</v>
      </c>
      <c r="J7" s="219">
        <f t="shared" si="0"/>
        <v>8</v>
      </c>
    </row>
    <row r="8" spans="1:10" ht="1.5" customHeight="1">
      <c r="A8" s="9"/>
      <c r="B8" s="10"/>
      <c r="C8" s="124"/>
      <c r="D8" s="11"/>
      <c r="E8" s="361"/>
      <c r="F8" s="362"/>
      <c r="G8" s="11"/>
      <c r="I8" s="361"/>
      <c r="J8" s="117"/>
    </row>
    <row r="9" spans="1:10">
      <c r="A9" s="12">
        <v>1</v>
      </c>
      <c r="B9" s="13" t="s">
        <v>102</v>
      </c>
      <c r="C9" s="14">
        <f>'Table 7 Local Revenue'!AE8</f>
        <v>8582384</v>
      </c>
      <c r="D9" s="14">
        <f>'Table 7 Local Revenue'!H8</f>
        <v>285142017</v>
      </c>
      <c r="E9" s="14">
        <f t="shared" ref="E9:E40" si="1">ROUND(D9*$E$6/1000,0)</f>
        <v>4940754</v>
      </c>
      <c r="F9" s="288">
        <f>'Table 7 Local Revenue'!AI8</f>
        <v>10086499</v>
      </c>
      <c r="G9" s="14">
        <f>'Table 7 Local Revenue'!AM8</f>
        <v>672433267</v>
      </c>
      <c r="H9" s="14">
        <f t="shared" ref="H9:H40" si="2">ROUND(G9*$H$6,0)</f>
        <v>5733085</v>
      </c>
      <c r="I9" s="241">
        <f>'Table 7 Local Revenue'!AP8</f>
        <v>453923.5</v>
      </c>
      <c r="J9" s="14">
        <f t="shared" ref="J9:J40" si="3">E9+H9+I9</f>
        <v>11127762.5</v>
      </c>
    </row>
    <row r="10" spans="1:10">
      <c r="A10" s="12">
        <v>2</v>
      </c>
      <c r="B10" s="13" t="s">
        <v>103</v>
      </c>
      <c r="C10" s="14">
        <f>'Table 7 Local Revenue'!AE9</f>
        <v>3709629</v>
      </c>
      <c r="D10" s="14">
        <f>'Table 7 Local Revenue'!H9</f>
        <v>74892050</v>
      </c>
      <c r="E10" s="14">
        <f t="shared" si="1"/>
        <v>1297680</v>
      </c>
      <c r="F10" s="288">
        <f>'Table 7 Local Revenue'!AI9</f>
        <v>6727419</v>
      </c>
      <c r="G10" s="14">
        <f>'Table 7 Local Revenue'!AM9</f>
        <v>224247300</v>
      </c>
      <c r="H10" s="14">
        <f t="shared" si="2"/>
        <v>1911906</v>
      </c>
      <c r="I10" s="241">
        <f>'Table 7 Local Revenue'!AP9</f>
        <v>100302</v>
      </c>
      <c r="J10" s="14">
        <f t="shared" si="3"/>
        <v>3309888</v>
      </c>
    </row>
    <row r="11" spans="1:10">
      <c r="A11" s="12">
        <v>3</v>
      </c>
      <c r="B11" s="13" t="s">
        <v>104</v>
      </c>
      <c r="C11" s="14">
        <f>'Table 7 Local Revenue'!AE10</f>
        <v>50039077</v>
      </c>
      <c r="D11" s="14">
        <f>'Table 7 Local Revenue'!H10</f>
        <v>813576870</v>
      </c>
      <c r="E11" s="14">
        <f t="shared" si="1"/>
        <v>14097126</v>
      </c>
      <c r="F11" s="288">
        <f>'Table 7 Local Revenue'!AI10</f>
        <v>43829258</v>
      </c>
      <c r="G11" s="14">
        <f>'Table 7 Local Revenue'!AM10</f>
        <v>2191462900</v>
      </c>
      <c r="H11" s="14">
        <f t="shared" si="2"/>
        <v>18684150</v>
      </c>
      <c r="I11" s="241">
        <f>'Table 7 Local Revenue'!AP10</f>
        <v>193863</v>
      </c>
      <c r="J11" s="14">
        <f t="shared" si="3"/>
        <v>32975139</v>
      </c>
    </row>
    <row r="12" spans="1:10">
      <c r="A12" s="12">
        <v>4</v>
      </c>
      <c r="B12" s="13" t="s">
        <v>105</v>
      </c>
      <c r="C12" s="14">
        <f>'Table 7 Local Revenue'!AE11</f>
        <v>5195533</v>
      </c>
      <c r="D12" s="14">
        <f>'Table 7 Local Revenue'!H11</f>
        <v>134415214</v>
      </c>
      <c r="E12" s="14">
        <f t="shared" si="1"/>
        <v>2329059</v>
      </c>
      <c r="F12" s="288">
        <f>'Table 7 Local Revenue'!AI11</f>
        <v>6270699</v>
      </c>
      <c r="G12" s="14">
        <f>'Table 7 Local Revenue'!AM11</f>
        <v>201993207.04999998</v>
      </c>
      <c r="H12" s="14">
        <f t="shared" si="2"/>
        <v>1722170</v>
      </c>
      <c r="I12" s="241">
        <f>'Table 7 Local Revenue'!AP11</f>
        <v>114712</v>
      </c>
      <c r="J12" s="14">
        <f t="shared" si="3"/>
        <v>4165941</v>
      </c>
    </row>
    <row r="13" spans="1:10">
      <c r="A13" s="18">
        <v>5</v>
      </c>
      <c r="B13" s="19" t="s">
        <v>106</v>
      </c>
      <c r="C13" s="20">
        <f>'Table 7 Local Revenue'!AE12</f>
        <v>1330903</v>
      </c>
      <c r="D13" s="20">
        <f>'Table 7 Local Revenue'!H12</f>
        <v>98562757</v>
      </c>
      <c r="E13" s="20">
        <f t="shared" si="1"/>
        <v>1707831</v>
      </c>
      <c r="F13" s="289">
        <f>'Table 7 Local Revenue'!AI12</f>
        <v>6010724</v>
      </c>
      <c r="G13" s="20">
        <f>'Table 7 Local Revenue'!AM12</f>
        <v>400714933</v>
      </c>
      <c r="H13" s="20">
        <f t="shared" si="2"/>
        <v>3416447</v>
      </c>
      <c r="I13" s="242">
        <f>'Table 7 Local Revenue'!AP12</f>
        <v>279073.5</v>
      </c>
      <c r="J13" s="20">
        <f t="shared" si="3"/>
        <v>5403351.5</v>
      </c>
    </row>
    <row r="14" spans="1:10">
      <c r="A14" s="12">
        <v>6</v>
      </c>
      <c r="B14" s="13" t="s">
        <v>107</v>
      </c>
      <c r="C14" s="14">
        <f>'Table 7 Local Revenue'!AE13</f>
        <v>9918045</v>
      </c>
      <c r="D14" s="14">
        <f>'Table 7 Local Revenue'!H13</f>
        <v>194386918</v>
      </c>
      <c r="E14" s="14">
        <f t="shared" si="1"/>
        <v>3368209</v>
      </c>
      <c r="F14" s="288">
        <f>'Table 7 Local Revenue'!AI13</f>
        <v>8682521</v>
      </c>
      <c r="G14" s="14">
        <f>'Table 7 Local Revenue'!AM13</f>
        <v>434126050</v>
      </c>
      <c r="H14" s="14">
        <f t="shared" si="2"/>
        <v>3701307</v>
      </c>
      <c r="I14" s="241">
        <f>'Table 7 Local Revenue'!AP13</f>
        <v>304414.5</v>
      </c>
      <c r="J14" s="14">
        <f t="shared" si="3"/>
        <v>7373930.5</v>
      </c>
    </row>
    <row r="15" spans="1:10">
      <c r="A15" s="12">
        <v>7</v>
      </c>
      <c r="B15" s="13" t="s">
        <v>108</v>
      </c>
      <c r="C15" s="14">
        <f>'Table 7 Local Revenue'!AE14</f>
        <v>16504416</v>
      </c>
      <c r="D15" s="14">
        <f>'Table 7 Local Revenue'!H14</f>
        <v>299529157</v>
      </c>
      <c r="E15" s="14">
        <f t="shared" si="1"/>
        <v>5190045</v>
      </c>
      <c r="F15" s="288">
        <f>'Table 7 Local Revenue'!AI14</f>
        <v>11445034</v>
      </c>
      <c r="G15" s="14">
        <f>'Table 7 Local Revenue'!AM14</f>
        <v>572251700</v>
      </c>
      <c r="H15" s="14">
        <f t="shared" si="2"/>
        <v>4878949</v>
      </c>
      <c r="I15" s="241">
        <f>'Table 7 Local Revenue'!AP14</f>
        <v>594733.5</v>
      </c>
      <c r="J15" s="14">
        <f t="shared" si="3"/>
        <v>10663727.5</v>
      </c>
    </row>
    <row r="16" spans="1:10">
      <c r="A16" s="12">
        <v>8</v>
      </c>
      <c r="B16" s="13" t="s">
        <v>109</v>
      </c>
      <c r="C16" s="14">
        <f>'Table 7 Local Revenue'!AE15</f>
        <v>43080968</v>
      </c>
      <c r="D16" s="14">
        <f>'Table 7 Local Revenue'!H15</f>
        <v>859428608</v>
      </c>
      <c r="E16" s="14">
        <f t="shared" si="1"/>
        <v>14891615</v>
      </c>
      <c r="F16" s="288">
        <f>'Table 7 Local Revenue'!AI15</f>
        <v>46084040</v>
      </c>
      <c r="G16" s="14">
        <f>'Table 7 Local Revenue'!AM15</f>
        <v>2633373714</v>
      </c>
      <c r="H16" s="14">
        <f t="shared" si="2"/>
        <v>22451828</v>
      </c>
      <c r="I16" s="241">
        <f>'Table 7 Local Revenue'!AP15</f>
        <v>591949.5</v>
      </c>
      <c r="J16" s="14">
        <f t="shared" si="3"/>
        <v>37935392.5</v>
      </c>
    </row>
    <row r="17" spans="1:13">
      <c r="A17" s="12">
        <v>9</v>
      </c>
      <c r="B17" s="13" t="s">
        <v>110</v>
      </c>
      <c r="C17" s="14">
        <f>'Table 7 Local Revenue'!AE16</f>
        <v>113369076</v>
      </c>
      <c r="D17" s="14">
        <f>'Table 7 Local Revenue'!H16</f>
        <v>1483115510</v>
      </c>
      <c r="E17" s="14">
        <f t="shared" si="1"/>
        <v>25698453</v>
      </c>
      <c r="F17" s="288">
        <f>'Table 7 Local Revenue'!AI16</f>
        <v>78271951</v>
      </c>
      <c r="G17" s="14">
        <f>'Table 7 Local Revenue'!AM16</f>
        <v>5218130067</v>
      </c>
      <c r="H17" s="14">
        <f t="shared" si="2"/>
        <v>44489151</v>
      </c>
      <c r="I17" s="241">
        <f>'Table 7 Local Revenue'!AP16</f>
        <v>2687748</v>
      </c>
      <c r="J17" s="14">
        <f t="shared" si="3"/>
        <v>72875352</v>
      </c>
    </row>
    <row r="18" spans="1:13">
      <c r="A18" s="18">
        <v>10</v>
      </c>
      <c r="B18" s="19" t="s">
        <v>111</v>
      </c>
      <c r="C18" s="20">
        <f>'Table 7 Local Revenue'!AE17</f>
        <v>48714713</v>
      </c>
      <c r="D18" s="20">
        <f>'Table 7 Local Revenue'!H17</f>
        <v>1478624782</v>
      </c>
      <c r="E18" s="20">
        <f t="shared" si="1"/>
        <v>25620640</v>
      </c>
      <c r="F18" s="289">
        <f>'Table 7 Local Revenue'!AI17</f>
        <v>83221170</v>
      </c>
      <c r="G18" s="20">
        <f>'Table 7 Local Revenue'!AM17</f>
        <v>4161058500</v>
      </c>
      <c r="H18" s="20">
        <f t="shared" si="2"/>
        <v>35476685</v>
      </c>
      <c r="I18" s="242">
        <f>'Table 7 Local Revenue'!AP17</f>
        <v>1015859</v>
      </c>
      <c r="J18" s="20">
        <f t="shared" si="3"/>
        <v>62113184</v>
      </c>
      <c r="K18" s="35"/>
      <c r="L18" s="35"/>
      <c r="M18" s="35"/>
    </row>
    <row r="19" spans="1:13" ht="12" customHeight="1">
      <c r="A19" s="12">
        <v>11</v>
      </c>
      <c r="B19" s="13" t="s">
        <v>112</v>
      </c>
      <c r="C19" s="14">
        <f>'Table 7 Local Revenue'!AE18</f>
        <v>3004561</v>
      </c>
      <c r="D19" s="14">
        <f>'Table 7 Local Revenue'!H18</f>
        <v>40798582</v>
      </c>
      <c r="E19" s="14">
        <f t="shared" si="1"/>
        <v>706931</v>
      </c>
      <c r="F19" s="288">
        <f>'Table 7 Local Revenue'!AI18</f>
        <v>2209837</v>
      </c>
      <c r="G19" s="14">
        <f>'Table 7 Local Revenue'!AM18</f>
        <v>110491850</v>
      </c>
      <c r="H19" s="14">
        <f t="shared" si="2"/>
        <v>942040</v>
      </c>
      <c r="I19" s="241">
        <f>'Table 7 Local Revenue'!AP18</f>
        <v>87714.5</v>
      </c>
      <c r="J19" s="14">
        <f t="shared" si="3"/>
        <v>1736685.5</v>
      </c>
      <c r="K19" s="35"/>
      <c r="L19" s="35"/>
      <c r="M19" s="35"/>
    </row>
    <row r="20" spans="1:13">
      <c r="A20" s="12">
        <v>12</v>
      </c>
      <c r="B20" s="13" t="s">
        <v>113</v>
      </c>
      <c r="C20" s="14">
        <f>'Table 7 Local Revenue'!AE19</f>
        <v>12458077</v>
      </c>
      <c r="D20" s="14">
        <f>'Table 7 Local Revenue'!H19</f>
        <v>237191774</v>
      </c>
      <c r="E20" s="14">
        <f t="shared" si="1"/>
        <v>4109903</v>
      </c>
      <c r="F20" s="288">
        <f>'Table 7 Local Revenue'!AI19</f>
        <v>0</v>
      </c>
      <c r="G20" s="14">
        <f>'Table 7 Local Revenue'!AM19</f>
        <v>26707332.5</v>
      </c>
      <c r="H20" s="14">
        <f t="shared" si="2"/>
        <v>227704</v>
      </c>
      <c r="I20" s="241">
        <f>'Table 7 Local Revenue'!AP19</f>
        <v>855458.5</v>
      </c>
      <c r="J20" s="14">
        <f t="shared" si="3"/>
        <v>5193065.5</v>
      </c>
      <c r="K20" s="35"/>
      <c r="L20" s="35"/>
      <c r="M20" s="35"/>
    </row>
    <row r="21" spans="1:13">
      <c r="A21" s="12">
        <v>13</v>
      </c>
      <c r="B21" s="13" t="s">
        <v>114</v>
      </c>
      <c r="C21" s="14">
        <f>'Table 7 Local Revenue'!AE20</f>
        <v>933628</v>
      </c>
      <c r="D21" s="14">
        <f>'Table 7 Local Revenue'!H20</f>
        <v>35513879</v>
      </c>
      <c r="E21" s="14">
        <f t="shared" si="1"/>
        <v>615361</v>
      </c>
      <c r="F21" s="288">
        <f>'Table 7 Local Revenue'!AI20</f>
        <v>2701695</v>
      </c>
      <c r="G21" s="14">
        <f>'Table 7 Local Revenue'!AM20</f>
        <v>90056500</v>
      </c>
      <c r="H21" s="14">
        <f t="shared" si="2"/>
        <v>767811</v>
      </c>
      <c r="I21" s="241">
        <f>'Table 7 Local Revenue'!AP20</f>
        <v>94599</v>
      </c>
      <c r="J21" s="14">
        <f t="shared" si="3"/>
        <v>1477771</v>
      </c>
      <c r="K21" s="35"/>
      <c r="L21" s="35"/>
      <c r="M21" s="35"/>
    </row>
    <row r="22" spans="1:13">
      <c r="A22" s="12">
        <v>14</v>
      </c>
      <c r="B22" s="13" t="s">
        <v>115</v>
      </c>
      <c r="C22" s="14">
        <f>'Table 7 Local Revenue'!AE21</f>
        <v>3905805</v>
      </c>
      <c r="D22" s="14">
        <f>'Table 7 Local Revenue'!H21</f>
        <v>136823013</v>
      </c>
      <c r="E22" s="14">
        <f t="shared" si="1"/>
        <v>2370779</v>
      </c>
      <c r="F22" s="288">
        <f>'Table 7 Local Revenue'!AI21</f>
        <v>2825686</v>
      </c>
      <c r="G22" s="14">
        <f>'Table 7 Local Revenue'!AM21</f>
        <v>141284300</v>
      </c>
      <c r="H22" s="14">
        <f t="shared" si="2"/>
        <v>1204573</v>
      </c>
      <c r="I22" s="241">
        <f>'Table 7 Local Revenue'!AP21</f>
        <v>157561</v>
      </c>
      <c r="J22" s="14">
        <f t="shared" si="3"/>
        <v>3732913</v>
      </c>
      <c r="K22" s="35"/>
      <c r="L22" s="35"/>
      <c r="M22" s="35"/>
    </row>
    <row r="23" spans="1:13">
      <c r="A23" s="18">
        <v>15</v>
      </c>
      <c r="B23" s="19" t="s">
        <v>116</v>
      </c>
      <c r="C23" s="20">
        <f>'Table 7 Local Revenue'!AE22</f>
        <v>4742688</v>
      </c>
      <c r="D23" s="20">
        <f>'Table 7 Local Revenue'!H22</f>
        <v>129931580</v>
      </c>
      <c r="E23" s="20">
        <f t="shared" si="1"/>
        <v>2251369</v>
      </c>
      <c r="F23" s="289">
        <f>'Table 7 Local Revenue'!AI22</f>
        <v>4596600</v>
      </c>
      <c r="G23" s="20">
        <f>'Table 7 Local Revenue'!AM22</f>
        <v>229830000</v>
      </c>
      <c r="H23" s="20">
        <f t="shared" si="2"/>
        <v>1959503</v>
      </c>
      <c r="I23" s="242">
        <f>'Table 7 Local Revenue'!AP22</f>
        <v>181360.5</v>
      </c>
      <c r="J23" s="20">
        <f t="shared" si="3"/>
        <v>4392232.5</v>
      </c>
      <c r="K23" s="35"/>
      <c r="L23" s="35"/>
      <c r="M23" s="35"/>
    </row>
    <row r="24" spans="1:13">
      <c r="A24" s="12">
        <v>16</v>
      </c>
      <c r="B24" s="13" t="s">
        <v>117</v>
      </c>
      <c r="C24" s="14">
        <f>'Table 7 Local Revenue'!AE23</f>
        <v>21162734</v>
      </c>
      <c r="D24" s="14">
        <f>'Table 7 Local Revenue'!H23</f>
        <v>394358731.80000001</v>
      </c>
      <c r="E24" s="14">
        <f t="shared" si="1"/>
        <v>6833189</v>
      </c>
      <c r="F24" s="288">
        <f>'Table 7 Local Revenue'!AI23</f>
        <v>73086778</v>
      </c>
      <c r="G24" s="14">
        <f>'Table 7 Local Revenue'!AM23</f>
        <v>2488503952</v>
      </c>
      <c r="H24" s="14">
        <f t="shared" si="2"/>
        <v>21216686</v>
      </c>
      <c r="I24" s="241">
        <f>'Table 7 Local Revenue'!AP23</f>
        <v>1589418</v>
      </c>
      <c r="J24" s="14">
        <f t="shared" si="3"/>
        <v>29639293</v>
      </c>
      <c r="K24" s="35"/>
      <c r="L24" s="35"/>
      <c r="M24" s="35"/>
    </row>
    <row r="25" spans="1:13">
      <c r="A25" s="12">
        <v>17</v>
      </c>
      <c r="B25" s="13" t="s">
        <v>118</v>
      </c>
      <c r="C25" s="14">
        <f>'Table 7 Local Revenue'!AE24</f>
        <v>129411975</v>
      </c>
      <c r="D25" s="14">
        <f>'Table 7 Local Revenue'!H24</f>
        <v>3002326940</v>
      </c>
      <c r="E25" s="14">
        <f t="shared" si="1"/>
        <v>52022352</v>
      </c>
      <c r="F25" s="288">
        <f>'Table 7 Local Revenue'!AI24</f>
        <v>148089339</v>
      </c>
      <c r="G25" s="14">
        <f>'Table 7 Local Revenue'!AM24</f>
        <v>7404466950</v>
      </c>
      <c r="H25" s="14">
        <f t="shared" si="2"/>
        <v>63129597</v>
      </c>
      <c r="I25" s="241">
        <f>'Table 7 Local Revenue'!AP24</f>
        <v>4101592</v>
      </c>
      <c r="J25" s="14">
        <f t="shared" si="3"/>
        <v>119253541</v>
      </c>
    </row>
    <row r="26" spans="1:13">
      <c r="A26" s="12">
        <v>18</v>
      </c>
      <c r="B26" s="13" t="s">
        <v>119</v>
      </c>
      <c r="C26" s="14">
        <f>'Table 7 Local Revenue'!AE25</f>
        <v>539995</v>
      </c>
      <c r="D26" s="14">
        <f>'Table 7 Local Revenue'!H25</f>
        <v>36375791</v>
      </c>
      <c r="E26" s="14">
        <f t="shared" si="1"/>
        <v>630296</v>
      </c>
      <c r="F26" s="288">
        <f>'Table 7 Local Revenue'!AI25</f>
        <v>1397933</v>
      </c>
      <c r="G26" s="14">
        <f>'Table 7 Local Revenue'!AM25</f>
        <v>46597767</v>
      </c>
      <c r="H26" s="14">
        <f t="shared" si="2"/>
        <v>397287</v>
      </c>
      <c r="I26" s="241">
        <f>'Table 7 Local Revenue'!AP25</f>
        <v>132563.5</v>
      </c>
      <c r="J26" s="14">
        <f t="shared" si="3"/>
        <v>1160146.5</v>
      </c>
    </row>
    <row r="27" spans="1:13">
      <c r="A27" s="12">
        <v>19</v>
      </c>
      <c r="B27" s="69" t="s">
        <v>120</v>
      </c>
      <c r="C27" s="14">
        <f>'Table 7 Local Revenue'!AE26</f>
        <v>2017927</v>
      </c>
      <c r="D27" s="14">
        <f>'Table 7 Local Revenue'!H26</f>
        <v>103771869</v>
      </c>
      <c r="E27" s="14">
        <f t="shared" si="1"/>
        <v>1798091</v>
      </c>
      <c r="F27" s="288">
        <f>'Table 7 Local Revenue'!AI26</f>
        <v>2313650</v>
      </c>
      <c r="G27" s="14">
        <f>'Table 7 Local Revenue'!AM26</f>
        <v>115682500</v>
      </c>
      <c r="H27" s="14">
        <f t="shared" si="2"/>
        <v>986295</v>
      </c>
      <c r="I27" s="241">
        <f>'Table 7 Local Revenue'!AP26</f>
        <v>102869</v>
      </c>
      <c r="J27" s="14">
        <f t="shared" si="3"/>
        <v>2887255</v>
      </c>
    </row>
    <row r="28" spans="1:13">
      <c r="A28" s="18">
        <v>20</v>
      </c>
      <c r="B28" s="19" t="s">
        <v>121</v>
      </c>
      <c r="C28" s="20">
        <f>'Table 7 Local Revenue'!AE27</f>
        <v>5526011</v>
      </c>
      <c r="D28" s="20">
        <f>'Table 7 Local Revenue'!H27</f>
        <v>171066456</v>
      </c>
      <c r="E28" s="20">
        <f t="shared" si="1"/>
        <v>2964127</v>
      </c>
      <c r="F28" s="289">
        <f>'Table 7 Local Revenue'!AI27</f>
        <v>7312111</v>
      </c>
      <c r="G28" s="20">
        <f>'Table 7 Local Revenue'!AM27</f>
        <v>365605550</v>
      </c>
      <c r="H28" s="20">
        <f t="shared" si="2"/>
        <v>3117109</v>
      </c>
      <c r="I28" s="242">
        <f>'Table 7 Local Revenue'!AP27</f>
        <v>232087.5</v>
      </c>
      <c r="J28" s="20">
        <f t="shared" si="3"/>
        <v>6313323.5</v>
      </c>
    </row>
    <row r="29" spans="1:13">
      <c r="A29" s="12">
        <v>21</v>
      </c>
      <c r="B29" s="13" t="s">
        <v>122</v>
      </c>
      <c r="C29" s="14">
        <f>'Table 7 Local Revenue'!AE28</f>
        <v>1429318</v>
      </c>
      <c r="D29" s="14">
        <f>'Table 7 Local Revenue'!H28</f>
        <v>59307949</v>
      </c>
      <c r="E29" s="14">
        <f t="shared" si="1"/>
        <v>1027649</v>
      </c>
      <c r="F29" s="288">
        <f>'Table 7 Local Revenue'!AI28</f>
        <v>4669044</v>
      </c>
      <c r="G29" s="14">
        <f>'Table 7 Local Revenue'!AM28</f>
        <v>233452200</v>
      </c>
      <c r="H29" s="14">
        <f t="shared" si="2"/>
        <v>1990385</v>
      </c>
      <c r="I29" s="241">
        <f>'Table 7 Local Revenue'!AP28</f>
        <v>76048.5</v>
      </c>
      <c r="J29" s="14">
        <f t="shared" si="3"/>
        <v>3094082.5</v>
      </c>
    </row>
    <row r="30" spans="1:13">
      <c r="A30" s="12">
        <v>22</v>
      </c>
      <c r="B30" s="13" t="s">
        <v>123</v>
      </c>
      <c r="C30" s="14">
        <f>'Table 7 Local Revenue'!AE29</f>
        <v>2725428</v>
      </c>
      <c r="D30" s="14">
        <f>'Table 7 Local Revenue'!H29</f>
        <v>38647278</v>
      </c>
      <c r="E30" s="14">
        <f t="shared" si="1"/>
        <v>669655</v>
      </c>
      <c r="F30" s="288">
        <f>'Table 7 Local Revenue'!AI29</f>
        <v>2034070</v>
      </c>
      <c r="G30" s="14">
        <f>'Table 7 Local Revenue'!AM29</f>
        <v>101703500</v>
      </c>
      <c r="H30" s="14">
        <f t="shared" si="2"/>
        <v>867112</v>
      </c>
      <c r="I30" s="241">
        <f>'Table 7 Local Revenue'!AP29</f>
        <v>406250</v>
      </c>
      <c r="J30" s="14">
        <f t="shared" si="3"/>
        <v>1943017</v>
      </c>
    </row>
    <row r="31" spans="1:13">
      <c r="A31" s="12">
        <v>23</v>
      </c>
      <c r="B31" s="13" t="s">
        <v>124</v>
      </c>
      <c r="C31" s="14">
        <f>'Table 7 Local Revenue'!AE30</f>
        <v>16048049</v>
      </c>
      <c r="D31" s="14">
        <f>'Table 7 Local Revenue'!H30</f>
        <v>507692565</v>
      </c>
      <c r="E31" s="14">
        <f t="shared" si="1"/>
        <v>8796964</v>
      </c>
      <c r="F31" s="288">
        <f>'Table 7 Local Revenue'!AI30</f>
        <v>25199860</v>
      </c>
      <c r="G31" s="14">
        <f>'Table 7 Local Revenue'!AM30</f>
        <v>1259993000</v>
      </c>
      <c r="H31" s="14">
        <f t="shared" si="2"/>
        <v>10742549</v>
      </c>
      <c r="I31" s="241">
        <f>'Table 7 Local Revenue'!AP30</f>
        <v>569331</v>
      </c>
      <c r="J31" s="14">
        <f t="shared" si="3"/>
        <v>20108844</v>
      </c>
    </row>
    <row r="32" spans="1:13">
      <c r="A32" s="12">
        <v>24</v>
      </c>
      <c r="B32" s="13" t="s">
        <v>125</v>
      </c>
      <c r="C32" s="14">
        <f>'Table 7 Local Revenue'!AE31</f>
        <v>22928051</v>
      </c>
      <c r="D32" s="14">
        <f>'Table 7 Local Revenue'!H31</f>
        <v>412190548</v>
      </c>
      <c r="E32" s="14">
        <f t="shared" si="1"/>
        <v>7142167</v>
      </c>
      <c r="F32" s="288">
        <f>'Table 7 Local Revenue'!AI31</f>
        <v>19259439</v>
      </c>
      <c r="G32" s="14">
        <f>'Table 7 Local Revenue'!AM31</f>
        <v>962971950</v>
      </c>
      <c r="H32" s="14">
        <f t="shared" si="2"/>
        <v>8210183</v>
      </c>
      <c r="I32" s="241">
        <f>'Table 7 Local Revenue'!AP31</f>
        <v>142222</v>
      </c>
      <c r="J32" s="14">
        <f t="shared" si="3"/>
        <v>15494572</v>
      </c>
    </row>
    <row r="33" spans="1:10">
      <c r="A33" s="18">
        <v>25</v>
      </c>
      <c r="B33" s="19" t="s">
        <v>126</v>
      </c>
      <c r="C33" s="20">
        <f>'Table 7 Local Revenue'!AE32</f>
        <v>5150072</v>
      </c>
      <c r="D33" s="20">
        <f>'Table 7 Local Revenue'!H32</f>
        <v>205225430</v>
      </c>
      <c r="E33" s="20">
        <f t="shared" si="1"/>
        <v>3556012</v>
      </c>
      <c r="F33" s="289">
        <f>'Table 7 Local Revenue'!AI32</f>
        <v>6267649</v>
      </c>
      <c r="G33" s="20">
        <f>'Table 7 Local Revenue'!AM32</f>
        <v>208921633</v>
      </c>
      <c r="H33" s="20">
        <f t="shared" si="2"/>
        <v>1781241</v>
      </c>
      <c r="I33" s="242">
        <f>'Table 7 Local Revenue'!AP32</f>
        <v>96687.5</v>
      </c>
      <c r="J33" s="20">
        <f t="shared" si="3"/>
        <v>5433940.5</v>
      </c>
    </row>
    <row r="34" spans="1:10">
      <c r="A34" s="12">
        <v>26</v>
      </c>
      <c r="B34" s="13" t="s">
        <v>127</v>
      </c>
      <c r="C34" s="14">
        <f>'Table 7 Local Revenue'!AE33</f>
        <v>73407246</v>
      </c>
      <c r="D34" s="14">
        <f>'Table 7 Local Revenue'!H33</f>
        <v>3234560195</v>
      </c>
      <c r="E34" s="14">
        <f t="shared" si="1"/>
        <v>56046337</v>
      </c>
      <c r="F34" s="288">
        <f>'Table 7 Local Revenue'!AI33</f>
        <v>173459233</v>
      </c>
      <c r="G34" s="14">
        <f>'Table 7 Local Revenue'!AM33</f>
        <v>8672961650</v>
      </c>
      <c r="H34" s="14">
        <f t="shared" si="2"/>
        <v>73944630</v>
      </c>
      <c r="I34" s="241">
        <f>'Table 7 Local Revenue'!AP33</f>
        <v>2185711</v>
      </c>
      <c r="J34" s="14">
        <f t="shared" si="3"/>
        <v>132176678</v>
      </c>
    </row>
    <row r="35" spans="1:10">
      <c r="A35" s="12">
        <v>27</v>
      </c>
      <c r="B35" s="13" t="s">
        <v>128</v>
      </c>
      <c r="C35" s="14">
        <f>'Table 7 Local Revenue'!AE34</f>
        <v>6869992</v>
      </c>
      <c r="D35" s="14">
        <f>'Table 7 Local Revenue'!H34</f>
        <v>174156213</v>
      </c>
      <c r="E35" s="14">
        <f t="shared" si="1"/>
        <v>3017665</v>
      </c>
      <c r="F35" s="288">
        <f>'Table 7 Local Revenue'!AI34</f>
        <v>9961152</v>
      </c>
      <c r="G35" s="14">
        <f>'Table 7 Local Revenue'!AM34</f>
        <v>398446080</v>
      </c>
      <c r="H35" s="14">
        <f t="shared" si="2"/>
        <v>3397103</v>
      </c>
      <c r="I35" s="241">
        <f>'Table 7 Local Revenue'!AP34</f>
        <v>320663</v>
      </c>
      <c r="J35" s="14">
        <f t="shared" si="3"/>
        <v>6735431</v>
      </c>
    </row>
    <row r="36" spans="1:10">
      <c r="A36" s="12">
        <v>28</v>
      </c>
      <c r="B36" s="13" t="s">
        <v>129</v>
      </c>
      <c r="C36" s="14">
        <f>'Table 7 Local Revenue'!AE35</f>
        <v>52418696</v>
      </c>
      <c r="D36" s="14">
        <f>'Table 7 Local Revenue'!H35</f>
        <v>1629435454</v>
      </c>
      <c r="E36" s="14">
        <f t="shared" si="1"/>
        <v>28233789</v>
      </c>
      <c r="F36" s="288">
        <f>'Table 7 Local Revenue'!AI35</f>
        <v>98096300</v>
      </c>
      <c r="G36" s="14">
        <f>'Table 7 Local Revenue'!AM35</f>
        <v>4904815000</v>
      </c>
      <c r="H36" s="14">
        <f t="shared" si="2"/>
        <v>41817864</v>
      </c>
      <c r="I36" s="241">
        <f>'Table 7 Local Revenue'!AP35</f>
        <v>2128077.5</v>
      </c>
      <c r="J36" s="14">
        <f t="shared" si="3"/>
        <v>72179730.5</v>
      </c>
    </row>
    <row r="37" spans="1:10">
      <c r="A37" s="12">
        <v>29</v>
      </c>
      <c r="B37" s="13" t="s">
        <v>130</v>
      </c>
      <c r="C37" s="14">
        <f>'Table 7 Local Revenue'!AE36</f>
        <v>30649898</v>
      </c>
      <c r="D37" s="14">
        <f>'Table 7 Local Revenue'!H36</f>
        <v>714727184.60000002</v>
      </c>
      <c r="E37" s="14">
        <f t="shared" si="1"/>
        <v>12384324</v>
      </c>
      <c r="F37" s="288">
        <f>'Table 7 Local Revenue'!AI36</f>
        <v>28758946</v>
      </c>
      <c r="G37" s="14">
        <f>'Table 7 Local Revenue'!AM36</f>
        <v>1437947300</v>
      </c>
      <c r="H37" s="14">
        <f t="shared" si="2"/>
        <v>12259766</v>
      </c>
      <c r="I37" s="241">
        <f>'Table 7 Local Revenue'!AP36</f>
        <v>922795.5</v>
      </c>
      <c r="J37" s="14">
        <f t="shared" si="3"/>
        <v>25566885.5</v>
      </c>
    </row>
    <row r="38" spans="1:10">
      <c r="A38" s="18">
        <v>30</v>
      </c>
      <c r="B38" s="19" t="s">
        <v>131</v>
      </c>
      <c r="C38" s="20">
        <f>'Table 7 Local Revenue'!AE37</f>
        <v>3004290</v>
      </c>
      <c r="D38" s="20">
        <f>'Table 7 Local Revenue'!H37</f>
        <v>62448120</v>
      </c>
      <c r="E38" s="20">
        <f t="shared" si="1"/>
        <v>1082060</v>
      </c>
      <c r="F38" s="289">
        <f>'Table 7 Local Revenue'!AI37</f>
        <v>5747108</v>
      </c>
      <c r="G38" s="20">
        <f>'Table 7 Local Revenue'!AM37</f>
        <v>191570267</v>
      </c>
      <c r="H38" s="20">
        <f t="shared" si="2"/>
        <v>1633305</v>
      </c>
      <c r="I38" s="242">
        <f>'Table 7 Local Revenue'!AP37</f>
        <v>79994</v>
      </c>
      <c r="J38" s="20">
        <f t="shared" si="3"/>
        <v>2795359</v>
      </c>
    </row>
    <row r="39" spans="1:10">
      <c r="A39" s="12">
        <v>31</v>
      </c>
      <c r="B39" s="13" t="s">
        <v>132</v>
      </c>
      <c r="C39" s="14">
        <f>'Table 7 Local Revenue'!AE38</f>
        <v>16143930</v>
      </c>
      <c r="D39" s="14">
        <f>'Table 7 Local Revenue'!H38</f>
        <v>353245346</v>
      </c>
      <c r="E39" s="14">
        <f t="shared" si="1"/>
        <v>6120804</v>
      </c>
      <c r="F39" s="288">
        <f>'Table 7 Local Revenue'!AI38</f>
        <v>14503760</v>
      </c>
      <c r="G39" s="14">
        <f>'Table 7 Local Revenue'!AM38</f>
        <v>725188000</v>
      </c>
      <c r="H39" s="14">
        <f t="shared" si="2"/>
        <v>6182866</v>
      </c>
      <c r="I39" s="241">
        <f>'Table 7 Local Revenue'!AP38</f>
        <v>293414</v>
      </c>
      <c r="J39" s="14">
        <f t="shared" si="3"/>
        <v>12597084</v>
      </c>
    </row>
    <row r="40" spans="1:10">
      <c r="A40" s="12">
        <v>32</v>
      </c>
      <c r="B40" s="13" t="s">
        <v>133</v>
      </c>
      <c r="C40" s="14">
        <f>'Table 7 Local Revenue'!AE39</f>
        <v>15272851</v>
      </c>
      <c r="D40" s="14">
        <f>'Table 7 Local Revenue'!H39</f>
        <v>408916490</v>
      </c>
      <c r="E40" s="14">
        <f t="shared" si="1"/>
        <v>7085437</v>
      </c>
      <c r="F40" s="288">
        <f>'Table 7 Local Revenue'!AI39</f>
        <v>31638560</v>
      </c>
      <c r="G40" s="14">
        <f>'Table 7 Local Revenue'!AM39</f>
        <v>1265542400</v>
      </c>
      <c r="H40" s="14">
        <f t="shared" si="2"/>
        <v>10789863</v>
      </c>
      <c r="I40" s="241">
        <f>'Table 7 Local Revenue'!AP39</f>
        <v>925425.5</v>
      </c>
      <c r="J40" s="14">
        <f t="shared" si="3"/>
        <v>18800725.5</v>
      </c>
    </row>
    <row r="41" spans="1:10">
      <c r="A41" s="12">
        <v>33</v>
      </c>
      <c r="B41" s="13" t="s">
        <v>134</v>
      </c>
      <c r="C41" s="14">
        <f>'Table 7 Local Revenue'!AE40</f>
        <v>2359839</v>
      </c>
      <c r="D41" s="14">
        <f>'Table 7 Local Revenue'!H40</f>
        <v>100990195.90000001</v>
      </c>
      <c r="E41" s="14">
        <f t="shared" ref="E41:E72" si="4">ROUND(D41*$E$6/1000,0)</f>
        <v>1749892</v>
      </c>
      <c r="F41" s="288">
        <f>'Table 7 Local Revenue'!AI40</f>
        <v>3117932</v>
      </c>
      <c r="G41" s="14">
        <f>'Table 7 Local Revenue'!AM40</f>
        <v>124717280</v>
      </c>
      <c r="H41" s="14">
        <f t="shared" ref="H41:H72" si="5">ROUND(G41*$H$6,0)</f>
        <v>1063325</v>
      </c>
      <c r="I41" s="241">
        <f>'Table 7 Local Revenue'!AP40</f>
        <v>55775.5</v>
      </c>
      <c r="J41" s="14">
        <f t="shared" ref="J41:J72" si="6">E41+H41+I41</f>
        <v>2868992.5</v>
      </c>
    </row>
    <row r="42" spans="1:10">
      <c r="A42" s="12">
        <v>34</v>
      </c>
      <c r="B42" s="13" t="s">
        <v>135</v>
      </c>
      <c r="C42" s="14">
        <f>'Table 7 Local Revenue'!AE41</f>
        <v>6052205</v>
      </c>
      <c r="D42" s="14">
        <f>'Table 7 Local Revenue'!H41</f>
        <v>151746769</v>
      </c>
      <c r="E42" s="14">
        <f t="shared" si="4"/>
        <v>2629368</v>
      </c>
      <c r="F42" s="288">
        <f>'Table 7 Local Revenue'!AI41</f>
        <v>5791569</v>
      </c>
      <c r="G42" s="14">
        <f>'Table 7 Local Revenue'!AM41</f>
        <v>289578450</v>
      </c>
      <c r="H42" s="14">
        <f t="shared" si="5"/>
        <v>2468911</v>
      </c>
      <c r="I42" s="241">
        <f>'Table 7 Local Revenue'!AP41</f>
        <v>258669</v>
      </c>
      <c r="J42" s="14">
        <f t="shared" si="6"/>
        <v>5356948</v>
      </c>
    </row>
    <row r="43" spans="1:10">
      <c r="A43" s="18">
        <v>35</v>
      </c>
      <c r="B43" s="19" t="s">
        <v>136</v>
      </c>
      <c r="C43" s="20">
        <f>'Table 7 Local Revenue'!AE42</f>
        <v>6765091</v>
      </c>
      <c r="D43" s="20">
        <f>'Table 7 Local Revenue'!H42</f>
        <v>224573114</v>
      </c>
      <c r="E43" s="20">
        <f t="shared" si="4"/>
        <v>3891256</v>
      </c>
      <c r="F43" s="289">
        <f>'Table 7 Local Revenue'!AI42</f>
        <v>13319148</v>
      </c>
      <c r="G43" s="20">
        <f>'Table 7 Local Revenue'!AM42</f>
        <v>631986870</v>
      </c>
      <c r="H43" s="20">
        <f t="shared" si="5"/>
        <v>5388244</v>
      </c>
      <c r="I43" s="242">
        <f>'Table 7 Local Revenue'!AP42</f>
        <v>928249</v>
      </c>
      <c r="J43" s="20">
        <f t="shared" si="6"/>
        <v>10207749</v>
      </c>
    </row>
    <row r="44" spans="1:10" s="75" customFormat="1">
      <c r="A44" s="103">
        <v>36</v>
      </c>
      <c r="B44" s="81" t="s">
        <v>137</v>
      </c>
      <c r="C44" s="77">
        <f>'Table 7 Local Revenue'!AE43</f>
        <v>110793998</v>
      </c>
      <c r="D44" s="77">
        <f>'Table 7 Local Revenue'!H43</f>
        <v>2766725610</v>
      </c>
      <c r="E44" s="77">
        <f t="shared" si="4"/>
        <v>47940006</v>
      </c>
      <c r="F44" s="290">
        <f>'Table 7 Local Revenue'!AI43</f>
        <v>95109616</v>
      </c>
      <c r="G44" s="77">
        <f>'Table 7 Local Revenue'!AM43</f>
        <v>6340641067</v>
      </c>
      <c r="H44" s="77">
        <f t="shared" si="5"/>
        <v>54059545</v>
      </c>
      <c r="I44" s="166">
        <f>'Table 7 Local Revenue'!AP43</f>
        <v>2777950</v>
      </c>
      <c r="J44" s="77">
        <f t="shared" si="6"/>
        <v>104777501</v>
      </c>
    </row>
    <row r="45" spans="1:10" s="75" customFormat="1">
      <c r="A45" s="103">
        <v>37</v>
      </c>
      <c r="B45" s="81" t="s">
        <v>138</v>
      </c>
      <c r="C45" s="77">
        <f>'Table 7 Local Revenue'!AE44</f>
        <v>21274012</v>
      </c>
      <c r="D45" s="77">
        <f>'Table 7 Local Revenue'!H44</f>
        <v>536837311</v>
      </c>
      <c r="E45" s="77">
        <f t="shared" si="4"/>
        <v>9301965</v>
      </c>
      <c r="F45" s="290">
        <f>'Table 7 Local Revenue'!AI44</f>
        <v>37627495</v>
      </c>
      <c r="G45" s="77">
        <f>'Table 7 Local Revenue'!AM44</f>
        <v>1254249833</v>
      </c>
      <c r="H45" s="77">
        <f t="shared" si="5"/>
        <v>10693584</v>
      </c>
      <c r="I45" s="166">
        <f>'Table 7 Local Revenue'!AP44</f>
        <v>836190.5</v>
      </c>
      <c r="J45" s="77">
        <f t="shared" si="6"/>
        <v>20831739.5</v>
      </c>
    </row>
    <row r="46" spans="1:10" s="75" customFormat="1">
      <c r="A46" s="103">
        <v>38</v>
      </c>
      <c r="B46" s="81" t="s">
        <v>139</v>
      </c>
      <c r="C46" s="77">
        <f>'Table 7 Local Revenue'!AE45</f>
        <v>20072226</v>
      </c>
      <c r="D46" s="77">
        <f>'Table 7 Local Revenue'!H45</f>
        <v>901760599</v>
      </c>
      <c r="E46" s="77">
        <f t="shared" si="4"/>
        <v>15625116</v>
      </c>
      <c r="F46" s="290">
        <f>'Table 7 Local Revenue'!AI45</f>
        <v>22912329</v>
      </c>
      <c r="G46" s="77">
        <f>'Table 7 Local Revenue'!AM45</f>
        <v>934993872.49999988</v>
      </c>
      <c r="H46" s="77">
        <f t="shared" si="5"/>
        <v>7971646</v>
      </c>
      <c r="I46" s="166">
        <f>'Table 7 Local Revenue'!AP45</f>
        <v>114696.5</v>
      </c>
      <c r="J46" s="77">
        <f t="shared" si="6"/>
        <v>23711458.5</v>
      </c>
    </row>
    <row r="47" spans="1:10" s="75" customFormat="1">
      <c r="A47" s="103">
        <v>39</v>
      </c>
      <c r="B47" s="81" t="s">
        <v>140</v>
      </c>
      <c r="C47" s="77">
        <f>'Table 7 Local Revenue'!AE46</f>
        <v>5997119</v>
      </c>
      <c r="D47" s="77">
        <f>'Table 7 Local Revenue'!H46</f>
        <v>340208064</v>
      </c>
      <c r="E47" s="77">
        <f t="shared" si="4"/>
        <v>5894902</v>
      </c>
      <c r="F47" s="290">
        <f>'Table 7 Local Revenue'!AI46</f>
        <v>5769660</v>
      </c>
      <c r="G47" s="77">
        <f>'Table 7 Local Revenue'!AM46</f>
        <v>288483000</v>
      </c>
      <c r="H47" s="77">
        <f t="shared" si="5"/>
        <v>2459571</v>
      </c>
      <c r="I47" s="166">
        <f>'Table 7 Local Revenue'!AP46</f>
        <v>160880</v>
      </c>
      <c r="J47" s="77">
        <f t="shared" si="6"/>
        <v>8515353</v>
      </c>
    </row>
    <row r="48" spans="1:10" s="75" customFormat="1">
      <c r="A48" s="104">
        <v>40</v>
      </c>
      <c r="B48" s="82" t="s">
        <v>141</v>
      </c>
      <c r="C48" s="78">
        <f>'Table 7 Local Revenue'!AE47</f>
        <v>31124281</v>
      </c>
      <c r="D48" s="78">
        <f>'Table 7 Local Revenue'!H47</f>
        <v>625394815</v>
      </c>
      <c r="E48" s="78">
        <f t="shared" si="4"/>
        <v>10836431</v>
      </c>
      <c r="F48" s="291">
        <f>'Table 7 Local Revenue'!AI47</f>
        <v>34570017</v>
      </c>
      <c r="G48" s="78">
        <f>'Table 7 Local Revenue'!AM47</f>
        <v>2304667800</v>
      </c>
      <c r="H48" s="78">
        <f t="shared" si="5"/>
        <v>19649321</v>
      </c>
      <c r="I48" s="167">
        <f>'Table 7 Local Revenue'!AP47</f>
        <v>1165125.5</v>
      </c>
      <c r="J48" s="20">
        <f t="shared" si="6"/>
        <v>31650877.5</v>
      </c>
    </row>
    <row r="49" spans="1:10" s="75" customFormat="1">
      <c r="A49" s="103">
        <v>41</v>
      </c>
      <c r="B49" s="81" t="s">
        <v>142</v>
      </c>
      <c r="C49" s="77">
        <f>'Table 7 Local Revenue'!AE48</f>
        <v>5197660</v>
      </c>
      <c r="D49" s="77">
        <f>'Table 7 Local Revenue'!H48</f>
        <v>74950535</v>
      </c>
      <c r="E49" s="77">
        <f t="shared" si="4"/>
        <v>1298694</v>
      </c>
      <c r="F49" s="290">
        <f>'Table 7 Local Revenue'!AI48</f>
        <v>19320204</v>
      </c>
      <c r="G49" s="77">
        <f>'Table 7 Local Revenue'!AM48</f>
        <v>951659499.99999988</v>
      </c>
      <c r="H49" s="77">
        <f t="shared" si="5"/>
        <v>8113735</v>
      </c>
      <c r="I49" s="166">
        <f>'Table 7 Local Revenue'!AP48</f>
        <v>67015</v>
      </c>
      <c r="J49" s="77">
        <f t="shared" si="6"/>
        <v>9479444</v>
      </c>
    </row>
    <row r="50" spans="1:10" s="75" customFormat="1">
      <c r="A50" s="103">
        <v>42</v>
      </c>
      <c r="B50" s="81" t="s">
        <v>143</v>
      </c>
      <c r="C50" s="77">
        <f>'Table 7 Local Revenue'!AE49</f>
        <v>4363103</v>
      </c>
      <c r="D50" s="77">
        <f>'Table 7 Local Revenue'!H49</f>
        <v>141353615.70000002</v>
      </c>
      <c r="E50" s="77">
        <f t="shared" si="4"/>
        <v>2449283</v>
      </c>
      <c r="F50" s="290">
        <f>'Table 7 Local Revenue'!AI49</f>
        <v>5866645</v>
      </c>
      <c r="G50" s="77">
        <f>'Table 7 Local Revenue'!AM49</f>
        <v>293332250</v>
      </c>
      <c r="H50" s="77">
        <f t="shared" si="5"/>
        <v>2500916</v>
      </c>
      <c r="I50" s="166">
        <f>'Table 7 Local Revenue'!AP49</f>
        <v>226071.5</v>
      </c>
      <c r="J50" s="77">
        <f t="shared" si="6"/>
        <v>5176270.5</v>
      </c>
    </row>
    <row r="51" spans="1:10" s="75" customFormat="1">
      <c r="A51" s="103">
        <v>43</v>
      </c>
      <c r="B51" s="81" t="s">
        <v>144</v>
      </c>
      <c r="C51" s="77">
        <f>'Table 7 Local Revenue'!AE50</f>
        <v>3720448</v>
      </c>
      <c r="D51" s="77">
        <f>'Table 7 Local Revenue'!H50</f>
        <v>103019088.7</v>
      </c>
      <c r="E51" s="77">
        <f t="shared" si="4"/>
        <v>1785047</v>
      </c>
      <c r="F51" s="290">
        <f>'Table 7 Local Revenue'!AI50</f>
        <v>17579242</v>
      </c>
      <c r="G51" s="77">
        <f>'Table 7 Local Revenue'!AM50</f>
        <v>432074227.99999994</v>
      </c>
      <c r="H51" s="77">
        <f t="shared" si="5"/>
        <v>3683813</v>
      </c>
      <c r="I51" s="166">
        <f>'Table 7 Local Revenue'!AP50</f>
        <v>151429</v>
      </c>
      <c r="J51" s="77">
        <f t="shared" si="6"/>
        <v>5620289</v>
      </c>
    </row>
    <row r="52" spans="1:10" s="75" customFormat="1">
      <c r="A52" s="103">
        <v>44</v>
      </c>
      <c r="B52" s="81" t="s">
        <v>145</v>
      </c>
      <c r="C52" s="77">
        <f>'Table 7 Local Revenue'!AE51</f>
        <v>12810113</v>
      </c>
      <c r="D52" s="77">
        <f>'Table 7 Local Revenue'!H51</f>
        <v>292917443</v>
      </c>
      <c r="E52" s="77">
        <f t="shared" si="4"/>
        <v>5075481</v>
      </c>
      <c r="F52" s="290">
        <f>'Table 7 Local Revenue'!AI51</f>
        <v>18503059</v>
      </c>
      <c r="G52" s="77">
        <f>'Table 7 Local Revenue'!AM51</f>
        <v>838512782.49999988</v>
      </c>
      <c r="H52" s="77">
        <f t="shared" si="5"/>
        <v>7149059</v>
      </c>
      <c r="I52" s="166">
        <f>'Table 7 Local Revenue'!AP51</f>
        <v>26659</v>
      </c>
      <c r="J52" s="77">
        <f t="shared" si="6"/>
        <v>12251199</v>
      </c>
    </row>
    <row r="53" spans="1:10">
      <c r="A53" s="18">
        <v>45</v>
      </c>
      <c r="B53" s="19" t="s">
        <v>146</v>
      </c>
      <c r="C53" s="20">
        <f>'Table 7 Local Revenue'!AE52</f>
        <v>56179756</v>
      </c>
      <c r="D53" s="20">
        <f>'Table 7 Local Revenue'!H52</f>
        <v>1019833123</v>
      </c>
      <c r="E53" s="20">
        <f t="shared" si="4"/>
        <v>17670999</v>
      </c>
      <c r="F53" s="289">
        <f>'Table 7 Local Revenue'!AI52</f>
        <v>45774239</v>
      </c>
      <c r="G53" s="20">
        <f>'Table 7 Local Revenue'!AM52</f>
        <v>1525807967</v>
      </c>
      <c r="H53" s="20">
        <f t="shared" si="5"/>
        <v>13008856</v>
      </c>
      <c r="I53" s="242">
        <f>'Table 7 Local Revenue'!AP52</f>
        <v>280719</v>
      </c>
      <c r="J53" s="20">
        <f t="shared" si="6"/>
        <v>30960574</v>
      </c>
    </row>
    <row r="54" spans="1:10">
      <c r="A54" s="12">
        <v>46</v>
      </c>
      <c r="B54" s="13" t="s">
        <v>147</v>
      </c>
      <c r="C54" s="14">
        <f>'Table 7 Local Revenue'!AE53</f>
        <v>721275</v>
      </c>
      <c r="D54" s="14">
        <f>'Table 7 Local Revenue'!H53</f>
        <v>40445540</v>
      </c>
      <c r="E54" s="14">
        <f t="shared" si="4"/>
        <v>700814</v>
      </c>
      <c r="F54" s="288">
        <f>'Table 7 Local Revenue'!AI53</f>
        <v>1244037</v>
      </c>
      <c r="G54" s="14">
        <f>'Table 7 Local Revenue'!AM53</f>
        <v>61416554.999999993</v>
      </c>
      <c r="H54" s="14">
        <f t="shared" si="5"/>
        <v>523630</v>
      </c>
      <c r="I54" s="241">
        <f>'Table 7 Local Revenue'!AP53</f>
        <v>31608</v>
      </c>
      <c r="J54" s="14">
        <f t="shared" si="6"/>
        <v>1256052</v>
      </c>
    </row>
    <row r="55" spans="1:10">
      <c r="A55" s="12">
        <v>47</v>
      </c>
      <c r="B55" s="13" t="s">
        <v>148</v>
      </c>
      <c r="C55" s="14">
        <f>'Table 7 Local Revenue'!AE54</f>
        <v>17116142</v>
      </c>
      <c r="D55" s="14">
        <f>'Table 7 Local Revenue'!H54</f>
        <v>379469007</v>
      </c>
      <c r="E55" s="14">
        <f t="shared" si="4"/>
        <v>6575190</v>
      </c>
      <c r="F55" s="288">
        <f>'Table 7 Local Revenue'!AI54</f>
        <v>18744037</v>
      </c>
      <c r="G55" s="14">
        <f>'Table 7 Local Revenue'!AM54</f>
        <v>585893812</v>
      </c>
      <c r="H55" s="14">
        <f t="shared" si="5"/>
        <v>4995260</v>
      </c>
      <c r="I55" s="241">
        <f>'Table 7 Local Revenue'!AP54</f>
        <v>87474</v>
      </c>
      <c r="J55" s="14">
        <f t="shared" si="6"/>
        <v>11657924</v>
      </c>
    </row>
    <row r="56" spans="1:10">
      <c r="A56" s="12">
        <v>48</v>
      </c>
      <c r="B56" s="13" t="s">
        <v>222</v>
      </c>
      <c r="C56" s="14">
        <f>'Table 7 Local Revenue'!AE55</f>
        <v>13018061</v>
      </c>
      <c r="D56" s="14">
        <f>'Table 7 Local Revenue'!H55</f>
        <v>348795451</v>
      </c>
      <c r="E56" s="14">
        <f t="shared" si="4"/>
        <v>6043699</v>
      </c>
      <c r="F56" s="288">
        <f>'Table 7 Local Revenue'!AI55</f>
        <v>18562036</v>
      </c>
      <c r="G56" s="14">
        <f>'Table 7 Local Revenue'!AM55</f>
        <v>824979378</v>
      </c>
      <c r="H56" s="14">
        <f t="shared" si="5"/>
        <v>7033675</v>
      </c>
      <c r="I56" s="241">
        <f>'Table 7 Local Revenue'!AP55</f>
        <v>208463.5</v>
      </c>
      <c r="J56" s="14">
        <f t="shared" si="6"/>
        <v>13285837.5</v>
      </c>
    </row>
    <row r="57" spans="1:10">
      <c r="A57" s="12">
        <v>49</v>
      </c>
      <c r="B57" s="13" t="s">
        <v>149</v>
      </c>
      <c r="C57" s="14">
        <f>'Table 7 Local Revenue'!AE56</f>
        <v>9715247</v>
      </c>
      <c r="D57" s="14">
        <f>'Table 7 Local Revenue'!H56</f>
        <v>495657100</v>
      </c>
      <c r="E57" s="14">
        <f t="shared" si="4"/>
        <v>8588421</v>
      </c>
      <c r="F57" s="288">
        <f>'Table 7 Local Revenue'!AI56</f>
        <v>22302404</v>
      </c>
      <c r="G57" s="14">
        <f>'Table 7 Local Revenue'!AM56</f>
        <v>1115120200</v>
      </c>
      <c r="H57" s="14">
        <f t="shared" si="5"/>
        <v>9507381</v>
      </c>
      <c r="I57" s="241">
        <f>'Table 7 Local Revenue'!AP56</f>
        <v>478841.5</v>
      </c>
      <c r="J57" s="14">
        <f t="shared" si="6"/>
        <v>18574643.5</v>
      </c>
    </row>
    <row r="58" spans="1:10">
      <c r="A58" s="18">
        <v>50</v>
      </c>
      <c r="B58" s="19" t="s">
        <v>150</v>
      </c>
      <c r="C58" s="20">
        <f>'Table 7 Local Revenue'!AE57</f>
        <v>8799373</v>
      </c>
      <c r="D58" s="20">
        <f>'Table 7 Local Revenue'!H57</f>
        <v>253905615.70000002</v>
      </c>
      <c r="E58" s="20">
        <f t="shared" si="4"/>
        <v>4399510</v>
      </c>
      <c r="F58" s="289">
        <f>'Table 7 Local Revenue'!AI57</f>
        <v>11765666</v>
      </c>
      <c r="G58" s="20">
        <f>'Table 7 Local Revenue'!AM57</f>
        <v>588283300</v>
      </c>
      <c r="H58" s="20">
        <f t="shared" si="5"/>
        <v>5015633</v>
      </c>
      <c r="I58" s="242">
        <f>'Table 7 Local Revenue'!AP57</f>
        <v>432345.5</v>
      </c>
      <c r="J58" s="20">
        <f t="shared" si="6"/>
        <v>9847488.5</v>
      </c>
    </row>
    <row r="59" spans="1:10">
      <c r="A59" s="12">
        <v>51</v>
      </c>
      <c r="B59" s="13" t="s">
        <v>151</v>
      </c>
      <c r="C59" s="14">
        <f>'Table 7 Local Revenue'!AE58</f>
        <v>19008407</v>
      </c>
      <c r="D59" s="14">
        <f>'Table 7 Local Revenue'!H58</f>
        <v>564079534.70000005</v>
      </c>
      <c r="E59" s="14">
        <f t="shared" si="4"/>
        <v>9774000</v>
      </c>
      <c r="F59" s="288">
        <f>'Table 7 Local Revenue'!AI58</f>
        <v>17685184</v>
      </c>
      <c r="G59" s="14">
        <f>'Table 7 Local Revenue'!AM58</f>
        <v>995685048.89999998</v>
      </c>
      <c r="H59" s="14">
        <f t="shared" si="5"/>
        <v>8489091</v>
      </c>
      <c r="I59" s="241">
        <f>'Table 7 Local Revenue'!AP58</f>
        <v>495361</v>
      </c>
      <c r="J59" s="14">
        <f t="shared" si="6"/>
        <v>18758452</v>
      </c>
    </row>
    <row r="60" spans="1:10">
      <c r="A60" s="12">
        <v>52</v>
      </c>
      <c r="B60" s="13" t="s">
        <v>152</v>
      </c>
      <c r="C60" s="14">
        <f>'Table 7 Local Revenue'!AE59</f>
        <v>103806718</v>
      </c>
      <c r="D60" s="14">
        <f>'Table 7 Local Revenue'!H59</f>
        <v>1573739407</v>
      </c>
      <c r="E60" s="14">
        <f t="shared" si="4"/>
        <v>27268724</v>
      </c>
      <c r="F60" s="288">
        <f>'Table 7 Local Revenue'!AI59</f>
        <v>75235263</v>
      </c>
      <c r="G60" s="14">
        <f>'Table 7 Local Revenue'!AM59</f>
        <v>3761763150</v>
      </c>
      <c r="H60" s="14">
        <f t="shared" si="5"/>
        <v>32072341</v>
      </c>
      <c r="I60" s="241">
        <f>'Table 7 Local Revenue'!AP59</f>
        <v>1943649</v>
      </c>
      <c r="J60" s="14">
        <f t="shared" si="6"/>
        <v>61284714</v>
      </c>
    </row>
    <row r="61" spans="1:10">
      <c r="A61" s="12">
        <v>53</v>
      </c>
      <c r="B61" s="13" t="s">
        <v>153</v>
      </c>
      <c r="C61" s="14">
        <f>'Table 7 Local Revenue'!AE60</f>
        <v>5224571</v>
      </c>
      <c r="D61" s="14">
        <f>'Table 7 Local Revenue'!H60</f>
        <v>490813260</v>
      </c>
      <c r="E61" s="14">
        <f t="shared" si="4"/>
        <v>8504490</v>
      </c>
      <c r="F61" s="288">
        <f>'Table 7 Local Revenue'!AI60</f>
        <v>31322414</v>
      </c>
      <c r="G61" s="14">
        <f>'Table 7 Local Revenue'!AM60</f>
        <v>1566120700</v>
      </c>
      <c r="H61" s="14">
        <f t="shared" si="5"/>
        <v>13352557</v>
      </c>
      <c r="I61" s="241">
        <f>'Table 7 Local Revenue'!AP60</f>
        <v>139130</v>
      </c>
      <c r="J61" s="14">
        <f t="shared" si="6"/>
        <v>21996177</v>
      </c>
    </row>
    <row r="62" spans="1:10">
      <c r="A62" s="12">
        <v>54</v>
      </c>
      <c r="B62" s="13" t="s">
        <v>154</v>
      </c>
      <c r="C62" s="14">
        <f>'Table 7 Local Revenue'!AE61</f>
        <v>1501999</v>
      </c>
      <c r="D62" s="14">
        <f>'Table 7 Local Revenue'!H61</f>
        <v>40713583</v>
      </c>
      <c r="E62" s="14">
        <f t="shared" si="4"/>
        <v>705458</v>
      </c>
      <c r="F62" s="288">
        <f>'Table 7 Local Revenue'!AI61</f>
        <v>594679</v>
      </c>
      <c r="G62" s="14">
        <f>'Table 7 Local Revenue'!AM61</f>
        <v>39645267</v>
      </c>
      <c r="H62" s="14">
        <f t="shared" si="5"/>
        <v>338011</v>
      </c>
      <c r="I62" s="241">
        <f>'Table 7 Local Revenue'!AP61</f>
        <v>52973.5</v>
      </c>
      <c r="J62" s="14">
        <f t="shared" si="6"/>
        <v>1096442.5</v>
      </c>
    </row>
    <row r="63" spans="1:10">
      <c r="A63" s="18">
        <v>55</v>
      </c>
      <c r="B63" s="19" t="s">
        <v>155</v>
      </c>
      <c r="C63" s="20">
        <f>'Table 7 Local Revenue'!AE62</f>
        <v>6511225</v>
      </c>
      <c r="D63" s="20">
        <f>'Table 7 Local Revenue'!H62</f>
        <v>741791975</v>
      </c>
      <c r="E63" s="20">
        <f t="shared" si="4"/>
        <v>12853285</v>
      </c>
      <c r="F63" s="289">
        <f>'Table 7 Local Revenue'!AI62</f>
        <v>46884621</v>
      </c>
      <c r="G63" s="20">
        <f>'Table 7 Local Revenue'!AM62</f>
        <v>2254068317</v>
      </c>
      <c r="H63" s="20">
        <f t="shared" si="5"/>
        <v>19217916</v>
      </c>
      <c r="I63" s="242">
        <f>'Table 7 Local Revenue'!AP62</f>
        <v>406862</v>
      </c>
      <c r="J63" s="20">
        <f t="shared" si="6"/>
        <v>32478063</v>
      </c>
    </row>
    <row r="64" spans="1:10">
      <c r="A64" s="12">
        <v>56</v>
      </c>
      <c r="B64" s="13" t="s">
        <v>156</v>
      </c>
      <c r="C64" s="14">
        <f>'Table 7 Local Revenue'!AE63</f>
        <v>3605770</v>
      </c>
      <c r="D64" s="14">
        <f>'Table 7 Local Revenue'!H63</f>
        <v>144004495.80000001</v>
      </c>
      <c r="E64" s="14">
        <f t="shared" si="4"/>
        <v>2495215</v>
      </c>
      <c r="F64" s="288">
        <f>'Table 7 Local Revenue'!AI63</f>
        <v>4787471</v>
      </c>
      <c r="G64" s="14">
        <f>'Table 7 Local Revenue'!AM63</f>
        <v>239373550</v>
      </c>
      <c r="H64" s="14">
        <f t="shared" si="5"/>
        <v>2040870</v>
      </c>
      <c r="I64" s="241">
        <f>'Table 7 Local Revenue'!AP63</f>
        <v>151687.5</v>
      </c>
      <c r="J64" s="14">
        <f t="shared" si="6"/>
        <v>4687772.5</v>
      </c>
    </row>
    <row r="65" spans="1:10">
      <c r="A65" s="12">
        <v>57</v>
      </c>
      <c r="B65" s="13" t="s">
        <v>157</v>
      </c>
      <c r="C65" s="14">
        <f>'Table 7 Local Revenue'!AE64</f>
        <v>12091196</v>
      </c>
      <c r="D65" s="14">
        <f>'Table 7 Local Revenue'!H64</f>
        <v>309620720</v>
      </c>
      <c r="E65" s="14">
        <f t="shared" si="4"/>
        <v>5364905</v>
      </c>
      <c r="F65" s="288">
        <f>'Table 7 Local Revenue'!AI64</f>
        <v>11023107</v>
      </c>
      <c r="G65" s="14">
        <f>'Table 7 Local Revenue'!AM64</f>
        <v>716728452.94999993</v>
      </c>
      <c r="H65" s="14">
        <f t="shared" si="5"/>
        <v>6110741</v>
      </c>
      <c r="I65" s="241">
        <f>'Table 7 Local Revenue'!AP64</f>
        <v>2377214</v>
      </c>
      <c r="J65" s="14">
        <f t="shared" si="6"/>
        <v>13852860</v>
      </c>
    </row>
    <row r="66" spans="1:10">
      <c r="A66" s="12">
        <v>58</v>
      </c>
      <c r="B66" s="13" t="s">
        <v>158</v>
      </c>
      <c r="C66" s="14">
        <f>'Table 7 Local Revenue'!AE65</f>
        <v>6132455</v>
      </c>
      <c r="D66" s="14">
        <f>'Table 7 Local Revenue'!H65</f>
        <v>117095033</v>
      </c>
      <c r="E66" s="14">
        <f t="shared" si="4"/>
        <v>2028946</v>
      </c>
      <c r="F66" s="288">
        <f>'Table 7 Local Revenue'!AI65</f>
        <v>10811799</v>
      </c>
      <c r="G66" s="14">
        <f>'Table 7 Local Revenue'!AM65</f>
        <v>540589950</v>
      </c>
      <c r="H66" s="14">
        <f t="shared" si="5"/>
        <v>4609005</v>
      </c>
      <c r="I66" s="241">
        <f>'Table 7 Local Revenue'!AP65</f>
        <v>432567</v>
      </c>
      <c r="J66" s="14">
        <f t="shared" si="6"/>
        <v>7070518</v>
      </c>
    </row>
    <row r="67" spans="1:10">
      <c r="A67" s="12">
        <v>59</v>
      </c>
      <c r="B67" s="13" t="s">
        <v>159</v>
      </c>
      <c r="C67" s="14">
        <f>'Table 7 Local Revenue'!AE66</f>
        <v>4637189</v>
      </c>
      <c r="D67" s="14">
        <f>'Table 7 Local Revenue'!H66</f>
        <v>82193101</v>
      </c>
      <c r="E67" s="14">
        <f t="shared" si="4"/>
        <v>1424188</v>
      </c>
      <c r="F67" s="288">
        <f>'Table 7 Local Revenue'!AI66</f>
        <v>3958010</v>
      </c>
      <c r="G67" s="14">
        <f>'Table 7 Local Revenue'!AM66</f>
        <v>197900500</v>
      </c>
      <c r="H67" s="14">
        <f t="shared" si="5"/>
        <v>1687276</v>
      </c>
      <c r="I67" s="241">
        <f>'Table 7 Local Revenue'!AP66</f>
        <v>161850</v>
      </c>
      <c r="J67" s="14">
        <f t="shared" si="6"/>
        <v>3273314</v>
      </c>
    </row>
    <row r="68" spans="1:10">
      <c r="A68" s="18">
        <v>60</v>
      </c>
      <c r="B68" s="19" t="s">
        <v>160</v>
      </c>
      <c r="C68" s="20">
        <f>'Table 7 Local Revenue'!AE67</f>
        <v>11304862</v>
      </c>
      <c r="D68" s="20">
        <f>'Table 7 Local Revenue'!H67</f>
        <v>228007251</v>
      </c>
      <c r="E68" s="20">
        <f t="shared" si="4"/>
        <v>3950760</v>
      </c>
      <c r="F68" s="289">
        <f>'Table 7 Local Revenue'!AI67</f>
        <v>14308091</v>
      </c>
      <c r="G68" s="20">
        <f>'Table 7 Local Revenue'!AM67</f>
        <v>671741362</v>
      </c>
      <c r="H68" s="20">
        <f t="shared" si="5"/>
        <v>5727186</v>
      </c>
      <c r="I68" s="242">
        <f>'Table 7 Local Revenue'!AP67</f>
        <v>354884.5</v>
      </c>
      <c r="J68" s="20">
        <f t="shared" si="6"/>
        <v>10032830.5</v>
      </c>
    </row>
    <row r="69" spans="1:10">
      <c r="A69" s="12">
        <v>61</v>
      </c>
      <c r="B69" s="13" t="s">
        <v>161</v>
      </c>
      <c r="C69" s="14">
        <f>'Table 7 Local Revenue'!AE68</f>
        <v>11598428</v>
      </c>
      <c r="D69" s="14">
        <f>'Table 7 Local Revenue'!H68</f>
        <v>328455777</v>
      </c>
      <c r="E69" s="14">
        <f t="shared" si="4"/>
        <v>5691266</v>
      </c>
      <c r="F69" s="288">
        <f>'Table 7 Local Revenue'!AI68</f>
        <v>10207463</v>
      </c>
      <c r="G69" s="14">
        <f>'Table 7 Local Revenue'!AM68</f>
        <v>510373150</v>
      </c>
      <c r="H69" s="14">
        <f t="shared" si="5"/>
        <v>4351380</v>
      </c>
      <c r="I69" s="241">
        <f>'Table 7 Local Revenue'!AP68</f>
        <v>210970.5</v>
      </c>
      <c r="J69" s="14">
        <f t="shared" si="6"/>
        <v>10253616.5</v>
      </c>
    </row>
    <row r="70" spans="1:10">
      <c r="A70" s="12">
        <v>62</v>
      </c>
      <c r="B70" s="13" t="s">
        <v>162</v>
      </c>
      <c r="C70" s="14">
        <f>'Table 7 Local Revenue'!AE69</f>
        <v>1243680</v>
      </c>
      <c r="D70" s="14">
        <f>'Table 7 Local Revenue'!H69</f>
        <v>50448171</v>
      </c>
      <c r="E70" s="14">
        <f t="shared" si="4"/>
        <v>874133</v>
      </c>
      <c r="F70" s="288">
        <f>'Table 7 Local Revenue'!AI69</f>
        <v>2272494</v>
      </c>
      <c r="G70" s="14">
        <f>'Table 7 Local Revenue'!AM69</f>
        <v>113624700</v>
      </c>
      <c r="H70" s="14">
        <f t="shared" si="5"/>
        <v>968751</v>
      </c>
      <c r="I70" s="241">
        <f>'Table 7 Local Revenue'!AP69</f>
        <v>97717.5</v>
      </c>
      <c r="J70" s="14">
        <f t="shared" si="6"/>
        <v>1940601.5</v>
      </c>
    </row>
    <row r="71" spans="1:10">
      <c r="A71" s="12">
        <v>63</v>
      </c>
      <c r="B71" s="13" t="s">
        <v>163</v>
      </c>
      <c r="C71" s="14">
        <f>'Table 7 Local Revenue'!AE70</f>
        <v>9895935</v>
      </c>
      <c r="D71" s="14">
        <f>'Table 7 Local Revenue'!H70</f>
        <v>271070965</v>
      </c>
      <c r="E71" s="14">
        <f t="shared" si="4"/>
        <v>4696940</v>
      </c>
      <c r="F71" s="288">
        <f>'Table 7 Local Revenue'!AI70</f>
        <v>4158235</v>
      </c>
      <c r="G71" s="14">
        <f>'Table 7 Local Revenue'!AM70</f>
        <v>166329400</v>
      </c>
      <c r="H71" s="14">
        <f t="shared" si="5"/>
        <v>1418105</v>
      </c>
      <c r="I71" s="241">
        <f>'Table 7 Local Revenue'!AP70</f>
        <v>55770.5</v>
      </c>
      <c r="J71" s="14">
        <f t="shared" si="6"/>
        <v>6170815.5</v>
      </c>
    </row>
    <row r="72" spans="1:10">
      <c r="A72" s="12">
        <v>64</v>
      </c>
      <c r="B72" s="13" t="s">
        <v>164</v>
      </c>
      <c r="C72" s="14">
        <f>'Table 7 Local Revenue'!AE71</f>
        <v>2852830</v>
      </c>
      <c r="D72" s="14">
        <f>'Table 7 Local Revenue'!H71</f>
        <v>65071153.400000006</v>
      </c>
      <c r="E72" s="14">
        <f t="shared" si="4"/>
        <v>1127510</v>
      </c>
      <c r="F72" s="288">
        <f>'Table 7 Local Revenue'!AI71</f>
        <v>3504036</v>
      </c>
      <c r="G72" s="14">
        <f>'Table 7 Local Revenue'!AM71</f>
        <v>175201800</v>
      </c>
      <c r="H72" s="14">
        <f t="shared" si="5"/>
        <v>1493750</v>
      </c>
      <c r="I72" s="241">
        <f>'Table 7 Local Revenue'!AP71</f>
        <v>309841</v>
      </c>
      <c r="J72" s="14">
        <f t="shared" si="6"/>
        <v>2931101</v>
      </c>
    </row>
    <row r="73" spans="1:10">
      <c r="A73" s="18">
        <v>65</v>
      </c>
      <c r="B73" s="19" t="s">
        <v>165</v>
      </c>
      <c r="C73" s="20">
        <f>'Table 7 Local Revenue'!AE72</f>
        <v>15020608</v>
      </c>
      <c r="D73" s="20">
        <f>'Table 7 Local Revenue'!H72</f>
        <v>337062437</v>
      </c>
      <c r="E73" s="20">
        <f>ROUND(D73*$E$6/1000,0)</f>
        <v>5840397</v>
      </c>
      <c r="F73" s="289">
        <f>'Table 7 Local Revenue'!AI72</f>
        <v>24878003</v>
      </c>
      <c r="G73" s="20">
        <f>'Table 7 Local Revenue'!AM72</f>
        <v>1243900150</v>
      </c>
      <c r="H73" s="20">
        <f>ROUND(G73*$H$6,0)</f>
        <v>10605343</v>
      </c>
      <c r="I73" s="242">
        <f>'Table 7 Local Revenue'!AP72</f>
        <v>303721</v>
      </c>
      <c r="J73" s="20">
        <f>E73+H73+I73</f>
        <v>16749461</v>
      </c>
    </row>
    <row r="74" spans="1:10">
      <c r="A74" s="12">
        <v>66</v>
      </c>
      <c r="B74" s="13" t="s">
        <v>166</v>
      </c>
      <c r="C74" s="14">
        <f>'Table 7 Local Revenue'!AE73</f>
        <v>4719857</v>
      </c>
      <c r="D74" s="14">
        <f>'Table 7 Local Revenue'!H73</f>
        <v>78604030</v>
      </c>
      <c r="E74" s="14">
        <f>ROUND(D74*$E$6/1000,0)</f>
        <v>1361999</v>
      </c>
      <c r="F74" s="288">
        <f>'Table 7 Local Revenue'!AI73</f>
        <v>2310643</v>
      </c>
      <c r="G74" s="14">
        <f>'Table 7 Local Revenue'!AM73</f>
        <v>231064300</v>
      </c>
      <c r="H74" s="14">
        <f>ROUND(G74*$H$6,0)</f>
        <v>1970026</v>
      </c>
      <c r="I74" s="241">
        <f>'Table 7 Local Revenue'!AP73</f>
        <v>214465</v>
      </c>
      <c r="J74" s="14">
        <f>E74+H74+I74</f>
        <v>3546490</v>
      </c>
    </row>
    <row r="75" spans="1:10">
      <c r="A75" s="12">
        <v>67</v>
      </c>
      <c r="B75" s="13" t="s">
        <v>33</v>
      </c>
      <c r="C75" s="14">
        <f>'Table 7 Local Revenue'!AE74</f>
        <v>14532706</v>
      </c>
      <c r="D75" s="14">
        <f>'Table 7 Local Revenue'!H74</f>
        <v>186663350</v>
      </c>
      <c r="E75" s="14">
        <f>ROUND(D75*$E$6/1000,0)</f>
        <v>3234380</v>
      </c>
      <c r="F75" s="288">
        <f>'Table 7 Local Revenue'!AI74</f>
        <v>7761984</v>
      </c>
      <c r="G75" s="14">
        <f>'Table 7 Local Revenue'!AM74</f>
        <v>388099200</v>
      </c>
      <c r="H75" s="14">
        <f>ROUND(G75*$H$6,0)</f>
        <v>3308887</v>
      </c>
      <c r="I75" s="241">
        <f>'Table 7 Local Revenue'!AP74</f>
        <v>81064</v>
      </c>
      <c r="J75" s="14">
        <f>E75+H75+I75</f>
        <v>6624331</v>
      </c>
    </row>
    <row r="76" spans="1:10">
      <c r="A76" s="12">
        <v>68</v>
      </c>
      <c r="B76" s="13" t="s">
        <v>31</v>
      </c>
      <c r="C76" s="14">
        <f>'Table 7 Local Revenue'!AE75</f>
        <v>1821566</v>
      </c>
      <c r="D76" s="14">
        <f>'Table 7 Local Revenue'!H75</f>
        <v>44450770</v>
      </c>
      <c r="E76" s="14">
        <f>ROUND(D76*$E$6/1000,0)</f>
        <v>770214</v>
      </c>
      <c r="F76" s="288">
        <f>'Table 7 Local Revenue'!AI75</f>
        <v>3220233</v>
      </c>
      <c r="G76" s="14">
        <f>'Table 7 Local Revenue'!AM75</f>
        <v>161011650</v>
      </c>
      <c r="H76" s="14">
        <f>ROUND(G76*$H$6,0)</f>
        <v>1372766</v>
      </c>
      <c r="I76" s="241">
        <f>'Table 7 Local Revenue'!AP75</f>
        <v>45686</v>
      </c>
      <c r="J76" s="14">
        <f>E76+H76+I76</f>
        <v>2188666</v>
      </c>
    </row>
    <row r="77" spans="1:10">
      <c r="A77" s="156">
        <v>69</v>
      </c>
      <c r="B77" s="19" t="s">
        <v>235</v>
      </c>
      <c r="C77" s="14">
        <f>'Table 7 Local Revenue'!AE76</f>
        <v>6512200</v>
      </c>
      <c r="D77" s="14">
        <f>'Table 7 Local Revenue'!H76</f>
        <v>105395730</v>
      </c>
      <c r="E77" s="14">
        <f>ROUND(D77*$E$6/1000,0)</f>
        <v>1826228</v>
      </c>
      <c r="F77" s="288">
        <f>'Table 7 Local Revenue'!AI76</f>
        <v>6717258</v>
      </c>
      <c r="G77" s="14">
        <f>'Table 7 Local Revenue'!AM76</f>
        <v>268690320</v>
      </c>
      <c r="H77" s="14">
        <f>ROUND(G77*$H$6,0)</f>
        <v>2290821</v>
      </c>
      <c r="I77" s="241">
        <f>'Table 7 Local Revenue'!AP76</f>
        <v>0</v>
      </c>
      <c r="J77" s="14">
        <f>E77+H77+I77</f>
        <v>4117049</v>
      </c>
    </row>
    <row r="78" spans="1:10" ht="13.5" thickBot="1">
      <c r="A78" s="17"/>
      <c r="B78" s="43" t="s">
        <v>98</v>
      </c>
      <c r="C78" s="44">
        <f t="shared" ref="C78:J78" si="7">SUM(C9:C77)</f>
        <v>1308298117</v>
      </c>
      <c r="D78" s="44">
        <f t="shared" si="7"/>
        <v>32368249012.300007</v>
      </c>
      <c r="E78" s="44">
        <f t="shared" si="7"/>
        <v>560855785</v>
      </c>
      <c r="F78" s="44">
        <f t="shared" si="7"/>
        <v>1644278388</v>
      </c>
      <c r="G78" s="44">
        <f t="shared" si="7"/>
        <v>81720840432.400009</v>
      </c>
      <c r="H78" s="44">
        <f t="shared" si="7"/>
        <v>696742078</v>
      </c>
      <c r="I78" s="274">
        <f t="shared" si="7"/>
        <v>38141997.5</v>
      </c>
      <c r="J78" s="44">
        <f t="shared" si="7"/>
        <v>1295739860.5</v>
      </c>
    </row>
    <row r="79" spans="1:10" ht="7.5" customHeight="1" thickTop="1"/>
    <row r="80" spans="1:10" hidden="1"/>
    <row r="81" spans="5:6" hidden="1">
      <c r="F81" s="449">
        <f>'Table 3 Levels 1&amp;2'!V77</f>
        <v>0.65</v>
      </c>
    </row>
    <row r="82" spans="5:6" hidden="1"/>
    <row r="84" spans="5:6" ht="18">
      <c r="E84" s="238"/>
      <c r="F84" s="239"/>
    </row>
  </sheetData>
  <mergeCells count="10">
    <mergeCell ref="A4:A6"/>
    <mergeCell ref="B4:B6"/>
    <mergeCell ref="C4:E4"/>
    <mergeCell ref="F4:J4"/>
    <mergeCell ref="C5:C6"/>
    <mergeCell ref="D5:D6"/>
    <mergeCell ref="F5:F6"/>
    <mergeCell ref="G5:G6"/>
    <mergeCell ref="I5:I6"/>
    <mergeCell ref="J5:J6"/>
  </mergeCells>
  <phoneticPr fontId="0" type="noConversion"/>
  <printOptions horizontalCentered="1"/>
  <pageMargins left="0.68" right="0.28999999999999998" top="1.19" bottom="0.38" header="0.33" footer="0.18"/>
  <pageSetup paperSize="5" scale="87" firstPageNumber="95" orientation="portrait" useFirstPageNumber="1" r:id="rId1"/>
  <headerFooter alignWithMargins="0">
    <oddHeader>&amp;L&amp;"Arial,Bold"&amp;18TABLE 6: FY2012-13 Budget Letter 
Local Deduction Calculation</oddHeader>
    <oddFooter>&amp;R&amp;12&amp;P</oddFooter>
  </headerFooter>
  <colBreaks count="1" manualBreakCount="1">
    <brk id="5" min="2" max="76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dimension ref="A1:AS86"/>
  <sheetViews>
    <sheetView view="pageBreakPreview" topLeftCell="A3" zoomScaleNormal="85" zoomScaleSheetLayoutView="100" workbookViewId="0">
      <pane xSplit="2" ySplit="4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3" sqref="A3:A5"/>
    </sheetView>
  </sheetViews>
  <sheetFormatPr defaultRowHeight="12.75"/>
  <cols>
    <col min="1" max="1" width="4.7109375" customWidth="1"/>
    <col min="2" max="2" width="18.5703125" customWidth="1"/>
    <col min="3" max="3" width="16" customWidth="1"/>
    <col min="4" max="4" width="14.85546875" customWidth="1"/>
    <col min="5" max="5" width="15.7109375" customWidth="1"/>
    <col min="6" max="6" width="15.28515625" customWidth="1"/>
    <col min="7" max="7" width="9" customWidth="1"/>
    <col min="8" max="8" width="15.85546875" customWidth="1"/>
    <col min="9" max="9" width="10.42578125" bestFit="1" customWidth="1"/>
    <col min="10" max="10" width="13.140625" bestFit="1" customWidth="1"/>
    <col min="11" max="11" width="10.42578125" bestFit="1" customWidth="1"/>
    <col min="12" max="12" width="13" customWidth="1"/>
    <col min="13" max="15" width="8.28515625" bestFit="1" customWidth="1"/>
    <col min="16" max="16" width="11.7109375" bestFit="1" customWidth="1"/>
    <col min="17" max="17" width="15.42578125" customWidth="1"/>
    <col min="18" max="18" width="7.85546875" customWidth="1"/>
    <col min="19" max="19" width="17.140625" bestFit="1" customWidth="1"/>
    <col min="20" max="21" width="10.7109375" customWidth="1"/>
    <col min="22" max="22" width="9.140625" customWidth="1"/>
    <col min="23" max="23" width="16.5703125" bestFit="1" customWidth="1"/>
    <col min="24" max="24" width="13" bestFit="1" customWidth="1"/>
    <col min="25" max="25" width="12.85546875" customWidth="1"/>
    <col min="26" max="26" width="14.42578125" customWidth="1"/>
    <col min="27" max="27" width="12.85546875" customWidth="1"/>
    <col min="28" max="30" width="10.7109375" customWidth="1"/>
    <col min="31" max="31" width="16.140625" customWidth="1"/>
    <col min="32" max="32" width="10.5703125" customWidth="1"/>
    <col min="33" max="33" width="16.42578125" bestFit="1" customWidth="1"/>
    <col min="34" max="34" width="15.42578125" bestFit="1" customWidth="1"/>
    <col min="35" max="35" width="18.42578125" customWidth="1"/>
    <col min="36" max="36" width="16.85546875" bestFit="1" customWidth="1"/>
    <col min="37" max="37" width="17.42578125" bestFit="1" customWidth="1"/>
    <col min="38" max="38" width="12.28515625" bestFit="1" customWidth="1"/>
    <col min="39" max="39" width="20.140625" bestFit="1" customWidth="1"/>
    <col min="40" max="41" width="13.42578125" bestFit="1" customWidth="1"/>
    <col min="42" max="42" width="23.85546875" customWidth="1"/>
    <col min="43" max="43" width="19.140625" bestFit="1" customWidth="1"/>
    <col min="44" max="44" width="14.42578125" bestFit="1" customWidth="1"/>
    <col min="45" max="45" width="10.42578125" bestFit="1" customWidth="1"/>
  </cols>
  <sheetData>
    <row r="1" spans="1:44" ht="20.25" hidden="1">
      <c r="A1" s="48" t="s">
        <v>223</v>
      </c>
      <c r="B1" s="153"/>
      <c r="C1" s="154"/>
      <c r="D1" s="155"/>
      <c r="E1" s="155"/>
      <c r="F1" s="155"/>
      <c r="G1" s="155"/>
      <c r="H1" s="155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144"/>
      <c r="AF1" s="145"/>
      <c r="AG1" s="2"/>
      <c r="AH1" s="2"/>
      <c r="AI1" s="2"/>
      <c r="AJ1" s="2"/>
      <c r="AK1" s="2"/>
      <c r="AL1" s="2"/>
      <c r="AM1" s="2"/>
      <c r="AN1" s="2"/>
      <c r="AO1" s="2"/>
      <c r="AP1" s="146"/>
      <c r="AQ1" s="2"/>
    </row>
    <row r="2" spans="1:44" ht="40.5" hidden="1">
      <c r="A2" s="48"/>
      <c r="C2" s="1939" t="s">
        <v>26</v>
      </c>
      <c r="D2" s="1940"/>
      <c r="E2" s="128"/>
      <c r="F2" s="128"/>
      <c r="G2" s="128"/>
      <c r="H2" s="128"/>
      <c r="I2" s="153" t="s">
        <v>41</v>
      </c>
      <c r="J2" s="153" t="s">
        <v>42</v>
      </c>
      <c r="K2" s="153" t="s">
        <v>43</v>
      </c>
      <c r="L2" s="153" t="s">
        <v>44</v>
      </c>
      <c r="M2" s="153" t="s">
        <v>45</v>
      </c>
      <c r="N2" s="153" t="s">
        <v>46</v>
      </c>
      <c r="O2" s="153" t="s">
        <v>47</v>
      </c>
      <c r="P2" s="153" t="s">
        <v>48</v>
      </c>
      <c r="Q2" s="128" t="s">
        <v>24</v>
      </c>
      <c r="R2" s="153" t="s">
        <v>49</v>
      </c>
      <c r="S2" s="153" t="s">
        <v>50</v>
      </c>
      <c r="T2" s="153" t="s">
        <v>51</v>
      </c>
      <c r="U2" s="153" t="s">
        <v>52</v>
      </c>
      <c r="V2" s="153" t="s">
        <v>53</v>
      </c>
      <c r="W2" s="153" t="s">
        <v>54</v>
      </c>
      <c r="X2" s="128" t="s">
        <v>25</v>
      </c>
      <c r="Y2" s="128" t="s">
        <v>35</v>
      </c>
      <c r="Z2" s="128" t="s">
        <v>36</v>
      </c>
      <c r="AA2" s="128" t="s">
        <v>37</v>
      </c>
      <c r="AB2" s="128" t="s">
        <v>38</v>
      </c>
      <c r="AC2" s="128" t="s">
        <v>39</v>
      </c>
      <c r="AD2" s="128" t="s">
        <v>27</v>
      </c>
      <c r="AE2" s="296"/>
      <c r="AF2" s="121" t="s">
        <v>72</v>
      </c>
      <c r="AG2" s="121" t="s">
        <v>73</v>
      </c>
      <c r="AH2" s="120" t="s">
        <v>205</v>
      </c>
      <c r="AI2" s="120"/>
      <c r="AJ2" s="122"/>
      <c r="AK2" s="122" t="s">
        <v>28</v>
      </c>
      <c r="AL2" s="183"/>
      <c r="AM2" s="183"/>
      <c r="AN2" s="128" t="s">
        <v>29</v>
      </c>
      <c r="AO2" s="128" t="s">
        <v>30</v>
      </c>
      <c r="AP2" s="133" t="s">
        <v>83</v>
      </c>
      <c r="AQ2" s="168" t="s">
        <v>22</v>
      </c>
      <c r="AR2" s="133" t="s">
        <v>84</v>
      </c>
    </row>
    <row r="3" spans="1:44" ht="39.75" customHeight="1">
      <c r="A3" s="1670" t="s">
        <v>203</v>
      </c>
      <c r="B3" s="1670" t="s">
        <v>3</v>
      </c>
      <c r="C3" s="1942" t="s">
        <v>744</v>
      </c>
      <c r="D3" s="1943"/>
      <c r="E3" s="1944"/>
      <c r="F3" s="1944"/>
      <c r="G3" s="1944"/>
      <c r="H3" s="1945"/>
      <c r="I3" s="1921" t="s">
        <v>4</v>
      </c>
      <c r="J3" s="1923"/>
      <c r="K3" s="1936" t="s">
        <v>55</v>
      </c>
      <c r="L3" s="1937"/>
      <c r="M3" s="1937"/>
      <c r="N3" s="1937"/>
      <c r="O3" s="1937"/>
      <c r="P3" s="1941"/>
      <c r="Q3" s="1928" t="s">
        <v>249</v>
      </c>
      <c r="R3" s="1936" t="s">
        <v>56</v>
      </c>
      <c r="S3" s="1937"/>
      <c r="T3" s="1937"/>
      <c r="U3" s="1937"/>
      <c r="V3" s="1937"/>
      <c r="W3" s="1941"/>
      <c r="X3" s="1928" t="s">
        <v>57</v>
      </c>
      <c r="Y3" s="1936" t="s">
        <v>40</v>
      </c>
      <c r="Z3" s="1937"/>
      <c r="AA3" s="1937"/>
      <c r="AB3" s="1937"/>
      <c r="AC3" s="1937"/>
      <c r="AD3" s="1937"/>
      <c r="AE3" s="1928" t="s">
        <v>735</v>
      </c>
      <c r="AF3" s="1936" t="s">
        <v>76</v>
      </c>
      <c r="AG3" s="1937"/>
      <c r="AH3" s="1937"/>
      <c r="AI3" s="1928" t="s">
        <v>736</v>
      </c>
      <c r="AJ3" s="1936" t="s">
        <v>99</v>
      </c>
      <c r="AK3" s="1937"/>
      <c r="AL3" s="1937"/>
      <c r="AM3" s="1937"/>
      <c r="AN3" s="1937"/>
      <c r="AO3" s="1941"/>
      <c r="AP3" s="1933" t="s">
        <v>739</v>
      </c>
      <c r="AQ3" s="1927" t="s">
        <v>279</v>
      </c>
      <c r="AR3" s="1924" t="s">
        <v>292</v>
      </c>
    </row>
    <row r="4" spans="1:44" ht="71.25" customHeight="1">
      <c r="A4" s="1919"/>
      <c r="B4" s="1919"/>
      <c r="C4" s="1867" t="s">
        <v>730</v>
      </c>
      <c r="D4" s="1867" t="s">
        <v>731</v>
      </c>
      <c r="E4" s="1670" t="s">
        <v>732</v>
      </c>
      <c r="F4" s="1867" t="s">
        <v>733</v>
      </c>
      <c r="G4" s="1867" t="s">
        <v>236</v>
      </c>
      <c r="H4" s="67" t="s">
        <v>734</v>
      </c>
      <c r="I4" s="1938" t="s">
        <v>8</v>
      </c>
      <c r="J4" s="1938" t="s">
        <v>58</v>
      </c>
      <c r="K4" s="1938" t="s">
        <v>8</v>
      </c>
      <c r="L4" s="1938" t="s">
        <v>58</v>
      </c>
      <c r="M4" s="1938" t="s">
        <v>59</v>
      </c>
      <c r="N4" s="1938" t="s">
        <v>60</v>
      </c>
      <c r="O4" s="1938" t="s">
        <v>61</v>
      </c>
      <c r="P4" s="1938" t="s">
        <v>268</v>
      </c>
      <c r="Q4" s="1929"/>
      <c r="R4" s="1938" t="s">
        <v>8</v>
      </c>
      <c r="S4" s="1938" t="s">
        <v>13</v>
      </c>
      <c r="T4" s="1938" t="s">
        <v>9</v>
      </c>
      <c r="U4" s="1938" t="s">
        <v>10</v>
      </c>
      <c r="V4" s="1938" t="s">
        <v>11</v>
      </c>
      <c r="W4" s="1938" t="s">
        <v>12</v>
      </c>
      <c r="X4" s="1929"/>
      <c r="Y4" s="1938" t="s">
        <v>18</v>
      </c>
      <c r="Z4" s="1938" t="s">
        <v>17</v>
      </c>
      <c r="AA4" s="1938" t="s">
        <v>16</v>
      </c>
      <c r="AB4" s="1938" t="s">
        <v>15</v>
      </c>
      <c r="AC4" s="1938" t="s">
        <v>14</v>
      </c>
      <c r="AD4" s="1938" t="s">
        <v>19</v>
      </c>
      <c r="AE4" s="1929"/>
      <c r="AF4" s="1932" t="s">
        <v>5</v>
      </c>
      <c r="AG4" s="1932" t="s">
        <v>6</v>
      </c>
      <c r="AH4" s="1932" t="s">
        <v>7</v>
      </c>
      <c r="AI4" s="1929"/>
      <c r="AJ4" s="1931" t="s">
        <v>737</v>
      </c>
      <c r="AK4" s="1931" t="s">
        <v>738</v>
      </c>
      <c r="AL4" s="1931" t="s">
        <v>230</v>
      </c>
      <c r="AM4" s="389" t="s">
        <v>97</v>
      </c>
      <c r="AN4" s="1932" t="s">
        <v>100</v>
      </c>
      <c r="AO4" s="1932" t="s">
        <v>20</v>
      </c>
      <c r="AP4" s="1934"/>
      <c r="AQ4" s="1925"/>
      <c r="AR4" s="1925"/>
    </row>
    <row r="5" spans="1:44" s="441" customFormat="1" ht="16.5" customHeight="1">
      <c r="A5" s="1920"/>
      <c r="B5" s="1920"/>
      <c r="C5" s="1867"/>
      <c r="D5" s="1867"/>
      <c r="E5" s="1672"/>
      <c r="F5" s="1867"/>
      <c r="G5" s="1867"/>
      <c r="H5" s="617">
        <v>0.1</v>
      </c>
      <c r="I5" s="1938"/>
      <c r="J5" s="1938"/>
      <c r="K5" s="1938"/>
      <c r="L5" s="1938"/>
      <c r="M5" s="1938"/>
      <c r="N5" s="1938"/>
      <c r="O5" s="1938"/>
      <c r="P5" s="1938"/>
      <c r="Q5" s="1930"/>
      <c r="R5" s="1938"/>
      <c r="S5" s="1938"/>
      <c r="T5" s="1938"/>
      <c r="U5" s="1938"/>
      <c r="V5" s="1938"/>
      <c r="W5" s="1938"/>
      <c r="X5" s="1930"/>
      <c r="Y5" s="1938"/>
      <c r="Z5" s="1938"/>
      <c r="AA5" s="1938"/>
      <c r="AB5" s="1938"/>
      <c r="AC5" s="1938"/>
      <c r="AD5" s="1938"/>
      <c r="AE5" s="1930"/>
      <c r="AF5" s="1932"/>
      <c r="AG5" s="1932"/>
      <c r="AH5" s="1932"/>
      <c r="AI5" s="1930"/>
      <c r="AJ5" s="1931"/>
      <c r="AK5" s="1931"/>
      <c r="AL5" s="1931"/>
      <c r="AM5" s="617">
        <v>0.15</v>
      </c>
      <c r="AN5" s="1932"/>
      <c r="AO5" s="1932"/>
      <c r="AP5" s="1935"/>
      <c r="AQ5" s="1926"/>
      <c r="AR5" s="1926"/>
    </row>
    <row r="6" spans="1:44">
      <c r="A6" s="63"/>
      <c r="B6" s="71"/>
      <c r="C6" s="233">
        <v>1</v>
      </c>
      <c r="D6" s="232">
        <f>C6+1</f>
        <v>2</v>
      </c>
      <c r="E6" s="232">
        <v>3</v>
      </c>
      <c r="F6" s="273" t="s">
        <v>245</v>
      </c>
      <c r="G6" s="273" t="s">
        <v>246</v>
      </c>
      <c r="H6" s="219" t="s">
        <v>247</v>
      </c>
      <c r="I6" s="218">
        <f>E6+1</f>
        <v>4</v>
      </c>
      <c r="J6" s="232">
        <f t="shared" ref="J6:AR6" si="0">I6+1</f>
        <v>5</v>
      </c>
      <c r="K6" s="232">
        <f t="shared" si="0"/>
        <v>6</v>
      </c>
      <c r="L6" s="232">
        <f t="shared" si="0"/>
        <v>7</v>
      </c>
      <c r="M6" s="232">
        <f t="shared" si="0"/>
        <v>8</v>
      </c>
      <c r="N6" s="232">
        <f t="shared" si="0"/>
        <v>9</v>
      </c>
      <c r="O6" s="232">
        <f t="shared" si="0"/>
        <v>10</v>
      </c>
      <c r="P6" s="232">
        <f t="shared" si="0"/>
        <v>11</v>
      </c>
      <c r="Q6" s="232">
        <f t="shared" si="0"/>
        <v>12</v>
      </c>
      <c r="R6" s="232">
        <f t="shared" si="0"/>
        <v>13</v>
      </c>
      <c r="S6" s="232">
        <f t="shared" si="0"/>
        <v>14</v>
      </c>
      <c r="T6" s="232">
        <f t="shared" si="0"/>
        <v>15</v>
      </c>
      <c r="U6" s="232">
        <f t="shared" si="0"/>
        <v>16</v>
      </c>
      <c r="V6" s="232">
        <f t="shared" si="0"/>
        <v>17</v>
      </c>
      <c r="W6" s="232">
        <f t="shared" si="0"/>
        <v>18</v>
      </c>
      <c r="X6" s="232">
        <f t="shared" si="0"/>
        <v>19</v>
      </c>
      <c r="Y6" s="232">
        <f t="shared" si="0"/>
        <v>20</v>
      </c>
      <c r="Z6" s="232">
        <f t="shared" si="0"/>
        <v>21</v>
      </c>
      <c r="AA6" s="232">
        <f t="shared" si="0"/>
        <v>22</v>
      </c>
      <c r="AB6" s="232">
        <f t="shared" si="0"/>
        <v>23</v>
      </c>
      <c r="AC6" s="232">
        <f t="shared" si="0"/>
        <v>24</v>
      </c>
      <c r="AD6" s="232">
        <f t="shared" si="0"/>
        <v>25</v>
      </c>
      <c r="AE6" s="232">
        <f t="shared" si="0"/>
        <v>26</v>
      </c>
      <c r="AF6" s="232">
        <f t="shared" si="0"/>
        <v>27</v>
      </c>
      <c r="AG6" s="232">
        <f t="shared" si="0"/>
        <v>28</v>
      </c>
      <c r="AH6" s="232">
        <f t="shared" si="0"/>
        <v>29</v>
      </c>
      <c r="AI6" s="232">
        <f t="shared" si="0"/>
        <v>30</v>
      </c>
      <c r="AJ6" s="232">
        <f t="shared" si="0"/>
        <v>31</v>
      </c>
      <c r="AK6" s="232">
        <f t="shared" si="0"/>
        <v>32</v>
      </c>
      <c r="AL6" s="232">
        <f t="shared" si="0"/>
        <v>33</v>
      </c>
      <c r="AM6" s="232">
        <f t="shared" si="0"/>
        <v>34</v>
      </c>
      <c r="AN6" s="232">
        <f t="shared" si="0"/>
        <v>35</v>
      </c>
      <c r="AO6" s="232">
        <f t="shared" si="0"/>
        <v>36</v>
      </c>
      <c r="AP6" s="232">
        <f t="shared" si="0"/>
        <v>37</v>
      </c>
      <c r="AQ6" s="232">
        <f t="shared" si="0"/>
        <v>38</v>
      </c>
      <c r="AR6" s="218">
        <f t="shared" si="0"/>
        <v>39</v>
      </c>
    </row>
    <row r="7" spans="1:44" ht="0.75" customHeight="1">
      <c r="A7" s="9"/>
      <c r="B7" s="277"/>
      <c r="C7" s="283"/>
      <c r="D7" s="284"/>
      <c r="E7" s="284"/>
      <c r="F7" s="134"/>
      <c r="G7" s="134"/>
      <c r="H7" s="134"/>
      <c r="I7" s="363"/>
      <c r="J7" s="293"/>
      <c r="K7" s="283"/>
      <c r="L7" s="293"/>
      <c r="M7" s="283"/>
      <c r="N7" s="283"/>
      <c r="O7" s="283"/>
      <c r="P7" s="293"/>
      <c r="Q7" s="283"/>
      <c r="R7" s="283"/>
      <c r="S7" s="293"/>
      <c r="T7" s="283"/>
      <c r="U7" s="283"/>
      <c r="V7" s="283"/>
      <c r="W7" s="293"/>
      <c r="X7" s="283"/>
      <c r="Y7" s="283"/>
      <c r="Z7" s="283"/>
      <c r="AA7" s="283"/>
      <c r="AB7" s="283"/>
      <c r="AC7" s="283"/>
      <c r="AD7" s="284"/>
      <c r="AE7" s="297"/>
      <c r="AF7" s="354"/>
      <c r="AG7" s="285"/>
      <c r="AH7" s="286"/>
      <c r="AI7" s="287"/>
      <c r="AJ7" s="10"/>
      <c r="AK7" s="10"/>
      <c r="AL7" s="11"/>
      <c r="AM7" s="11"/>
      <c r="AN7" s="11"/>
      <c r="AO7" s="11"/>
      <c r="AP7" s="68"/>
      <c r="AQ7" s="135"/>
      <c r="AR7" s="135"/>
    </row>
    <row r="8" spans="1:44">
      <c r="A8" s="12">
        <v>1</v>
      </c>
      <c r="B8" s="69" t="s">
        <v>102</v>
      </c>
      <c r="C8" s="14">
        <v>368106563</v>
      </c>
      <c r="D8" s="14">
        <v>82964546</v>
      </c>
      <c r="E8" s="14">
        <f>C8-D8</f>
        <v>285142017</v>
      </c>
      <c r="F8" s="14">
        <v>269468135</v>
      </c>
      <c r="G8" s="604">
        <f>(E8-F8)/F8</f>
        <v>5.8165994283517049E-2</v>
      </c>
      <c r="H8" s="605">
        <f t="shared" ref="H8:H39" si="1">IF((E8-F8)/F8&gt;$H$5,F8*(1+$H$5),E8)</f>
        <v>285142017</v>
      </c>
      <c r="I8" s="513">
        <v>5.14</v>
      </c>
      <c r="J8" s="498">
        <v>1415481</v>
      </c>
      <c r="K8" s="513">
        <v>20.03</v>
      </c>
      <c r="L8" s="498">
        <v>5506775</v>
      </c>
      <c r="M8" s="497">
        <v>0</v>
      </c>
      <c r="N8" s="497">
        <v>13.45</v>
      </c>
      <c r="O8" s="497">
        <v>2</v>
      </c>
      <c r="P8" s="498">
        <v>955541</v>
      </c>
      <c r="Q8" s="14">
        <f>J8+L8+P8</f>
        <v>7877797</v>
      </c>
      <c r="R8" s="610">
        <v>0</v>
      </c>
      <c r="S8" s="498">
        <v>0</v>
      </c>
      <c r="T8" s="497">
        <v>0</v>
      </c>
      <c r="U8" s="497">
        <v>16.8</v>
      </c>
      <c r="V8" s="497">
        <v>5</v>
      </c>
      <c r="W8" s="498">
        <v>704587</v>
      </c>
      <c r="X8" s="14">
        <f>S8+W8</f>
        <v>704587</v>
      </c>
      <c r="Y8" s="147">
        <f>I8+K8+R8</f>
        <v>25.17</v>
      </c>
      <c r="Z8" s="14">
        <f>J8+L8+S8</f>
        <v>6922256</v>
      </c>
      <c r="AA8" s="14">
        <f>P8+W8</f>
        <v>1660128</v>
      </c>
      <c r="AB8" s="148">
        <f t="shared" ref="AB8:AB39" si="2">ROUND((X8/E8)*1000,2)</f>
        <v>2.4700000000000002</v>
      </c>
      <c r="AC8" s="149">
        <f t="shared" ref="AC8:AC39" si="3">ROUND((Q8/E8)*1000,2)</f>
        <v>27.63</v>
      </c>
      <c r="AD8" s="129">
        <f t="shared" ref="AD8:AD39" si="4">ROUND((AE8/E8)*1000,2)</f>
        <v>30.1</v>
      </c>
      <c r="AE8" s="77">
        <f>X8+Q8</f>
        <v>8582384</v>
      </c>
      <c r="AF8" s="158">
        <v>1.4999999999999999E-2</v>
      </c>
      <c r="AG8" s="290">
        <v>10086499</v>
      </c>
      <c r="AH8" s="290">
        <v>0</v>
      </c>
      <c r="AI8" s="508">
        <f>AG8+AH8</f>
        <v>10086499</v>
      </c>
      <c r="AJ8" s="77">
        <v>675398400</v>
      </c>
      <c r="AK8" s="77">
        <f t="shared" ref="AK8:AK18" si="5">ROUND(AI8/AF8,0)</f>
        <v>672433267</v>
      </c>
      <c r="AL8" s="611">
        <f>(AK8-AJ8)/AJ8</f>
        <v>-4.3901984369521755E-3</v>
      </c>
      <c r="AM8" s="614">
        <f>IF((AK8-AJ8)/AJ8&gt;$AM$5,AJ8*(1+$AM$5),AK8)</f>
        <v>672433267</v>
      </c>
      <c r="AN8" s="131">
        <f t="shared" ref="AN8:AN39" si="6">AG8/AK8</f>
        <v>1.4999999992564317E-2</v>
      </c>
      <c r="AO8" s="131">
        <f t="shared" ref="AO8:AO39" si="7">AH8/AK8</f>
        <v>0</v>
      </c>
      <c r="AP8" s="77">
        <v>453923.5</v>
      </c>
      <c r="AQ8" s="77">
        <f t="shared" ref="AQ8:AQ39" si="8">AP8+AE8+AI8</f>
        <v>19122806.5</v>
      </c>
      <c r="AR8" s="77">
        <f>ROUND(AQ8/'Table 3 Levels 1&amp;2'!C8,2)</f>
        <v>2045</v>
      </c>
    </row>
    <row r="9" spans="1:44">
      <c r="A9" s="12">
        <v>2</v>
      </c>
      <c r="B9" s="69" t="s">
        <v>103</v>
      </c>
      <c r="C9" s="14">
        <v>100424310</v>
      </c>
      <c r="D9" s="14">
        <v>25532260</v>
      </c>
      <c r="E9" s="14">
        <f t="shared" ref="E9:E72" si="9">C9-D9</f>
        <v>74892050</v>
      </c>
      <c r="F9" s="14">
        <v>75199728</v>
      </c>
      <c r="G9" s="604">
        <f t="shared" ref="G9:G72" si="10">(E9-F9)/F9</f>
        <v>-4.0914775649188518E-3</v>
      </c>
      <c r="H9" s="605">
        <f t="shared" si="1"/>
        <v>74892050</v>
      </c>
      <c r="I9" s="513">
        <v>4.28</v>
      </c>
      <c r="J9" s="498">
        <v>306170</v>
      </c>
      <c r="K9" s="513">
        <v>5.15</v>
      </c>
      <c r="L9" s="498">
        <v>368407</v>
      </c>
      <c r="M9" s="497">
        <v>12.89</v>
      </c>
      <c r="N9" s="497">
        <v>89.78</v>
      </c>
      <c r="O9" s="497">
        <v>6</v>
      </c>
      <c r="P9" s="498">
        <v>1444189</v>
      </c>
      <c r="Q9" s="14">
        <f t="shared" ref="Q9:Q72" si="11">J9+L9+P9</f>
        <v>2118766</v>
      </c>
      <c r="R9" s="497">
        <v>0</v>
      </c>
      <c r="S9" s="498">
        <v>0</v>
      </c>
      <c r="T9" s="497">
        <v>22.8</v>
      </c>
      <c r="U9" s="497">
        <v>41</v>
      </c>
      <c r="V9" s="497">
        <v>4</v>
      </c>
      <c r="W9" s="498">
        <v>1590863</v>
      </c>
      <c r="X9" s="14">
        <f t="shared" ref="X9:X72" si="12">S9+W9</f>
        <v>1590863</v>
      </c>
      <c r="Y9" s="147">
        <f t="shared" ref="Y9:Y72" si="13">I9+K9+R9</f>
        <v>9.43</v>
      </c>
      <c r="Z9" s="14">
        <f t="shared" ref="Z9:Z72" si="14">J9+L9+S9</f>
        <v>674577</v>
      </c>
      <c r="AA9" s="14">
        <f t="shared" ref="AA9:AA72" si="15">P9+W9</f>
        <v>3035052</v>
      </c>
      <c r="AB9" s="148">
        <f t="shared" si="2"/>
        <v>21.24</v>
      </c>
      <c r="AC9" s="149">
        <f t="shared" si="3"/>
        <v>28.29</v>
      </c>
      <c r="AD9" s="129">
        <f t="shared" si="4"/>
        <v>49.53</v>
      </c>
      <c r="AE9" s="77">
        <f t="shared" ref="AE9:AE72" si="16">X9+Q9</f>
        <v>3709629</v>
      </c>
      <c r="AF9" s="158">
        <v>0.03</v>
      </c>
      <c r="AG9" s="290">
        <v>6727419</v>
      </c>
      <c r="AH9" s="290">
        <v>0</v>
      </c>
      <c r="AI9" s="508">
        <f t="shared" ref="AI9:AI72" si="17">AG9+AH9</f>
        <v>6727419</v>
      </c>
      <c r="AJ9" s="77">
        <v>208582567</v>
      </c>
      <c r="AK9" s="77">
        <f t="shared" si="5"/>
        <v>224247300</v>
      </c>
      <c r="AL9" s="611">
        <f t="shared" ref="AL9:AL72" si="18">(AK9-AJ9)/AJ9</f>
        <v>7.5100873602730184E-2</v>
      </c>
      <c r="AM9" s="614">
        <f t="shared" ref="AM9:AM72" si="19">IF((AK9-AJ9)/AJ9&gt;$AM$5,AJ9*(1+$AM$5),AK9)</f>
        <v>224247300</v>
      </c>
      <c r="AN9" s="131">
        <f t="shared" si="6"/>
        <v>0.03</v>
      </c>
      <c r="AO9" s="131">
        <f t="shared" si="7"/>
        <v>0</v>
      </c>
      <c r="AP9" s="77">
        <v>100302</v>
      </c>
      <c r="AQ9" s="77">
        <f t="shared" si="8"/>
        <v>10537350</v>
      </c>
      <c r="AR9" s="77">
        <f>ROUND(AQ9/'Table 3 Levels 1&amp;2'!C9,2)</f>
        <v>2616.0300000000002</v>
      </c>
    </row>
    <row r="10" spans="1:44">
      <c r="A10" s="12">
        <v>3</v>
      </c>
      <c r="B10" s="69" t="s">
        <v>104</v>
      </c>
      <c r="C10" s="14">
        <v>1003746600</v>
      </c>
      <c r="D10" s="14">
        <v>190169730</v>
      </c>
      <c r="E10" s="14">
        <f t="shared" si="9"/>
        <v>813576870</v>
      </c>
      <c r="F10" s="14">
        <v>827139640</v>
      </c>
      <c r="G10" s="604">
        <f t="shared" si="10"/>
        <v>-1.6397195037104014E-2</v>
      </c>
      <c r="H10" s="605">
        <f t="shared" si="1"/>
        <v>813576870</v>
      </c>
      <c r="I10" s="513">
        <v>3.61</v>
      </c>
      <c r="J10" s="498">
        <v>2130057</v>
      </c>
      <c r="K10" s="513">
        <v>42.9</v>
      </c>
      <c r="L10" s="498">
        <v>34917001</v>
      </c>
      <c r="M10" s="497">
        <v>0</v>
      </c>
      <c r="N10" s="497">
        <v>0</v>
      </c>
      <c r="O10" s="497">
        <v>0</v>
      </c>
      <c r="P10" s="498">
        <v>0</v>
      </c>
      <c r="Q10" s="14">
        <f t="shared" si="11"/>
        <v>37047058</v>
      </c>
      <c r="R10" s="497">
        <v>15.08</v>
      </c>
      <c r="S10" s="498">
        <v>12992019</v>
      </c>
      <c r="T10" s="497">
        <v>0</v>
      </c>
      <c r="U10" s="497">
        <v>0</v>
      </c>
      <c r="V10" s="497">
        <v>0</v>
      </c>
      <c r="W10" s="498">
        <v>0</v>
      </c>
      <c r="X10" s="14">
        <f t="shared" si="12"/>
        <v>12992019</v>
      </c>
      <c r="Y10" s="147">
        <f t="shared" si="13"/>
        <v>61.589999999999996</v>
      </c>
      <c r="Z10" s="14">
        <f t="shared" si="14"/>
        <v>50039077</v>
      </c>
      <c r="AA10" s="14">
        <f t="shared" si="15"/>
        <v>0</v>
      </c>
      <c r="AB10" s="148">
        <f t="shared" si="2"/>
        <v>15.97</v>
      </c>
      <c r="AC10" s="149">
        <f t="shared" si="3"/>
        <v>45.54</v>
      </c>
      <c r="AD10" s="129">
        <f t="shared" si="4"/>
        <v>61.51</v>
      </c>
      <c r="AE10" s="77">
        <f t="shared" si="16"/>
        <v>50039077</v>
      </c>
      <c r="AF10" s="158">
        <v>0.02</v>
      </c>
      <c r="AG10" s="290">
        <v>43829258</v>
      </c>
      <c r="AH10" s="290">
        <v>0</v>
      </c>
      <c r="AI10" s="508">
        <f t="shared" si="17"/>
        <v>43829258</v>
      </c>
      <c r="AJ10" s="77">
        <v>2240325550</v>
      </c>
      <c r="AK10" s="77">
        <f t="shared" si="5"/>
        <v>2191462900</v>
      </c>
      <c r="AL10" s="611">
        <f t="shared" si="18"/>
        <v>-2.1810513208671837E-2</v>
      </c>
      <c r="AM10" s="614">
        <f t="shared" si="19"/>
        <v>2191462900</v>
      </c>
      <c r="AN10" s="131">
        <f t="shared" si="6"/>
        <v>0.02</v>
      </c>
      <c r="AO10" s="131">
        <f t="shared" si="7"/>
        <v>0</v>
      </c>
      <c r="AP10" s="77">
        <v>193863</v>
      </c>
      <c r="AQ10" s="77">
        <f t="shared" si="8"/>
        <v>94062198</v>
      </c>
      <c r="AR10" s="77">
        <f>ROUND(AQ10/'Table 3 Levels 1&amp;2'!C10,2)</f>
        <v>4669.72</v>
      </c>
    </row>
    <row r="11" spans="1:44">
      <c r="A11" s="12">
        <v>4</v>
      </c>
      <c r="B11" s="69" t="s">
        <v>105</v>
      </c>
      <c r="C11" s="14">
        <v>169967410</v>
      </c>
      <c r="D11" s="14">
        <v>35552196</v>
      </c>
      <c r="E11" s="14">
        <f t="shared" si="9"/>
        <v>134415214</v>
      </c>
      <c r="F11" s="14">
        <v>122491823</v>
      </c>
      <c r="G11" s="604">
        <f t="shared" si="10"/>
        <v>9.7340301646094363E-2</v>
      </c>
      <c r="H11" s="605">
        <f t="shared" si="1"/>
        <v>134415214</v>
      </c>
      <c r="I11" s="513">
        <v>5.49</v>
      </c>
      <c r="J11" s="498">
        <v>724581</v>
      </c>
      <c r="K11" s="513">
        <v>33.880000000000003</v>
      </c>
      <c r="L11" s="498">
        <v>4470931</v>
      </c>
      <c r="M11" s="497">
        <v>0</v>
      </c>
      <c r="N11" s="497">
        <v>0</v>
      </c>
      <c r="O11" s="497">
        <v>1</v>
      </c>
      <c r="P11" s="498">
        <v>0</v>
      </c>
      <c r="Q11" s="14">
        <f t="shared" si="11"/>
        <v>5195512</v>
      </c>
      <c r="R11" s="497">
        <v>0</v>
      </c>
      <c r="S11" s="498">
        <v>21</v>
      </c>
      <c r="T11" s="497">
        <v>0</v>
      </c>
      <c r="U11" s="497">
        <v>0</v>
      </c>
      <c r="V11" s="497">
        <v>1</v>
      </c>
      <c r="W11" s="498">
        <v>0</v>
      </c>
      <c r="X11" s="14">
        <f t="shared" si="12"/>
        <v>21</v>
      </c>
      <c r="Y11" s="147">
        <f t="shared" si="13"/>
        <v>39.370000000000005</v>
      </c>
      <c r="Z11" s="14">
        <f t="shared" si="14"/>
        <v>5195533</v>
      </c>
      <c r="AA11" s="14">
        <f t="shared" si="15"/>
        <v>0</v>
      </c>
      <c r="AB11" s="148">
        <f t="shared" si="2"/>
        <v>0</v>
      </c>
      <c r="AC11" s="149">
        <f t="shared" si="3"/>
        <v>38.65</v>
      </c>
      <c r="AD11" s="129">
        <f t="shared" si="4"/>
        <v>38.65</v>
      </c>
      <c r="AE11" s="77">
        <f t="shared" si="16"/>
        <v>5195533</v>
      </c>
      <c r="AF11" s="158">
        <v>0.03</v>
      </c>
      <c r="AG11" s="290">
        <v>6270699</v>
      </c>
      <c r="AH11" s="290">
        <v>0</v>
      </c>
      <c r="AI11" s="508">
        <f t="shared" si="17"/>
        <v>6270699</v>
      </c>
      <c r="AJ11" s="77">
        <v>175646267</v>
      </c>
      <c r="AK11" s="77">
        <f t="shared" si="5"/>
        <v>209023300</v>
      </c>
      <c r="AL11" s="613">
        <f t="shared" si="18"/>
        <v>0.19002415234933515</v>
      </c>
      <c r="AM11" s="616">
        <f t="shared" si="19"/>
        <v>201993207.04999998</v>
      </c>
      <c r="AN11" s="131">
        <f t="shared" si="6"/>
        <v>0.03</v>
      </c>
      <c r="AO11" s="131">
        <f t="shared" si="7"/>
        <v>0</v>
      </c>
      <c r="AP11" s="77">
        <v>114712</v>
      </c>
      <c r="AQ11" s="77">
        <f t="shared" si="8"/>
        <v>11580944</v>
      </c>
      <c r="AR11" s="77">
        <f>ROUND(AQ11/'Table 3 Levels 1&amp;2'!C11,2)</f>
        <v>3237.61</v>
      </c>
    </row>
    <row r="12" spans="1:44">
      <c r="A12" s="18">
        <v>5</v>
      </c>
      <c r="B12" s="70" t="s">
        <v>106</v>
      </c>
      <c r="C12" s="20">
        <v>156126914</v>
      </c>
      <c r="D12" s="20">
        <v>57564157</v>
      </c>
      <c r="E12" s="20">
        <f t="shared" si="9"/>
        <v>98562757</v>
      </c>
      <c r="F12" s="20">
        <v>94593732</v>
      </c>
      <c r="G12" s="781">
        <f t="shared" si="10"/>
        <v>4.1958646900621281E-2</v>
      </c>
      <c r="H12" s="782">
        <f t="shared" si="1"/>
        <v>98562757</v>
      </c>
      <c r="I12" s="514">
        <v>3.62</v>
      </c>
      <c r="J12" s="500">
        <v>353692</v>
      </c>
      <c r="K12" s="514">
        <v>10</v>
      </c>
      <c r="L12" s="500">
        <v>977168</v>
      </c>
      <c r="M12" s="499">
        <v>0</v>
      </c>
      <c r="N12" s="499">
        <v>0</v>
      </c>
      <c r="O12" s="499">
        <v>0</v>
      </c>
      <c r="P12" s="500">
        <v>0</v>
      </c>
      <c r="Q12" s="20">
        <f t="shared" si="11"/>
        <v>1330860</v>
      </c>
      <c r="R12" s="499">
        <v>0</v>
      </c>
      <c r="S12" s="500">
        <v>0</v>
      </c>
      <c r="T12" s="499">
        <v>0</v>
      </c>
      <c r="U12" s="499">
        <v>0</v>
      </c>
      <c r="V12" s="499">
        <v>1</v>
      </c>
      <c r="W12" s="500">
        <v>43</v>
      </c>
      <c r="X12" s="20">
        <f t="shared" si="12"/>
        <v>43</v>
      </c>
      <c r="Y12" s="150">
        <f t="shared" si="13"/>
        <v>13.620000000000001</v>
      </c>
      <c r="Z12" s="20">
        <f t="shared" si="14"/>
        <v>1330860</v>
      </c>
      <c r="AA12" s="20">
        <f t="shared" si="15"/>
        <v>43</v>
      </c>
      <c r="AB12" s="151">
        <f t="shared" si="2"/>
        <v>0</v>
      </c>
      <c r="AC12" s="152">
        <f t="shared" si="3"/>
        <v>13.5</v>
      </c>
      <c r="AD12" s="130">
        <f t="shared" si="4"/>
        <v>13.5</v>
      </c>
      <c r="AE12" s="78">
        <f t="shared" si="16"/>
        <v>1330903</v>
      </c>
      <c r="AF12" s="159">
        <v>1.4999999999999999E-2</v>
      </c>
      <c r="AG12" s="291">
        <v>6010724</v>
      </c>
      <c r="AH12" s="291">
        <v>0</v>
      </c>
      <c r="AI12" s="509">
        <f t="shared" si="17"/>
        <v>6010724</v>
      </c>
      <c r="AJ12" s="78">
        <v>379951600</v>
      </c>
      <c r="AK12" s="78">
        <f t="shared" si="5"/>
        <v>400714933</v>
      </c>
      <c r="AL12" s="612">
        <f t="shared" si="18"/>
        <v>5.464731034163299E-2</v>
      </c>
      <c r="AM12" s="615">
        <f t="shared" si="19"/>
        <v>400714933</v>
      </c>
      <c r="AN12" s="132">
        <f t="shared" si="6"/>
        <v>1.5000000012477699E-2</v>
      </c>
      <c r="AO12" s="132">
        <f t="shared" si="7"/>
        <v>0</v>
      </c>
      <c r="AP12" s="78">
        <v>279073.5</v>
      </c>
      <c r="AQ12" s="78">
        <f t="shared" si="8"/>
        <v>7620700.5</v>
      </c>
      <c r="AR12" s="78">
        <f>ROUND(AQ12/'Table 3 Levels 1&amp;2'!C12,2)</f>
        <v>1183.8900000000001</v>
      </c>
    </row>
    <row r="13" spans="1:44">
      <c r="A13" s="12">
        <v>6</v>
      </c>
      <c r="B13" s="69" t="s">
        <v>107</v>
      </c>
      <c r="C13" s="14">
        <v>244866122</v>
      </c>
      <c r="D13" s="14">
        <v>50479204</v>
      </c>
      <c r="E13" s="14">
        <f t="shared" si="9"/>
        <v>194386918</v>
      </c>
      <c r="F13" s="14">
        <v>190627590</v>
      </c>
      <c r="G13" s="604">
        <f t="shared" si="10"/>
        <v>1.9720796973827347E-2</v>
      </c>
      <c r="H13" s="605">
        <f t="shared" si="1"/>
        <v>194386918</v>
      </c>
      <c r="I13" s="513">
        <v>4.5</v>
      </c>
      <c r="J13" s="498">
        <v>908704</v>
      </c>
      <c r="K13" s="513">
        <v>28.02</v>
      </c>
      <c r="L13" s="498">
        <v>5575716</v>
      </c>
      <c r="M13" s="497">
        <v>0</v>
      </c>
      <c r="N13" s="497">
        <v>0</v>
      </c>
      <c r="O13" s="497">
        <v>0</v>
      </c>
      <c r="P13" s="498">
        <v>0</v>
      </c>
      <c r="Q13" s="14">
        <f t="shared" si="11"/>
        <v>6484420</v>
      </c>
      <c r="R13" s="497">
        <v>17.8</v>
      </c>
      <c r="S13" s="498">
        <v>3433625</v>
      </c>
      <c r="T13" s="497">
        <v>0</v>
      </c>
      <c r="U13" s="497">
        <v>0</v>
      </c>
      <c r="V13" s="497">
        <v>0</v>
      </c>
      <c r="W13" s="498">
        <v>0</v>
      </c>
      <c r="X13" s="14">
        <f t="shared" si="12"/>
        <v>3433625</v>
      </c>
      <c r="Y13" s="147">
        <f t="shared" si="13"/>
        <v>50.319999999999993</v>
      </c>
      <c r="Z13" s="14">
        <f t="shared" si="14"/>
        <v>9918045</v>
      </c>
      <c r="AA13" s="14">
        <f t="shared" si="15"/>
        <v>0</v>
      </c>
      <c r="AB13" s="148">
        <f t="shared" si="2"/>
        <v>17.66</v>
      </c>
      <c r="AC13" s="149">
        <f t="shared" si="3"/>
        <v>33.36</v>
      </c>
      <c r="AD13" s="129">
        <f t="shared" si="4"/>
        <v>51.02</v>
      </c>
      <c r="AE13" s="77">
        <f t="shared" si="16"/>
        <v>9918045</v>
      </c>
      <c r="AF13" s="158">
        <v>0.02</v>
      </c>
      <c r="AG13" s="290">
        <v>8682521</v>
      </c>
      <c r="AH13" s="290">
        <v>0</v>
      </c>
      <c r="AI13" s="508">
        <f t="shared" si="17"/>
        <v>8682521</v>
      </c>
      <c r="AJ13" s="77">
        <v>413850100</v>
      </c>
      <c r="AK13" s="77">
        <f t="shared" si="5"/>
        <v>434126050</v>
      </c>
      <c r="AL13" s="611">
        <f t="shared" si="18"/>
        <v>4.8993464058604795E-2</v>
      </c>
      <c r="AM13" s="614">
        <f t="shared" si="19"/>
        <v>434126050</v>
      </c>
      <c r="AN13" s="131">
        <f t="shared" si="6"/>
        <v>0.02</v>
      </c>
      <c r="AO13" s="131">
        <f t="shared" si="7"/>
        <v>0</v>
      </c>
      <c r="AP13" s="77">
        <v>304414.5</v>
      </c>
      <c r="AQ13" s="77">
        <f t="shared" si="8"/>
        <v>18904980.5</v>
      </c>
      <c r="AR13" s="77">
        <f>ROUND(AQ13/'Table 3 Levels 1&amp;2'!C13,2)</f>
        <v>3128.93</v>
      </c>
    </row>
    <row r="14" spans="1:44">
      <c r="A14" s="12">
        <v>7</v>
      </c>
      <c r="B14" s="69" t="s">
        <v>108</v>
      </c>
      <c r="C14" s="14">
        <v>314912500</v>
      </c>
      <c r="D14" s="14">
        <v>15383343</v>
      </c>
      <c r="E14" s="14">
        <f t="shared" si="9"/>
        <v>299529157</v>
      </c>
      <c r="F14" s="14">
        <v>303086137</v>
      </c>
      <c r="G14" s="604">
        <f t="shared" si="10"/>
        <v>-1.1735871641004814E-2</v>
      </c>
      <c r="H14" s="605">
        <f t="shared" si="1"/>
        <v>299529157</v>
      </c>
      <c r="I14" s="513">
        <v>5.74</v>
      </c>
      <c r="J14" s="498">
        <v>1647867</v>
      </c>
      <c r="K14" s="513">
        <v>47.05</v>
      </c>
      <c r="L14" s="498">
        <v>13507345</v>
      </c>
      <c r="M14" s="497">
        <v>0</v>
      </c>
      <c r="N14" s="497">
        <v>0</v>
      </c>
      <c r="O14" s="497">
        <v>0</v>
      </c>
      <c r="P14" s="498">
        <v>0</v>
      </c>
      <c r="Q14" s="14">
        <f t="shared" si="11"/>
        <v>15155212</v>
      </c>
      <c r="R14" s="497">
        <v>0</v>
      </c>
      <c r="S14" s="498">
        <v>0</v>
      </c>
      <c r="T14" s="497">
        <v>6.3</v>
      </c>
      <c r="U14" s="497">
        <v>55</v>
      </c>
      <c r="V14" s="497">
        <v>7</v>
      </c>
      <c r="W14" s="498">
        <v>1349204</v>
      </c>
      <c r="X14" s="14">
        <f t="shared" si="12"/>
        <v>1349204</v>
      </c>
      <c r="Y14" s="147">
        <f t="shared" si="13"/>
        <v>52.79</v>
      </c>
      <c r="Z14" s="14">
        <f t="shared" si="14"/>
        <v>15155212</v>
      </c>
      <c r="AA14" s="14">
        <f t="shared" si="15"/>
        <v>1349204</v>
      </c>
      <c r="AB14" s="148">
        <f t="shared" si="2"/>
        <v>4.5</v>
      </c>
      <c r="AC14" s="149">
        <f t="shared" si="3"/>
        <v>50.6</v>
      </c>
      <c r="AD14" s="129">
        <f t="shared" si="4"/>
        <v>55.1</v>
      </c>
      <c r="AE14" s="77">
        <f t="shared" si="16"/>
        <v>16504416</v>
      </c>
      <c r="AF14" s="158">
        <v>0.02</v>
      </c>
      <c r="AG14" s="290">
        <v>11445034</v>
      </c>
      <c r="AH14" s="290">
        <v>0</v>
      </c>
      <c r="AI14" s="508">
        <f t="shared" si="17"/>
        <v>11445034</v>
      </c>
      <c r="AJ14" s="77">
        <v>593065350</v>
      </c>
      <c r="AK14" s="77">
        <f t="shared" si="5"/>
        <v>572251700</v>
      </c>
      <c r="AL14" s="611">
        <f t="shared" si="18"/>
        <v>-3.5095036322725648E-2</v>
      </c>
      <c r="AM14" s="614">
        <f t="shared" si="19"/>
        <v>572251700</v>
      </c>
      <c r="AN14" s="131">
        <f t="shared" si="6"/>
        <v>0.02</v>
      </c>
      <c r="AO14" s="131">
        <f t="shared" si="7"/>
        <v>0</v>
      </c>
      <c r="AP14" s="77">
        <v>594733.5</v>
      </c>
      <c r="AQ14" s="77">
        <f t="shared" si="8"/>
        <v>28544183.5</v>
      </c>
      <c r="AR14" s="77">
        <f>ROUND(AQ14/'Table 3 Levels 1&amp;2'!C14,2)</f>
        <v>12869.33</v>
      </c>
    </row>
    <row r="15" spans="1:44">
      <c r="A15" s="12">
        <v>8</v>
      </c>
      <c r="B15" s="69" t="s">
        <v>109</v>
      </c>
      <c r="C15" s="14">
        <v>1039272440</v>
      </c>
      <c r="D15" s="14">
        <v>179843832</v>
      </c>
      <c r="E15" s="14">
        <f t="shared" si="9"/>
        <v>859428608</v>
      </c>
      <c r="F15" s="14">
        <v>802413659</v>
      </c>
      <c r="G15" s="604">
        <f t="shared" si="10"/>
        <v>7.1054310156003955E-2</v>
      </c>
      <c r="H15" s="605">
        <f t="shared" si="1"/>
        <v>859428608</v>
      </c>
      <c r="I15" s="513">
        <v>3.27</v>
      </c>
      <c r="J15" s="498">
        <v>2695913</v>
      </c>
      <c r="K15" s="513">
        <v>35.44</v>
      </c>
      <c r="L15" s="498">
        <v>29218666</v>
      </c>
      <c r="M15" s="497">
        <v>0</v>
      </c>
      <c r="N15" s="497">
        <v>0</v>
      </c>
      <c r="O15" s="497">
        <v>0</v>
      </c>
      <c r="P15" s="498">
        <v>0</v>
      </c>
      <c r="Q15" s="14">
        <f t="shared" si="11"/>
        <v>31914579</v>
      </c>
      <c r="R15" s="497">
        <v>0</v>
      </c>
      <c r="S15" s="498">
        <v>0</v>
      </c>
      <c r="T15" s="497">
        <v>13.55</v>
      </c>
      <c r="U15" s="497">
        <v>13.55</v>
      </c>
      <c r="V15" s="497">
        <v>1</v>
      </c>
      <c r="W15" s="498">
        <v>11166389</v>
      </c>
      <c r="X15" s="14">
        <f t="shared" si="12"/>
        <v>11166389</v>
      </c>
      <c r="Y15" s="147">
        <f t="shared" si="13"/>
        <v>38.71</v>
      </c>
      <c r="Z15" s="14">
        <f t="shared" si="14"/>
        <v>31914579</v>
      </c>
      <c r="AA15" s="14">
        <f t="shared" si="15"/>
        <v>11166389</v>
      </c>
      <c r="AB15" s="148">
        <f t="shared" si="2"/>
        <v>12.99</v>
      </c>
      <c r="AC15" s="149">
        <f t="shared" si="3"/>
        <v>37.130000000000003</v>
      </c>
      <c r="AD15" s="129">
        <f t="shared" si="4"/>
        <v>50.13</v>
      </c>
      <c r="AE15" s="77">
        <f t="shared" si="16"/>
        <v>43080968</v>
      </c>
      <c r="AF15" s="158">
        <v>1.7500000000000002E-2</v>
      </c>
      <c r="AG15" s="290">
        <v>46084040</v>
      </c>
      <c r="AH15" s="290">
        <v>0</v>
      </c>
      <c r="AI15" s="508">
        <f t="shared" si="17"/>
        <v>46084040</v>
      </c>
      <c r="AJ15" s="77">
        <v>2539630057</v>
      </c>
      <c r="AK15" s="77">
        <f t="shared" si="5"/>
        <v>2633373714</v>
      </c>
      <c r="AL15" s="611">
        <f t="shared" si="18"/>
        <v>3.691232773907905E-2</v>
      </c>
      <c r="AM15" s="614">
        <f t="shared" si="19"/>
        <v>2633373714</v>
      </c>
      <c r="AN15" s="131">
        <f t="shared" si="6"/>
        <v>1.7500000001898705E-2</v>
      </c>
      <c r="AO15" s="131">
        <f t="shared" si="7"/>
        <v>0</v>
      </c>
      <c r="AP15" s="77">
        <v>591949.5</v>
      </c>
      <c r="AQ15" s="77">
        <f t="shared" si="8"/>
        <v>89756957.5</v>
      </c>
      <c r="AR15" s="77">
        <f>ROUND(AQ15/'Table 3 Levels 1&amp;2'!C15,2)</f>
        <v>4317.5200000000004</v>
      </c>
    </row>
    <row r="16" spans="1:44">
      <c r="A16" s="12">
        <v>9</v>
      </c>
      <c r="B16" s="69" t="s">
        <v>110</v>
      </c>
      <c r="C16" s="14">
        <v>1824261580</v>
      </c>
      <c r="D16" s="14">
        <v>341146070</v>
      </c>
      <c r="E16" s="14">
        <f t="shared" si="9"/>
        <v>1483115510</v>
      </c>
      <c r="F16" s="14">
        <v>1400328760</v>
      </c>
      <c r="G16" s="604">
        <f t="shared" si="10"/>
        <v>5.9119509907087815E-2</v>
      </c>
      <c r="H16" s="605">
        <f t="shared" si="1"/>
        <v>1483115510</v>
      </c>
      <c r="I16" s="513">
        <v>7.96</v>
      </c>
      <c r="J16" s="498">
        <v>12422264</v>
      </c>
      <c r="K16" s="513">
        <v>62.64</v>
      </c>
      <c r="L16" s="498">
        <v>90024321</v>
      </c>
      <c r="M16" s="497">
        <v>0</v>
      </c>
      <c r="N16" s="497">
        <v>0</v>
      </c>
      <c r="O16" s="497">
        <v>0</v>
      </c>
      <c r="P16" s="498">
        <v>0</v>
      </c>
      <c r="Q16" s="14">
        <f t="shared" si="11"/>
        <v>102446585</v>
      </c>
      <c r="R16" s="497">
        <v>7.6</v>
      </c>
      <c r="S16" s="498">
        <v>10922491</v>
      </c>
      <c r="T16" s="497">
        <v>0</v>
      </c>
      <c r="U16" s="497">
        <v>0</v>
      </c>
      <c r="V16" s="497">
        <v>0</v>
      </c>
      <c r="W16" s="498">
        <v>0</v>
      </c>
      <c r="X16" s="14">
        <f t="shared" si="12"/>
        <v>10922491</v>
      </c>
      <c r="Y16" s="147">
        <f t="shared" si="13"/>
        <v>78.199999999999989</v>
      </c>
      <c r="Z16" s="14">
        <f t="shared" si="14"/>
        <v>113369076</v>
      </c>
      <c r="AA16" s="14">
        <f t="shared" si="15"/>
        <v>0</v>
      </c>
      <c r="AB16" s="148">
        <f t="shared" si="2"/>
        <v>7.36</v>
      </c>
      <c r="AC16" s="149">
        <f t="shared" si="3"/>
        <v>69.08</v>
      </c>
      <c r="AD16" s="129">
        <f t="shared" si="4"/>
        <v>76.44</v>
      </c>
      <c r="AE16" s="77">
        <f t="shared" si="16"/>
        <v>113369076</v>
      </c>
      <c r="AF16" s="158">
        <v>1.4999999999999999E-2</v>
      </c>
      <c r="AG16" s="290">
        <v>78271951</v>
      </c>
      <c r="AH16" s="290">
        <v>0</v>
      </c>
      <c r="AI16" s="508">
        <f t="shared" si="17"/>
        <v>78271951</v>
      </c>
      <c r="AJ16" s="77">
        <v>4990781800</v>
      </c>
      <c r="AK16" s="77">
        <f t="shared" si="5"/>
        <v>5218130067</v>
      </c>
      <c r="AL16" s="611">
        <f t="shared" si="18"/>
        <v>4.555363790899454E-2</v>
      </c>
      <c r="AM16" s="614">
        <f t="shared" si="19"/>
        <v>5218130067</v>
      </c>
      <c r="AN16" s="131">
        <f t="shared" si="6"/>
        <v>1.4999999999041802E-2</v>
      </c>
      <c r="AO16" s="131">
        <f t="shared" si="7"/>
        <v>0</v>
      </c>
      <c r="AP16" s="77">
        <v>2687748</v>
      </c>
      <c r="AQ16" s="77">
        <f t="shared" si="8"/>
        <v>194328775</v>
      </c>
      <c r="AR16" s="77">
        <f>ROUND(AQ16/'Table 3 Levels 1&amp;2'!C16,2)</f>
        <v>4688.95</v>
      </c>
    </row>
    <row r="17" spans="1:44">
      <c r="A17" s="18">
        <v>10</v>
      </c>
      <c r="B17" s="70" t="s">
        <v>111</v>
      </c>
      <c r="C17" s="20">
        <v>1751152060</v>
      </c>
      <c r="D17" s="20">
        <v>272527278</v>
      </c>
      <c r="E17" s="20">
        <f t="shared" si="9"/>
        <v>1478624782</v>
      </c>
      <c r="F17" s="20">
        <v>1428229699</v>
      </c>
      <c r="G17" s="781">
        <f t="shared" si="10"/>
        <v>3.5284998649226379E-2</v>
      </c>
      <c r="H17" s="782">
        <f t="shared" si="1"/>
        <v>1478624782</v>
      </c>
      <c r="I17" s="514">
        <v>5.57</v>
      </c>
      <c r="J17" s="500">
        <v>8135631</v>
      </c>
      <c r="K17" s="514">
        <v>13.15</v>
      </c>
      <c r="L17" s="500">
        <v>19210272</v>
      </c>
      <c r="M17" s="499">
        <v>9.8699999999999992</v>
      </c>
      <c r="N17" s="499">
        <v>9.8699999999999992</v>
      </c>
      <c r="O17" s="499">
        <v>1</v>
      </c>
      <c r="P17" s="500">
        <v>144298</v>
      </c>
      <c r="Q17" s="20">
        <f t="shared" si="11"/>
        <v>27490201</v>
      </c>
      <c r="R17" s="499">
        <v>0</v>
      </c>
      <c r="S17" s="500">
        <v>0</v>
      </c>
      <c r="T17" s="499">
        <v>0.2</v>
      </c>
      <c r="U17" s="499">
        <v>31</v>
      </c>
      <c r="V17" s="499">
        <v>11</v>
      </c>
      <c r="W17" s="500">
        <v>21224512</v>
      </c>
      <c r="X17" s="20">
        <f t="shared" si="12"/>
        <v>21224512</v>
      </c>
      <c r="Y17" s="150">
        <f t="shared" si="13"/>
        <v>18.72</v>
      </c>
      <c r="Z17" s="20">
        <f t="shared" si="14"/>
        <v>27345903</v>
      </c>
      <c r="AA17" s="20">
        <f t="shared" si="15"/>
        <v>21368810</v>
      </c>
      <c r="AB17" s="151">
        <f t="shared" si="2"/>
        <v>14.35</v>
      </c>
      <c r="AC17" s="152">
        <f t="shared" si="3"/>
        <v>18.59</v>
      </c>
      <c r="AD17" s="130">
        <f t="shared" si="4"/>
        <v>32.950000000000003</v>
      </c>
      <c r="AE17" s="78">
        <f t="shared" si="16"/>
        <v>48714713</v>
      </c>
      <c r="AF17" s="159">
        <v>0.02</v>
      </c>
      <c r="AG17" s="291">
        <v>83221170</v>
      </c>
      <c r="AH17" s="291">
        <v>0</v>
      </c>
      <c r="AI17" s="509">
        <f t="shared" si="17"/>
        <v>83221170</v>
      </c>
      <c r="AJ17" s="78">
        <v>4048213800</v>
      </c>
      <c r="AK17" s="78">
        <f t="shared" si="5"/>
        <v>4161058500</v>
      </c>
      <c r="AL17" s="612">
        <f t="shared" si="18"/>
        <v>2.7875182876951805E-2</v>
      </c>
      <c r="AM17" s="615">
        <f t="shared" si="19"/>
        <v>4161058500</v>
      </c>
      <c r="AN17" s="132">
        <f t="shared" si="6"/>
        <v>0.02</v>
      </c>
      <c r="AO17" s="132">
        <f t="shared" si="7"/>
        <v>0</v>
      </c>
      <c r="AP17" s="78">
        <v>1015859</v>
      </c>
      <c r="AQ17" s="78">
        <f t="shared" si="8"/>
        <v>132951742</v>
      </c>
      <c r="AR17" s="78">
        <f>ROUND(AQ17/'Table 3 Levels 1&amp;2'!C17,2)</f>
        <v>4192.34</v>
      </c>
    </row>
    <row r="18" spans="1:44">
      <c r="A18" s="12">
        <v>11</v>
      </c>
      <c r="B18" s="69" t="s">
        <v>112</v>
      </c>
      <c r="C18" s="14">
        <v>57528650</v>
      </c>
      <c r="D18" s="14">
        <v>13561070</v>
      </c>
      <c r="E18" s="14">
        <f t="shared" si="9"/>
        <v>43967580</v>
      </c>
      <c r="F18" s="14">
        <v>37089620</v>
      </c>
      <c r="G18" s="606">
        <f t="shared" si="10"/>
        <v>0.18544164108448671</v>
      </c>
      <c r="H18" s="607">
        <f t="shared" si="1"/>
        <v>40798582</v>
      </c>
      <c r="I18" s="513">
        <v>5.42</v>
      </c>
      <c r="J18" s="498">
        <v>238834</v>
      </c>
      <c r="K18" s="513">
        <v>32.85</v>
      </c>
      <c r="L18" s="498">
        <v>1433331</v>
      </c>
      <c r="M18" s="497">
        <v>0</v>
      </c>
      <c r="N18" s="497">
        <v>0</v>
      </c>
      <c r="O18" s="497">
        <v>0</v>
      </c>
      <c r="P18" s="498">
        <v>0</v>
      </c>
      <c r="Q18" s="14">
        <f t="shared" si="11"/>
        <v>1672165</v>
      </c>
      <c r="R18" s="497">
        <v>32</v>
      </c>
      <c r="S18" s="498">
        <v>1332396</v>
      </c>
      <c r="T18" s="497">
        <v>0</v>
      </c>
      <c r="U18" s="497">
        <v>0</v>
      </c>
      <c r="V18" s="497">
        <v>0</v>
      </c>
      <c r="W18" s="498">
        <v>0</v>
      </c>
      <c r="X18" s="14">
        <f t="shared" si="12"/>
        <v>1332396</v>
      </c>
      <c r="Y18" s="147">
        <f t="shared" si="13"/>
        <v>70.27000000000001</v>
      </c>
      <c r="Z18" s="14">
        <f t="shared" si="14"/>
        <v>3004561</v>
      </c>
      <c r="AA18" s="14">
        <f t="shared" si="15"/>
        <v>0</v>
      </c>
      <c r="AB18" s="148">
        <f t="shared" si="2"/>
        <v>30.3</v>
      </c>
      <c r="AC18" s="149">
        <f t="shared" si="3"/>
        <v>38.03</v>
      </c>
      <c r="AD18" s="129">
        <f t="shared" si="4"/>
        <v>68.34</v>
      </c>
      <c r="AE18" s="77">
        <f t="shared" si="16"/>
        <v>3004561</v>
      </c>
      <c r="AF18" s="158">
        <v>0.02</v>
      </c>
      <c r="AG18" s="290">
        <v>2209837</v>
      </c>
      <c r="AH18" s="290">
        <v>0</v>
      </c>
      <c r="AI18" s="508">
        <f t="shared" si="17"/>
        <v>2209837</v>
      </c>
      <c r="AJ18" s="77">
        <v>143500550</v>
      </c>
      <c r="AK18" s="77">
        <f t="shared" si="5"/>
        <v>110491850</v>
      </c>
      <c r="AL18" s="611">
        <f t="shared" si="18"/>
        <v>-0.23002490234357986</v>
      </c>
      <c r="AM18" s="614">
        <f t="shared" si="19"/>
        <v>110491850</v>
      </c>
      <c r="AN18" s="131">
        <f t="shared" si="6"/>
        <v>0.02</v>
      </c>
      <c r="AO18" s="131">
        <f t="shared" si="7"/>
        <v>0</v>
      </c>
      <c r="AP18" s="77">
        <v>87714.5</v>
      </c>
      <c r="AQ18" s="77">
        <f t="shared" si="8"/>
        <v>5302112.5</v>
      </c>
      <c r="AR18" s="77">
        <f>ROUND(AQ18/'Table 3 Levels 1&amp;2'!C18,2)</f>
        <v>3362.15</v>
      </c>
    </row>
    <row r="19" spans="1:44">
      <c r="A19" s="12">
        <v>12</v>
      </c>
      <c r="B19" s="69" t="s">
        <v>113</v>
      </c>
      <c r="C19" s="14">
        <v>245554381</v>
      </c>
      <c r="D19" s="14">
        <v>8362607</v>
      </c>
      <c r="E19" s="14">
        <f t="shared" si="9"/>
        <v>237191774</v>
      </c>
      <c r="F19" s="14">
        <v>237354901</v>
      </c>
      <c r="G19" s="604">
        <f t="shared" si="10"/>
        <v>-6.8727040947007875E-4</v>
      </c>
      <c r="H19" s="605">
        <f t="shared" si="1"/>
        <v>237191774</v>
      </c>
      <c r="I19" s="513">
        <v>4.4000000000000004</v>
      </c>
      <c r="J19" s="498">
        <v>1088095</v>
      </c>
      <c r="K19" s="513">
        <v>42.49</v>
      </c>
      <c r="L19" s="498">
        <v>10507182</v>
      </c>
      <c r="M19" s="497">
        <v>0</v>
      </c>
      <c r="N19" s="497">
        <v>0</v>
      </c>
      <c r="O19" s="497">
        <v>0</v>
      </c>
      <c r="P19" s="498">
        <v>0</v>
      </c>
      <c r="Q19" s="14">
        <f t="shared" si="11"/>
        <v>11595277</v>
      </c>
      <c r="R19" s="497">
        <v>0</v>
      </c>
      <c r="S19" s="498">
        <v>862800</v>
      </c>
      <c r="T19" s="497">
        <v>2.75</v>
      </c>
      <c r="U19" s="497">
        <v>18</v>
      </c>
      <c r="V19" s="497">
        <v>0</v>
      </c>
      <c r="W19" s="498">
        <v>0</v>
      </c>
      <c r="X19" s="14">
        <f t="shared" si="12"/>
        <v>862800</v>
      </c>
      <c r="Y19" s="147">
        <f t="shared" si="13"/>
        <v>46.89</v>
      </c>
      <c r="Z19" s="14">
        <f t="shared" si="14"/>
        <v>12458077</v>
      </c>
      <c r="AA19" s="14">
        <f t="shared" si="15"/>
        <v>0</v>
      </c>
      <c r="AB19" s="148">
        <f t="shared" si="2"/>
        <v>3.64</v>
      </c>
      <c r="AC19" s="149">
        <f t="shared" si="3"/>
        <v>48.89</v>
      </c>
      <c r="AD19" s="129">
        <f t="shared" si="4"/>
        <v>52.52</v>
      </c>
      <c r="AE19" s="77">
        <f t="shared" si="16"/>
        <v>12458077</v>
      </c>
      <c r="AF19" s="158">
        <v>0</v>
      </c>
      <c r="AG19" s="290">
        <v>0</v>
      </c>
      <c r="AH19" s="290">
        <v>0</v>
      </c>
      <c r="AI19" s="508">
        <f t="shared" si="17"/>
        <v>0</v>
      </c>
      <c r="AJ19" s="77">
        <v>26253113</v>
      </c>
      <c r="AK19" s="279">
        <v>26707332.5</v>
      </c>
      <c r="AL19" s="611">
        <f t="shared" si="18"/>
        <v>1.7301548201159991E-2</v>
      </c>
      <c r="AM19" s="614">
        <f t="shared" si="19"/>
        <v>26707332.5</v>
      </c>
      <c r="AN19" s="131">
        <f t="shared" si="6"/>
        <v>0</v>
      </c>
      <c r="AO19" s="131">
        <f t="shared" si="7"/>
        <v>0</v>
      </c>
      <c r="AP19" s="77">
        <v>855458.5</v>
      </c>
      <c r="AQ19" s="77">
        <f t="shared" si="8"/>
        <v>13313535.5</v>
      </c>
      <c r="AR19" s="77">
        <f>ROUND(AQ19/'Table 3 Levels 1&amp;2'!C19,2)</f>
        <v>10868.19</v>
      </c>
    </row>
    <row r="20" spans="1:44">
      <c r="A20" s="12">
        <v>13</v>
      </c>
      <c r="B20" s="69" t="s">
        <v>114</v>
      </c>
      <c r="C20" s="14">
        <v>50248270</v>
      </c>
      <c r="D20" s="14">
        <v>14734391</v>
      </c>
      <c r="E20" s="14">
        <f t="shared" si="9"/>
        <v>35513879</v>
      </c>
      <c r="F20" s="14">
        <v>35207729</v>
      </c>
      <c r="G20" s="604">
        <f t="shared" si="10"/>
        <v>8.6955338698499977E-3</v>
      </c>
      <c r="H20" s="605">
        <f t="shared" si="1"/>
        <v>35513879</v>
      </c>
      <c r="I20" s="513">
        <v>4.12</v>
      </c>
      <c r="J20" s="498">
        <v>146140</v>
      </c>
      <c r="K20" s="513">
        <v>13.13</v>
      </c>
      <c r="L20" s="498">
        <v>465750</v>
      </c>
      <c r="M20" s="497">
        <v>4.01</v>
      </c>
      <c r="N20" s="497">
        <v>5.18</v>
      </c>
      <c r="O20" s="497">
        <v>4</v>
      </c>
      <c r="P20" s="498">
        <v>148285</v>
      </c>
      <c r="Q20" s="14">
        <f t="shared" si="11"/>
        <v>760175</v>
      </c>
      <c r="R20" s="497">
        <v>0</v>
      </c>
      <c r="S20" s="498">
        <v>0</v>
      </c>
      <c r="T20" s="497">
        <v>19.7</v>
      </c>
      <c r="U20" s="497">
        <v>20</v>
      </c>
      <c r="V20" s="497">
        <v>2</v>
      </c>
      <c r="W20" s="498">
        <v>173453</v>
      </c>
      <c r="X20" s="14">
        <f t="shared" si="12"/>
        <v>173453</v>
      </c>
      <c r="Y20" s="147">
        <f t="shared" si="13"/>
        <v>17.25</v>
      </c>
      <c r="Z20" s="14">
        <f t="shared" si="14"/>
        <v>611890</v>
      </c>
      <c r="AA20" s="14">
        <f t="shared" si="15"/>
        <v>321738</v>
      </c>
      <c r="AB20" s="148">
        <f t="shared" si="2"/>
        <v>4.88</v>
      </c>
      <c r="AC20" s="149">
        <f t="shared" si="3"/>
        <v>21.41</v>
      </c>
      <c r="AD20" s="129">
        <f t="shared" si="4"/>
        <v>26.29</v>
      </c>
      <c r="AE20" s="77">
        <f t="shared" si="16"/>
        <v>933628</v>
      </c>
      <c r="AF20" s="158">
        <v>0.03</v>
      </c>
      <c r="AG20" s="290">
        <v>2701695</v>
      </c>
      <c r="AH20" s="290">
        <v>0</v>
      </c>
      <c r="AI20" s="508">
        <f t="shared" si="17"/>
        <v>2701695</v>
      </c>
      <c r="AJ20" s="77">
        <v>81657800</v>
      </c>
      <c r="AK20" s="77">
        <f t="shared" ref="AK20:AK51" si="20">ROUND(AI20/AF20,0)</f>
        <v>90056500</v>
      </c>
      <c r="AL20" s="611">
        <f t="shared" si="18"/>
        <v>0.10285239132085361</v>
      </c>
      <c r="AM20" s="614">
        <f t="shared" si="19"/>
        <v>90056500</v>
      </c>
      <c r="AN20" s="131">
        <f t="shared" si="6"/>
        <v>0.03</v>
      </c>
      <c r="AO20" s="131">
        <f t="shared" si="7"/>
        <v>0</v>
      </c>
      <c r="AP20" s="77">
        <v>94599</v>
      </c>
      <c r="AQ20" s="77">
        <f t="shared" si="8"/>
        <v>3729922</v>
      </c>
      <c r="AR20" s="77">
        <f>ROUND(AQ20/'Table 3 Levels 1&amp;2'!C20,2)</f>
        <v>2455.5100000000002</v>
      </c>
    </row>
    <row r="21" spans="1:44">
      <c r="A21" s="12">
        <v>14</v>
      </c>
      <c r="B21" s="69" t="s">
        <v>115</v>
      </c>
      <c r="C21" s="14">
        <v>156868862</v>
      </c>
      <c r="D21" s="14">
        <v>20045849</v>
      </c>
      <c r="E21" s="14">
        <f t="shared" si="9"/>
        <v>136823013</v>
      </c>
      <c r="F21" s="14">
        <v>128540643</v>
      </c>
      <c r="G21" s="604">
        <f t="shared" si="10"/>
        <v>6.4433861591932443E-2</v>
      </c>
      <c r="H21" s="605">
        <f t="shared" si="1"/>
        <v>136823013</v>
      </c>
      <c r="I21" s="513">
        <v>5.16</v>
      </c>
      <c r="J21" s="498">
        <v>703326</v>
      </c>
      <c r="K21" s="513">
        <v>10.039999999999999</v>
      </c>
      <c r="L21" s="498">
        <v>1368488</v>
      </c>
      <c r="M21" s="497">
        <v>3.16</v>
      </c>
      <c r="N21" s="497">
        <v>11.96</v>
      </c>
      <c r="O21" s="497">
        <v>4</v>
      </c>
      <c r="P21" s="498">
        <v>624489</v>
      </c>
      <c r="Q21" s="14">
        <f t="shared" si="11"/>
        <v>2696303</v>
      </c>
      <c r="R21" s="497">
        <v>0</v>
      </c>
      <c r="S21" s="498">
        <v>0</v>
      </c>
      <c r="T21" s="497">
        <v>14.1</v>
      </c>
      <c r="U21" s="497">
        <v>18.600000000000001</v>
      </c>
      <c r="V21" s="497">
        <v>2</v>
      </c>
      <c r="W21" s="498">
        <v>1209502</v>
      </c>
      <c r="X21" s="14">
        <f t="shared" si="12"/>
        <v>1209502</v>
      </c>
      <c r="Y21" s="147">
        <f t="shared" si="13"/>
        <v>15.2</v>
      </c>
      <c r="Z21" s="14">
        <f t="shared" si="14"/>
        <v>2071814</v>
      </c>
      <c r="AA21" s="14">
        <f t="shared" si="15"/>
        <v>1833991</v>
      </c>
      <c r="AB21" s="148">
        <f t="shared" si="2"/>
        <v>8.84</v>
      </c>
      <c r="AC21" s="149">
        <f t="shared" si="3"/>
        <v>19.71</v>
      </c>
      <c r="AD21" s="129">
        <f t="shared" si="4"/>
        <v>28.55</v>
      </c>
      <c r="AE21" s="77">
        <f t="shared" si="16"/>
        <v>3905805</v>
      </c>
      <c r="AF21" s="158">
        <v>0.02</v>
      </c>
      <c r="AG21" s="290">
        <v>2825686</v>
      </c>
      <c r="AH21" s="290">
        <v>0</v>
      </c>
      <c r="AI21" s="508">
        <f t="shared" si="17"/>
        <v>2825686</v>
      </c>
      <c r="AJ21" s="77">
        <v>148673350</v>
      </c>
      <c r="AK21" s="77">
        <f t="shared" si="20"/>
        <v>141284300</v>
      </c>
      <c r="AL21" s="611">
        <f t="shared" si="18"/>
        <v>-4.9699895778227907E-2</v>
      </c>
      <c r="AM21" s="614">
        <f t="shared" si="19"/>
        <v>141284300</v>
      </c>
      <c r="AN21" s="131">
        <f t="shared" si="6"/>
        <v>0.02</v>
      </c>
      <c r="AO21" s="131">
        <f t="shared" si="7"/>
        <v>0</v>
      </c>
      <c r="AP21" s="77">
        <v>157561</v>
      </c>
      <c r="AQ21" s="77">
        <f t="shared" si="8"/>
        <v>6889052</v>
      </c>
      <c r="AR21" s="77">
        <f>ROUND(AQ21/'Table 3 Levels 1&amp;2'!C21,2)</f>
        <v>3518.41</v>
      </c>
    </row>
    <row r="22" spans="1:44">
      <c r="A22" s="18">
        <v>15</v>
      </c>
      <c r="B22" s="70" t="s">
        <v>116</v>
      </c>
      <c r="C22" s="20">
        <v>158143970</v>
      </c>
      <c r="D22" s="20">
        <v>28212390</v>
      </c>
      <c r="E22" s="20">
        <f t="shared" si="9"/>
        <v>129931580</v>
      </c>
      <c r="F22" s="20">
        <v>126261488</v>
      </c>
      <c r="G22" s="781">
        <f t="shared" si="10"/>
        <v>2.9067390683689708E-2</v>
      </c>
      <c r="H22" s="782">
        <f t="shared" si="1"/>
        <v>129931580</v>
      </c>
      <c r="I22" s="514">
        <v>2.84</v>
      </c>
      <c r="J22" s="500">
        <v>354357</v>
      </c>
      <c r="K22" s="514">
        <v>35.08</v>
      </c>
      <c r="L22" s="500">
        <v>4388331</v>
      </c>
      <c r="M22" s="499">
        <v>0</v>
      </c>
      <c r="N22" s="499">
        <v>0</v>
      </c>
      <c r="O22" s="499">
        <v>0</v>
      </c>
      <c r="P22" s="500">
        <v>0</v>
      </c>
      <c r="Q22" s="20">
        <f t="shared" si="11"/>
        <v>4742688</v>
      </c>
      <c r="R22" s="499">
        <v>0</v>
      </c>
      <c r="S22" s="500">
        <v>0</v>
      </c>
      <c r="T22" s="499">
        <v>0</v>
      </c>
      <c r="U22" s="499">
        <v>0</v>
      </c>
      <c r="V22" s="499">
        <v>0</v>
      </c>
      <c r="W22" s="500">
        <v>0</v>
      </c>
      <c r="X22" s="20">
        <f t="shared" si="12"/>
        <v>0</v>
      </c>
      <c r="Y22" s="150">
        <f t="shared" si="13"/>
        <v>37.92</v>
      </c>
      <c r="Z22" s="20">
        <f t="shared" si="14"/>
        <v>4742688</v>
      </c>
      <c r="AA22" s="20">
        <f t="shared" si="15"/>
        <v>0</v>
      </c>
      <c r="AB22" s="151">
        <f t="shared" si="2"/>
        <v>0</v>
      </c>
      <c r="AC22" s="152">
        <f t="shared" si="3"/>
        <v>36.5</v>
      </c>
      <c r="AD22" s="130">
        <f t="shared" si="4"/>
        <v>36.5</v>
      </c>
      <c r="AE22" s="78">
        <f t="shared" si="16"/>
        <v>4742688</v>
      </c>
      <c r="AF22" s="159">
        <v>0.02</v>
      </c>
      <c r="AG22" s="291">
        <v>4596600</v>
      </c>
      <c r="AH22" s="291">
        <v>0</v>
      </c>
      <c r="AI22" s="509">
        <f t="shared" si="17"/>
        <v>4596600</v>
      </c>
      <c r="AJ22" s="78">
        <v>217390850</v>
      </c>
      <c r="AK22" s="78">
        <f t="shared" si="20"/>
        <v>229830000</v>
      </c>
      <c r="AL22" s="612">
        <f t="shared" si="18"/>
        <v>5.7220209590238047E-2</v>
      </c>
      <c r="AM22" s="615">
        <f t="shared" si="19"/>
        <v>229830000</v>
      </c>
      <c r="AN22" s="132">
        <f t="shared" si="6"/>
        <v>0.02</v>
      </c>
      <c r="AO22" s="132">
        <f t="shared" si="7"/>
        <v>0</v>
      </c>
      <c r="AP22" s="78">
        <v>181360.5</v>
      </c>
      <c r="AQ22" s="78">
        <f t="shared" si="8"/>
        <v>9520648.5</v>
      </c>
      <c r="AR22" s="78">
        <f>ROUND(AQ22/'Table 3 Levels 1&amp;2'!C22,2)</f>
        <v>2623.49</v>
      </c>
    </row>
    <row r="23" spans="1:44">
      <c r="A23" s="12">
        <v>16</v>
      </c>
      <c r="B23" s="69" t="s">
        <v>117</v>
      </c>
      <c r="C23" s="14">
        <v>471693064</v>
      </c>
      <c r="D23" s="14">
        <v>39007112</v>
      </c>
      <c r="E23" s="14">
        <f t="shared" si="9"/>
        <v>432685952</v>
      </c>
      <c r="F23" s="14">
        <v>358507938</v>
      </c>
      <c r="G23" s="606">
        <f t="shared" si="10"/>
        <v>0.2069075915412506</v>
      </c>
      <c r="H23" s="607">
        <f t="shared" si="1"/>
        <v>394358731.80000001</v>
      </c>
      <c r="I23" s="513">
        <v>4.5599999999999996</v>
      </c>
      <c r="J23" s="498">
        <v>1952219</v>
      </c>
      <c r="K23" s="513">
        <v>39</v>
      </c>
      <c r="L23" s="498">
        <v>15975565</v>
      </c>
      <c r="M23" s="497">
        <v>0</v>
      </c>
      <c r="N23" s="497">
        <v>0</v>
      </c>
      <c r="O23" s="497">
        <v>0</v>
      </c>
      <c r="P23" s="498">
        <v>0</v>
      </c>
      <c r="Q23" s="14">
        <f t="shared" si="11"/>
        <v>17927784</v>
      </c>
      <c r="R23" s="497">
        <v>0</v>
      </c>
      <c r="S23" s="498">
        <v>0</v>
      </c>
      <c r="T23" s="497">
        <v>0</v>
      </c>
      <c r="U23" s="497">
        <v>14.5</v>
      </c>
      <c r="V23" s="497">
        <v>5</v>
      </c>
      <c r="W23" s="498">
        <v>3234950</v>
      </c>
      <c r="X23" s="14">
        <f t="shared" si="12"/>
        <v>3234950</v>
      </c>
      <c r="Y23" s="147">
        <f t="shared" si="13"/>
        <v>43.56</v>
      </c>
      <c r="Z23" s="14">
        <f t="shared" si="14"/>
        <v>17927784</v>
      </c>
      <c r="AA23" s="14">
        <f t="shared" si="15"/>
        <v>3234950</v>
      </c>
      <c r="AB23" s="148">
        <f t="shared" si="2"/>
        <v>7.48</v>
      </c>
      <c r="AC23" s="149">
        <f t="shared" si="3"/>
        <v>41.43</v>
      </c>
      <c r="AD23" s="129">
        <f t="shared" si="4"/>
        <v>48.91</v>
      </c>
      <c r="AE23" s="77">
        <f t="shared" si="16"/>
        <v>21162734</v>
      </c>
      <c r="AF23" s="158">
        <v>2.5000000000000001E-2</v>
      </c>
      <c r="AG23" s="290">
        <v>71065275</v>
      </c>
      <c r="AH23" s="290">
        <v>2021503</v>
      </c>
      <c r="AI23" s="508">
        <f t="shared" si="17"/>
        <v>73086778</v>
      </c>
      <c r="AJ23" s="77">
        <v>2163916480</v>
      </c>
      <c r="AK23" s="77">
        <f t="shared" si="20"/>
        <v>2923471120</v>
      </c>
      <c r="AL23" s="613">
        <f t="shared" si="18"/>
        <v>0.3510092219455716</v>
      </c>
      <c r="AM23" s="616">
        <f t="shared" si="19"/>
        <v>2488503952</v>
      </c>
      <c r="AN23" s="131">
        <f t="shared" si="6"/>
        <v>2.4308526434152017E-2</v>
      </c>
      <c r="AO23" s="131">
        <f t="shared" si="7"/>
        <v>6.914735658479842E-4</v>
      </c>
      <c r="AP23" s="77">
        <v>1589418</v>
      </c>
      <c r="AQ23" s="77">
        <f t="shared" si="8"/>
        <v>95838930</v>
      </c>
      <c r="AR23" s="77">
        <f>ROUND(AQ23/'Table 3 Levels 1&amp;2'!C23,2)</f>
        <v>20020.669999999998</v>
      </c>
    </row>
    <row r="24" spans="1:44" s="75" customFormat="1">
      <c r="A24" s="103">
        <v>17</v>
      </c>
      <c r="B24" s="161" t="s">
        <v>118</v>
      </c>
      <c r="C24" s="77">
        <v>3547812490</v>
      </c>
      <c r="D24" s="77">
        <v>545485550</v>
      </c>
      <c r="E24" s="77">
        <f>C24-D24</f>
        <v>3002326940</v>
      </c>
      <c r="F24" s="77">
        <v>2974143180</v>
      </c>
      <c r="G24" s="604">
        <f t="shared" si="10"/>
        <v>9.4762620002712857E-3</v>
      </c>
      <c r="H24" s="605">
        <f t="shared" si="1"/>
        <v>3002326940</v>
      </c>
      <c r="I24" s="513">
        <v>5.25</v>
      </c>
      <c r="J24" s="498">
        <v>15638039</v>
      </c>
      <c r="K24" s="513">
        <v>38.200000000000003</v>
      </c>
      <c r="L24" s="498">
        <v>113773936</v>
      </c>
      <c r="M24" s="497">
        <v>0</v>
      </c>
      <c r="N24" s="497">
        <v>0</v>
      </c>
      <c r="O24" s="497">
        <v>0</v>
      </c>
      <c r="P24" s="498">
        <v>0</v>
      </c>
      <c r="Q24" s="77">
        <f>J24+L24+P24</f>
        <v>129411975</v>
      </c>
      <c r="R24" s="497">
        <v>0</v>
      </c>
      <c r="S24" s="498">
        <v>0</v>
      </c>
      <c r="T24" s="497">
        <v>0</v>
      </c>
      <c r="U24" s="497">
        <v>0</v>
      </c>
      <c r="V24" s="497">
        <v>0</v>
      </c>
      <c r="W24" s="498">
        <v>0</v>
      </c>
      <c r="X24" s="77">
        <f t="shared" si="12"/>
        <v>0</v>
      </c>
      <c r="Y24" s="162">
        <f t="shared" si="13"/>
        <v>43.45</v>
      </c>
      <c r="Z24" s="77">
        <f t="shared" si="14"/>
        <v>129411975</v>
      </c>
      <c r="AA24" s="77">
        <f t="shared" si="15"/>
        <v>0</v>
      </c>
      <c r="AB24" s="163">
        <f t="shared" si="2"/>
        <v>0</v>
      </c>
      <c r="AC24" s="164">
        <f t="shared" si="3"/>
        <v>43.1</v>
      </c>
      <c r="AD24" s="129">
        <f t="shared" si="4"/>
        <v>43.1</v>
      </c>
      <c r="AE24" s="350">
        <f t="shared" si="16"/>
        <v>129411975</v>
      </c>
      <c r="AF24" s="158">
        <v>0.02</v>
      </c>
      <c r="AG24" s="290">
        <v>148089339</v>
      </c>
      <c r="AH24" s="290">
        <v>0</v>
      </c>
      <c r="AI24" s="508">
        <f t="shared" si="17"/>
        <v>148089339</v>
      </c>
      <c r="AJ24" s="77">
        <v>7426120050</v>
      </c>
      <c r="AK24" s="77">
        <f t="shared" si="20"/>
        <v>7404466950</v>
      </c>
      <c r="AL24" s="611">
        <f t="shared" si="18"/>
        <v>-2.9158025798411381E-3</v>
      </c>
      <c r="AM24" s="614">
        <f t="shared" si="19"/>
        <v>7404466950</v>
      </c>
      <c r="AN24" s="131">
        <f t="shared" si="6"/>
        <v>0.02</v>
      </c>
      <c r="AO24" s="131">
        <f t="shared" si="7"/>
        <v>0</v>
      </c>
      <c r="AP24" s="77">
        <v>4101592</v>
      </c>
      <c r="AQ24" s="77">
        <f t="shared" si="8"/>
        <v>281602906</v>
      </c>
      <c r="AR24" s="77">
        <f>ROUND(AQ24/'Table 3 Levels 1&amp;2'!C24,2)</f>
        <v>6436.64</v>
      </c>
    </row>
    <row r="25" spans="1:44">
      <c r="A25" s="12">
        <v>18</v>
      </c>
      <c r="B25" s="69" t="s">
        <v>119</v>
      </c>
      <c r="C25" s="14">
        <v>42086542</v>
      </c>
      <c r="D25" s="14">
        <v>5710751</v>
      </c>
      <c r="E25" s="14">
        <f t="shared" si="9"/>
        <v>36375791</v>
      </c>
      <c r="F25" s="14">
        <v>37145289</v>
      </c>
      <c r="G25" s="604">
        <f t="shared" si="10"/>
        <v>-2.0715897512602471E-2</v>
      </c>
      <c r="H25" s="605">
        <f t="shared" si="1"/>
        <v>36375791</v>
      </c>
      <c r="I25" s="513">
        <v>7.96</v>
      </c>
      <c r="J25" s="498">
        <v>270544</v>
      </c>
      <c r="K25" s="513">
        <v>7.99</v>
      </c>
      <c r="L25" s="498">
        <v>269451</v>
      </c>
      <c r="M25" s="497">
        <v>0</v>
      </c>
      <c r="N25" s="497">
        <v>0</v>
      </c>
      <c r="O25" s="497">
        <v>0</v>
      </c>
      <c r="P25" s="498">
        <v>0</v>
      </c>
      <c r="Q25" s="77">
        <f t="shared" si="11"/>
        <v>539995</v>
      </c>
      <c r="R25" s="497">
        <v>0</v>
      </c>
      <c r="S25" s="498">
        <v>0</v>
      </c>
      <c r="T25" s="497">
        <v>0</v>
      </c>
      <c r="U25" s="497">
        <v>0</v>
      </c>
      <c r="V25" s="497">
        <v>0</v>
      </c>
      <c r="W25" s="498">
        <v>0</v>
      </c>
      <c r="X25" s="14">
        <f t="shared" si="12"/>
        <v>0</v>
      </c>
      <c r="Y25" s="147">
        <f t="shared" si="13"/>
        <v>15.95</v>
      </c>
      <c r="Z25" s="14">
        <f t="shared" si="14"/>
        <v>539995</v>
      </c>
      <c r="AA25" s="14">
        <f t="shared" si="15"/>
        <v>0</v>
      </c>
      <c r="AB25" s="148">
        <f t="shared" si="2"/>
        <v>0</v>
      </c>
      <c r="AC25" s="149">
        <f t="shared" si="3"/>
        <v>14.84</v>
      </c>
      <c r="AD25" s="129">
        <f t="shared" si="4"/>
        <v>14.84</v>
      </c>
      <c r="AE25" s="77">
        <f t="shared" si="16"/>
        <v>539995</v>
      </c>
      <c r="AF25" s="158">
        <v>0.03</v>
      </c>
      <c r="AG25" s="290">
        <v>1397933</v>
      </c>
      <c r="AH25" s="290">
        <v>0</v>
      </c>
      <c r="AI25" s="508">
        <f t="shared" si="17"/>
        <v>1397933</v>
      </c>
      <c r="AJ25" s="77">
        <v>47763233</v>
      </c>
      <c r="AK25" s="77">
        <f t="shared" si="20"/>
        <v>46597767</v>
      </c>
      <c r="AL25" s="611">
        <f t="shared" si="18"/>
        <v>-2.4400902677588848E-2</v>
      </c>
      <c r="AM25" s="614">
        <f t="shared" si="19"/>
        <v>46597767</v>
      </c>
      <c r="AN25" s="131">
        <f t="shared" si="6"/>
        <v>2.9999999785397441E-2</v>
      </c>
      <c r="AO25" s="131">
        <f t="shared" si="7"/>
        <v>0</v>
      </c>
      <c r="AP25" s="77">
        <v>132563.5</v>
      </c>
      <c r="AQ25" s="77">
        <f t="shared" si="8"/>
        <v>2070491.5</v>
      </c>
      <c r="AR25" s="77">
        <f>ROUND(AQ25/'Table 3 Levels 1&amp;2'!C25,2)</f>
        <v>1808.29</v>
      </c>
    </row>
    <row r="26" spans="1:44">
      <c r="A26" s="12">
        <v>19</v>
      </c>
      <c r="B26" s="69" t="s">
        <v>120</v>
      </c>
      <c r="C26" s="14">
        <v>138746860</v>
      </c>
      <c r="D26" s="14">
        <v>34974991</v>
      </c>
      <c r="E26" s="14">
        <f t="shared" si="9"/>
        <v>103771869</v>
      </c>
      <c r="F26" s="14">
        <v>101289605</v>
      </c>
      <c r="G26" s="604">
        <f t="shared" si="10"/>
        <v>2.450660163992149E-2</v>
      </c>
      <c r="H26" s="605">
        <f t="shared" si="1"/>
        <v>103771869</v>
      </c>
      <c r="I26" s="513">
        <v>3.34</v>
      </c>
      <c r="J26" s="498">
        <v>331361</v>
      </c>
      <c r="K26" s="513">
        <v>17</v>
      </c>
      <c r="L26" s="498">
        <v>1686566</v>
      </c>
      <c r="M26" s="497">
        <v>0</v>
      </c>
      <c r="N26" s="497">
        <v>0</v>
      </c>
      <c r="O26" s="497">
        <v>0</v>
      </c>
      <c r="P26" s="498">
        <v>0</v>
      </c>
      <c r="Q26" s="77">
        <f t="shared" si="11"/>
        <v>2017927</v>
      </c>
      <c r="R26" s="497">
        <v>0</v>
      </c>
      <c r="S26" s="498">
        <v>0</v>
      </c>
      <c r="T26" s="497">
        <v>0</v>
      </c>
      <c r="U26" s="497">
        <v>0</v>
      </c>
      <c r="V26" s="497">
        <v>0</v>
      </c>
      <c r="W26" s="498">
        <v>0</v>
      </c>
      <c r="X26" s="14">
        <f t="shared" si="12"/>
        <v>0</v>
      </c>
      <c r="Y26" s="147">
        <f t="shared" si="13"/>
        <v>20.34</v>
      </c>
      <c r="Z26" s="14">
        <f t="shared" si="14"/>
        <v>2017927</v>
      </c>
      <c r="AA26" s="14">
        <f t="shared" si="15"/>
        <v>0</v>
      </c>
      <c r="AB26" s="148">
        <f t="shared" si="2"/>
        <v>0</v>
      </c>
      <c r="AC26" s="149">
        <f t="shared" si="3"/>
        <v>19.45</v>
      </c>
      <c r="AD26" s="129">
        <f t="shared" si="4"/>
        <v>19.45</v>
      </c>
      <c r="AE26" s="77">
        <f t="shared" si="16"/>
        <v>2017927</v>
      </c>
      <c r="AF26" s="158">
        <v>0.02</v>
      </c>
      <c r="AG26" s="290">
        <v>2313650</v>
      </c>
      <c r="AH26" s="290">
        <v>0</v>
      </c>
      <c r="AI26" s="508">
        <f t="shared" si="17"/>
        <v>2313650</v>
      </c>
      <c r="AJ26" s="77">
        <v>108826000</v>
      </c>
      <c r="AK26" s="77">
        <f t="shared" si="20"/>
        <v>115682500</v>
      </c>
      <c r="AL26" s="611">
        <f t="shared" si="18"/>
        <v>6.3004245309025417E-2</v>
      </c>
      <c r="AM26" s="614">
        <f t="shared" si="19"/>
        <v>115682500</v>
      </c>
      <c r="AN26" s="131">
        <f t="shared" si="6"/>
        <v>0.02</v>
      </c>
      <c r="AO26" s="131">
        <f t="shared" si="7"/>
        <v>0</v>
      </c>
      <c r="AP26" s="77">
        <v>102869</v>
      </c>
      <c r="AQ26" s="77">
        <f t="shared" si="8"/>
        <v>4434446</v>
      </c>
      <c r="AR26" s="77">
        <f>ROUND(AQ26/'Table 3 Levels 1&amp;2'!C26,2)</f>
        <v>2267.1</v>
      </c>
    </row>
    <row r="27" spans="1:44">
      <c r="A27" s="18">
        <v>20</v>
      </c>
      <c r="B27" s="70" t="s">
        <v>121</v>
      </c>
      <c r="C27" s="20">
        <v>225935500</v>
      </c>
      <c r="D27" s="20">
        <v>48167690</v>
      </c>
      <c r="E27" s="20">
        <f t="shared" si="9"/>
        <v>177767810</v>
      </c>
      <c r="F27" s="20">
        <v>155514960</v>
      </c>
      <c r="G27" s="608">
        <f t="shared" si="10"/>
        <v>0.1430913784757428</v>
      </c>
      <c r="H27" s="609">
        <f t="shared" si="1"/>
        <v>171066456</v>
      </c>
      <c r="I27" s="514">
        <v>4.67</v>
      </c>
      <c r="J27" s="500">
        <v>819884</v>
      </c>
      <c r="K27" s="514">
        <v>10.35</v>
      </c>
      <c r="L27" s="500">
        <v>1816923</v>
      </c>
      <c r="M27" s="499">
        <v>2.02</v>
      </c>
      <c r="N27" s="499">
        <v>12.32</v>
      </c>
      <c r="O27" s="499">
        <v>3</v>
      </c>
      <c r="P27" s="500">
        <v>2483603</v>
      </c>
      <c r="Q27" s="78">
        <f t="shared" si="11"/>
        <v>5120410</v>
      </c>
      <c r="R27" s="499">
        <v>0</v>
      </c>
      <c r="S27" s="500">
        <v>0</v>
      </c>
      <c r="T27" s="499">
        <v>14</v>
      </c>
      <c r="U27" s="499">
        <v>14</v>
      </c>
      <c r="V27" s="499">
        <v>1</v>
      </c>
      <c r="W27" s="500">
        <v>405601</v>
      </c>
      <c r="X27" s="20">
        <f t="shared" si="12"/>
        <v>405601</v>
      </c>
      <c r="Y27" s="150">
        <f t="shared" si="13"/>
        <v>15.02</v>
      </c>
      <c r="Z27" s="20">
        <f t="shared" si="14"/>
        <v>2636807</v>
      </c>
      <c r="AA27" s="20">
        <f t="shared" si="15"/>
        <v>2889204</v>
      </c>
      <c r="AB27" s="151">
        <f t="shared" si="2"/>
        <v>2.2799999999999998</v>
      </c>
      <c r="AC27" s="152">
        <f t="shared" si="3"/>
        <v>28.8</v>
      </c>
      <c r="AD27" s="130">
        <f t="shared" si="4"/>
        <v>31.09</v>
      </c>
      <c r="AE27" s="78">
        <f t="shared" si="16"/>
        <v>5526011</v>
      </c>
      <c r="AF27" s="159">
        <v>0.02</v>
      </c>
      <c r="AG27" s="291">
        <v>7312111</v>
      </c>
      <c r="AH27" s="291">
        <v>0</v>
      </c>
      <c r="AI27" s="509">
        <f t="shared" si="17"/>
        <v>7312111</v>
      </c>
      <c r="AJ27" s="78">
        <v>376441050</v>
      </c>
      <c r="AK27" s="78">
        <f t="shared" si="20"/>
        <v>365605550</v>
      </c>
      <c r="AL27" s="612">
        <f t="shared" si="18"/>
        <v>-2.8784055298963808E-2</v>
      </c>
      <c r="AM27" s="615">
        <f t="shared" si="19"/>
        <v>365605550</v>
      </c>
      <c r="AN27" s="132">
        <f t="shared" si="6"/>
        <v>0.02</v>
      </c>
      <c r="AO27" s="132">
        <f t="shared" si="7"/>
        <v>0</v>
      </c>
      <c r="AP27" s="78">
        <v>232087.5</v>
      </c>
      <c r="AQ27" s="78">
        <f t="shared" si="8"/>
        <v>13070209.5</v>
      </c>
      <c r="AR27" s="78">
        <f>ROUND(AQ27/'Table 3 Levels 1&amp;2'!C27,2)</f>
        <v>2246.13</v>
      </c>
    </row>
    <row r="28" spans="1:44">
      <c r="A28" s="12">
        <v>21</v>
      </c>
      <c r="B28" s="69" t="s">
        <v>122</v>
      </c>
      <c r="C28" s="14">
        <v>86896019</v>
      </c>
      <c r="D28" s="14">
        <v>27588070</v>
      </c>
      <c r="E28" s="14">
        <f t="shared" si="9"/>
        <v>59307949</v>
      </c>
      <c r="F28" s="14">
        <v>56190152</v>
      </c>
      <c r="G28" s="604">
        <f t="shared" si="10"/>
        <v>5.548653792572051E-2</v>
      </c>
      <c r="H28" s="605">
        <f t="shared" si="1"/>
        <v>59307949</v>
      </c>
      <c r="I28" s="513">
        <v>4.45</v>
      </c>
      <c r="J28" s="498">
        <v>265650</v>
      </c>
      <c r="K28" s="513">
        <v>19.93</v>
      </c>
      <c r="L28" s="498">
        <v>1163668</v>
      </c>
      <c r="M28" s="497">
        <v>19.93</v>
      </c>
      <c r="N28" s="497">
        <v>19.93</v>
      </c>
      <c r="O28" s="497">
        <v>0</v>
      </c>
      <c r="P28" s="498">
        <v>0</v>
      </c>
      <c r="Q28" s="77">
        <f t="shared" si="11"/>
        <v>1429318</v>
      </c>
      <c r="R28" s="497">
        <v>0</v>
      </c>
      <c r="S28" s="498">
        <v>0</v>
      </c>
      <c r="T28" s="497">
        <v>0</v>
      </c>
      <c r="U28" s="497">
        <v>0</v>
      </c>
      <c r="V28" s="497">
        <v>0</v>
      </c>
      <c r="W28" s="498">
        <v>0</v>
      </c>
      <c r="X28" s="14">
        <f t="shared" si="12"/>
        <v>0</v>
      </c>
      <c r="Y28" s="147">
        <f t="shared" si="13"/>
        <v>24.38</v>
      </c>
      <c r="Z28" s="14">
        <f t="shared" si="14"/>
        <v>1429318</v>
      </c>
      <c r="AA28" s="14">
        <f t="shared" si="15"/>
        <v>0</v>
      </c>
      <c r="AB28" s="148">
        <f t="shared" si="2"/>
        <v>0</v>
      </c>
      <c r="AC28" s="149">
        <f t="shared" si="3"/>
        <v>24.1</v>
      </c>
      <c r="AD28" s="129">
        <f t="shared" si="4"/>
        <v>24.1</v>
      </c>
      <c r="AE28" s="77">
        <f t="shared" si="16"/>
        <v>1429318</v>
      </c>
      <c r="AF28" s="158">
        <v>0.02</v>
      </c>
      <c r="AG28" s="290">
        <v>4669044</v>
      </c>
      <c r="AH28" s="290">
        <v>0</v>
      </c>
      <c r="AI28" s="508">
        <f t="shared" si="17"/>
        <v>4669044</v>
      </c>
      <c r="AJ28" s="77">
        <v>235230550</v>
      </c>
      <c r="AK28" s="77">
        <f t="shared" si="20"/>
        <v>233452200</v>
      </c>
      <c r="AL28" s="611">
        <f t="shared" si="18"/>
        <v>-7.5600299365877434E-3</v>
      </c>
      <c r="AM28" s="614">
        <f t="shared" si="19"/>
        <v>233452200</v>
      </c>
      <c r="AN28" s="131">
        <f t="shared" si="6"/>
        <v>0.02</v>
      </c>
      <c r="AO28" s="131">
        <f t="shared" si="7"/>
        <v>0</v>
      </c>
      <c r="AP28" s="77">
        <v>76048.5</v>
      </c>
      <c r="AQ28" s="77">
        <f t="shared" si="8"/>
        <v>6174410.5</v>
      </c>
      <c r="AR28" s="77">
        <f>ROUND(AQ28/'Table 3 Levels 1&amp;2'!C28,2)</f>
        <v>2032.39</v>
      </c>
    </row>
    <row r="29" spans="1:44">
      <c r="A29" s="12">
        <v>22</v>
      </c>
      <c r="B29" s="69" t="s">
        <v>123</v>
      </c>
      <c r="C29" s="14">
        <v>66932728</v>
      </c>
      <c r="D29" s="14">
        <v>28285450</v>
      </c>
      <c r="E29" s="14">
        <f t="shared" si="9"/>
        <v>38647278</v>
      </c>
      <c r="F29" s="14">
        <v>37074652</v>
      </c>
      <c r="G29" s="604">
        <f t="shared" si="10"/>
        <v>4.2417822290010974E-2</v>
      </c>
      <c r="H29" s="605">
        <f t="shared" si="1"/>
        <v>38647278</v>
      </c>
      <c r="I29" s="513">
        <v>5.93</v>
      </c>
      <c r="J29" s="498">
        <v>224252</v>
      </c>
      <c r="K29" s="513">
        <v>24.12</v>
      </c>
      <c r="L29" s="498">
        <v>729392</v>
      </c>
      <c r="M29" s="497">
        <v>2</v>
      </c>
      <c r="N29" s="497">
        <v>16.12</v>
      </c>
      <c r="O29" s="497">
        <v>8</v>
      </c>
      <c r="P29" s="498">
        <v>585127</v>
      </c>
      <c r="Q29" s="77">
        <f t="shared" si="11"/>
        <v>1538771</v>
      </c>
      <c r="R29" s="497">
        <v>0</v>
      </c>
      <c r="S29" s="498">
        <v>0</v>
      </c>
      <c r="T29" s="497">
        <v>16</v>
      </c>
      <c r="U29" s="497">
        <v>38</v>
      </c>
      <c r="V29" s="497">
        <v>3</v>
      </c>
      <c r="W29" s="498">
        <v>1186657</v>
      </c>
      <c r="X29" s="14">
        <f t="shared" si="12"/>
        <v>1186657</v>
      </c>
      <c r="Y29" s="147">
        <f t="shared" si="13"/>
        <v>30.05</v>
      </c>
      <c r="Z29" s="14">
        <f t="shared" si="14"/>
        <v>953644</v>
      </c>
      <c r="AA29" s="14">
        <f t="shared" si="15"/>
        <v>1771784</v>
      </c>
      <c r="AB29" s="148">
        <f t="shared" si="2"/>
        <v>30.7</v>
      </c>
      <c r="AC29" s="149">
        <f t="shared" si="3"/>
        <v>39.82</v>
      </c>
      <c r="AD29" s="129">
        <f t="shared" si="4"/>
        <v>70.52</v>
      </c>
      <c r="AE29" s="77">
        <f t="shared" si="16"/>
        <v>2725428</v>
      </c>
      <c r="AF29" s="158">
        <v>0.02</v>
      </c>
      <c r="AG29" s="290">
        <v>2034070</v>
      </c>
      <c r="AH29" s="290">
        <v>0</v>
      </c>
      <c r="AI29" s="508">
        <f t="shared" si="17"/>
        <v>2034070</v>
      </c>
      <c r="AJ29" s="77">
        <v>91778900</v>
      </c>
      <c r="AK29" s="77">
        <f t="shared" si="20"/>
        <v>101703500</v>
      </c>
      <c r="AL29" s="611">
        <f t="shared" si="18"/>
        <v>0.10813596589194248</v>
      </c>
      <c r="AM29" s="614">
        <f t="shared" si="19"/>
        <v>101703500</v>
      </c>
      <c r="AN29" s="131">
        <f t="shared" si="6"/>
        <v>0.02</v>
      </c>
      <c r="AO29" s="131">
        <f t="shared" si="7"/>
        <v>0</v>
      </c>
      <c r="AP29" s="77">
        <v>406250</v>
      </c>
      <c r="AQ29" s="77">
        <f t="shared" si="8"/>
        <v>5165748</v>
      </c>
      <c r="AR29" s="77">
        <f>ROUND(AQ29/'Table 3 Levels 1&amp;2'!C29,2)</f>
        <v>1574.44</v>
      </c>
    </row>
    <row r="30" spans="1:44">
      <c r="A30" s="12">
        <v>23</v>
      </c>
      <c r="B30" s="69" t="s">
        <v>124</v>
      </c>
      <c r="C30" s="14">
        <v>617712015</v>
      </c>
      <c r="D30" s="14">
        <v>110019450</v>
      </c>
      <c r="E30" s="14">
        <f t="shared" si="9"/>
        <v>507692565</v>
      </c>
      <c r="F30" s="14">
        <v>461723209</v>
      </c>
      <c r="G30" s="604">
        <f t="shared" si="10"/>
        <v>9.9560418674990186E-2</v>
      </c>
      <c r="H30" s="605">
        <f t="shared" si="1"/>
        <v>507692565</v>
      </c>
      <c r="I30" s="513">
        <v>4.47</v>
      </c>
      <c r="J30" s="498">
        <v>2199595</v>
      </c>
      <c r="K30" s="513">
        <v>6.23</v>
      </c>
      <c r="L30" s="498">
        <v>3066226</v>
      </c>
      <c r="M30" s="497">
        <v>0</v>
      </c>
      <c r="N30" s="497">
        <v>0</v>
      </c>
      <c r="O30" s="497">
        <v>0</v>
      </c>
      <c r="P30" s="498">
        <v>0</v>
      </c>
      <c r="Q30" s="77">
        <f t="shared" si="11"/>
        <v>5265821</v>
      </c>
      <c r="R30" s="497">
        <v>21.9</v>
      </c>
      <c r="S30" s="498">
        <v>10782228</v>
      </c>
      <c r="T30" s="497">
        <v>0</v>
      </c>
      <c r="U30" s="497">
        <v>0</v>
      </c>
      <c r="V30" s="497">
        <v>0</v>
      </c>
      <c r="W30" s="498">
        <v>0</v>
      </c>
      <c r="X30" s="14">
        <f t="shared" si="12"/>
        <v>10782228</v>
      </c>
      <c r="Y30" s="147">
        <f t="shared" si="13"/>
        <v>32.599999999999994</v>
      </c>
      <c r="Z30" s="14">
        <f t="shared" si="14"/>
        <v>16048049</v>
      </c>
      <c r="AA30" s="14">
        <f t="shared" si="15"/>
        <v>0</v>
      </c>
      <c r="AB30" s="148">
        <f t="shared" si="2"/>
        <v>21.24</v>
      </c>
      <c r="AC30" s="149">
        <f t="shared" si="3"/>
        <v>10.37</v>
      </c>
      <c r="AD30" s="129">
        <f t="shared" si="4"/>
        <v>31.61</v>
      </c>
      <c r="AE30" s="77">
        <f t="shared" si="16"/>
        <v>16048049</v>
      </c>
      <c r="AF30" s="158">
        <v>0.02</v>
      </c>
      <c r="AG30" s="290">
        <v>25199860</v>
      </c>
      <c r="AH30" s="290">
        <v>0</v>
      </c>
      <c r="AI30" s="508">
        <f t="shared" si="17"/>
        <v>25199860</v>
      </c>
      <c r="AJ30" s="77">
        <v>1253951400</v>
      </c>
      <c r="AK30" s="77">
        <f t="shared" si="20"/>
        <v>1259993000</v>
      </c>
      <c r="AL30" s="611">
        <f t="shared" si="18"/>
        <v>4.8180495671522839E-3</v>
      </c>
      <c r="AM30" s="614">
        <f t="shared" si="19"/>
        <v>1259993000</v>
      </c>
      <c r="AN30" s="131">
        <f t="shared" si="6"/>
        <v>0.02</v>
      </c>
      <c r="AO30" s="131">
        <f t="shared" si="7"/>
        <v>0</v>
      </c>
      <c r="AP30" s="77">
        <v>569331</v>
      </c>
      <c r="AQ30" s="77">
        <f t="shared" si="8"/>
        <v>41817240</v>
      </c>
      <c r="AR30" s="77">
        <f>ROUND(AQ30/'Table 3 Levels 1&amp;2'!C30,2)</f>
        <v>3128.39</v>
      </c>
    </row>
    <row r="31" spans="1:44">
      <c r="A31" s="12">
        <v>24</v>
      </c>
      <c r="B31" s="69" t="s">
        <v>125</v>
      </c>
      <c r="C31" s="14">
        <v>456799367</v>
      </c>
      <c r="D31" s="14">
        <v>44608819</v>
      </c>
      <c r="E31" s="14">
        <f t="shared" si="9"/>
        <v>412190548</v>
      </c>
      <c r="F31" s="14">
        <v>408809070</v>
      </c>
      <c r="G31" s="604">
        <f t="shared" si="10"/>
        <v>8.2715337015394491E-3</v>
      </c>
      <c r="H31" s="605">
        <f t="shared" si="1"/>
        <v>412190548</v>
      </c>
      <c r="I31" s="513">
        <v>3.49</v>
      </c>
      <c r="J31" s="498">
        <v>1412270</v>
      </c>
      <c r="K31" s="513">
        <v>53.17</v>
      </c>
      <c r="L31" s="498">
        <v>18389323</v>
      </c>
      <c r="M31" s="497">
        <v>0</v>
      </c>
      <c r="N31" s="497">
        <v>0</v>
      </c>
      <c r="O31" s="497">
        <v>0</v>
      </c>
      <c r="P31" s="498">
        <v>0</v>
      </c>
      <c r="Q31" s="77">
        <f t="shared" si="11"/>
        <v>19801593</v>
      </c>
      <c r="R31" s="497">
        <v>0</v>
      </c>
      <c r="S31" s="498">
        <v>3126458</v>
      </c>
      <c r="T31" s="497">
        <v>0</v>
      </c>
      <c r="U31" s="497">
        <v>0</v>
      </c>
      <c r="V31" s="497">
        <v>0</v>
      </c>
      <c r="W31" s="498">
        <v>0</v>
      </c>
      <c r="X31" s="14">
        <f t="shared" si="12"/>
        <v>3126458</v>
      </c>
      <c r="Y31" s="147">
        <f t="shared" si="13"/>
        <v>56.660000000000004</v>
      </c>
      <c r="Z31" s="14">
        <f t="shared" si="14"/>
        <v>22928051</v>
      </c>
      <c r="AA31" s="14">
        <f t="shared" si="15"/>
        <v>0</v>
      </c>
      <c r="AB31" s="148">
        <f t="shared" si="2"/>
        <v>7.58</v>
      </c>
      <c r="AC31" s="149">
        <f t="shared" si="3"/>
        <v>48.04</v>
      </c>
      <c r="AD31" s="129">
        <f t="shared" si="4"/>
        <v>55.62</v>
      </c>
      <c r="AE31" s="77">
        <f t="shared" si="16"/>
        <v>22928051</v>
      </c>
      <c r="AF31" s="158">
        <v>0.02</v>
      </c>
      <c r="AG31" s="290">
        <v>19259439</v>
      </c>
      <c r="AH31" s="290">
        <v>0</v>
      </c>
      <c r="AI31" s="508">
        <f t="shared" si="17"/>
        <v>19259439</v>
      </c>
      <c r="AJ31" s="77">
        <v>1014371300</v>
      </c>
      <c r="AK31" s="77">
        <f t="shared" si="20"/>
        <v>962971950</v>
      </c>
      <c r="AL31" s="611">
        <f t="shared" si="18"/>
        <v>-5.0671139847903821E-2</v>
      </c>
      <c r="AM31" s="614">
        <f t="shared" si="19"/>
        <v>962971950</v>
      </c>
      <c r="AN31" s="131">
        <f t="shared" si="6"/>
        <v>0.02</v>
      </c>
      <c r="AO31" s="131">
        <f t="shared" si="7"/>
        <v>0</v>
      </c>
      <c r="AP31" s="77">
        <v>142222</v>
      </c>
      <c r="AQ31" s="77">
        <f t="shared" si="8"/>
        <v>42329712</v>
      </c>
      <c r="AR31" s="77">
        <f>ROUND(AQ31/'Table 3 Levels 1&amp;2'!C31,2)</f>
        <v>9450.7099999999991</v>
      </c>
    </row>
    <row r="32" spans="1:44">
      <c r="A32" s="18">
        <v>25</v>
      </c>
      <c r="B32" s="70" t="s">
        <v>126</v>
      </c>
      <c r="C32" s="20">
        <v>224380110</v>
      </c>
      <c r="D32" s="20">
        <v>19154680</v>
      </c>
      <c r="E32" s="20">
        <f t="shared" si="9"/>
        <v>205225430</v>
      </c>
      <c r="F32" s="20">
        <v>187312980</v>
      </c>
      <c r="G32" s="781">
        <f t="shared" si="10"/>
        <v>9.5628450308142016E-2</v>
      </c>
      <c r="H32" s="782">
        <f t="shared" si="1"/>
        <v>205225430</v>
      </c>
      <c r="I32" s="514">
        <v>4.4000000000000004</v>
      </c>
      <c r="J32" s="500">
        <v>898905</v>
      </c>
      <c r="K32" s="514">
        <v>19.079999999999998</v>
      </c>
      <c r="L32" s="500">
        <v>3897980</v>
      </c>
      <c r="M32" s="499">
        <v>0</v>
      </c>
      <c r="N32" s="499">
        <v>0</v>
      </c>
      <c r="O32" s="499">
        <v>0</v>
      </c>
      <c r="P32" s="500">
        <v>0</v>
      </c>
      <c r="Q32" s="78">
        <f t="shared" si="11"/>
        <v>4796885</v>
      </c>
      <c r="R32" s="499">
        <v>0</v>
      </c>
      <c r="S32" s="500">
        <v>353187</v>
      </c>
      <c r="T32" s="499">
        <v>1</v>
      </c>
      <c r="U32" s="499">
        <v>10</v>
      </c>
      <c r="V32" s="499">
        <v>3</v>
      </c>
      <c r="W32" s="500">
        <v>0</v>
      </c>
      <c r="X32" s="20">
        <f t="shared" si="12"/>
        <v>353187</v>
      </c>
      <c r="Y32" s="150">
        <f t="shared" si="13"/>
        <v>23.479999999999997</v>
      </c>
      <c r="Z32" s="20">
        <f t="shared" si="14"/>
        <v>5150072</v>
      </c>
      <c r="AA32" s="20">
        <f t="shared" si="15"/>
        <v>0</v>
      </c>
      <c r="AB32" s="151">
        <f t="shared" si="2"/>
        <v>1.72</v>
      </c>
      <c r="AC32" s="152">
        <f t="shared" si="3"/>
        <v>23.37</v>
      </c>
      <c r="AD32" s="130">
        <f t="shared" si="4"/>
        <v>25.09</v>
      </c>
      <c r="AE32" s="78">
        <f t="shared" si="16"/>
        <v>5150072</v>
      </c>
      <c r="AF32" s="159">
        <v>0.03</v>
      </c>
      <c r="AG32" s="291">
        <v>6267649</v>
      </c>
      <c r="AH32" s="291">
        <v>0</v>
      </c>
      <c r="AI32" s="509">
        <f t="shared" si="17"/>
        <v>6267649</v>
      </c>
      <c r="AJ32" s="78">
        <v>319207633</v>
      </c>
      <c r="AK32" s="78">
        <f t="shared" si="20"/>
        <v>208921633</v>
      </c>
      <c r="AL32" s="612">
        <f t="shared" si="18"/>
        <v>-0.34549925690530087</v>
      </c>
      <c r="AM32" s="615">
        <f t="shared" si="19"/>
        <v>208921633</v>
      </c>
      <c r="AN32" s="132">
        <f t="shared" si="6"/>
        <v>3.0000000047864836E-2</v>
      </c>
      <c r="AO32" s="132">
        <f t="shared" si="7"/>
        <v>0</v>
      </c>
      <c r="AP32" s="78">
        <v>96687.5</v>
      </c>
      <c r="AQ32" s="78">
        <f t="shared" si="8"/>
        <v>11514408.5</v>
      </c>
      <c r="AR32" s="78">
        <f>ROUND(AQ32/'Table 3 Levels 1&amp;2'!C32,2)</f>
        <v>5172.6899999999996</v>
      </c>
    </row>
    <row r="33" spans="1:44" s="75" customFormat="1">
      <c r="A33" s="103">
        <v>26</v>
      </c>
      <c r="B33" s="161" t="s">
        <v>127</v>
      </c>
      <c r="C33" s="77">
        <v>4000207625</v>
      </c>
      <c r="D33" s="77">
        <v>765647430</v>
      </c>
      <c r="E33" s="14">
        <f t="shared" si="9"/>
        <v>3234560195</v>
      </c>
      <c r="F33" s="77">
        <v>3247863293</v>
      </c>
      <c r="G33" s="604">
        <f t="shared" si="10"/>
        <v>-4.0959538009717579E-3</v>
      </c>
      <c r="H33" s="605">
        <f t="shared" si="1"/>
        <v>3234560195</v>
      </c>
      <c r="I33" s="513">
        <v>2.91</v>
      </c>
      <c r="J33" s="498">
        <v>9327126</v>
      </c>
      <c r="K33" s="513">
        <v>20</v>
      </c>
      <c r="L33" s="498">
        <v>64080120</v>
      </c>
      <c r="M33" s="497">
        <v>0</v>
      </c>
      <c r="N33" s="497">
        <v>0</v>
      </c>
      <c r="O33" s="497">
        <v>0</v>
      </c>
      <c r="P33" s="498">
        <v>0</v>
      </c>
      <c r="Q33" s="77">
        <f t="shared" si="11"/>
        <v>73407246</v>
      </c>
      <c r="R33" s="497">
        <v>0</v>
      </c>
      <c r="S33" s="498">
        <v>0</v>
      </c>
      <c r="T33" s="497">
        <v>0</v>
      </c>
      <c r="U33" s="497">
        <v>0</v>
      </c>
      <c r="V33" s="497">
        <v>0</v>
      </c>
      <c r="W33" s="498">
        <v>0</v>
      </c>
      <c r="X33" s="77">
        <f t="shared" si="12"/>
        <v>0</v>
      </c>
      <c r="Y33" s="162">
        <f t="shared" si="13"/>
        <v>22.91</v>
      </c>
      <c r="Z33" s="77">
        <f t="shared" si="14"/>
        <v>73407246</v>
      </c>
      <c r="AA33" s="77">
        <f t="shared" si="15"/>
        <v>0</v>
      </c>
      <c r="AB33" s="163">
        <f t="shared" si="2"/>
        <v>0</v>
      </c>
      <c r="AC33" s="164">
        <f t="shared" si="3"/>
        <v>22.69</v>
      </c>
      <c r="AD33" s="129">
        <f t="shared" si="4"/>
        <v>22.69</v>
      </c>
      <c r="AE33" s="77">
        <f t="shared" si="16"/>
        <v>73407246</v>
      </c>
      <c r="AF33" s="158">
        <v>0.02</v>
      </c>
      <c r="AG33" s="290">
        <v>173459233</v>
      </c>
      <c r="AH33" s="290">
        <v>0</v>
      </c>
      <c r="AI33" s="508">
        <f t="shared" si="17"/>
        <v>173459233</v>
      </c>
      <c r="AJ33" s="77">
        <v>8066606400</v>
      </c>
      <c r="AK33" s="77">
        <f t="shared" si="20"/>
        <v>8672961650</v>
      </c>
      <c r="AL33" s="611">
        <f t="shared" si="18"/>
        <v>7.5168567788308105E-2</v>
      </c>
      <c r="AM33" s="614">
        <f t="shared" si="19"/>
        <v>8672961650</v>
      </c>
      <c r="AN33" s="131">
        <f t="shared" si="6"/>
        <v>0.02</v>
      </c>
      <c r="AO33" s="131">
        <f t="shared" si="7"/>
        <v>0</v>
      </c>
      <c r="AP33" s="77">
        <v>2185711</v>
      </c>
      <c r="AQ33" s="77">
        <f t="shared" si="8"/>
        <v>249052190</v>
      </c>
      <c r="AR33" s="77">
        <f>ROUND(AQ33/'Table 3 Levels 1&amp;2'!C33,2)</f>
        <v>5615.99</v>
      </c>
    </row>
    <row r="34" spans="1:44">
      <c r="A34" s="12">
        <v>27</v>
      </c>
      <c r="B34" s="69" t="s">
        <v>128</v>
      </c>
      <c r="C34" s="14">
        <v>220013777</v>
      </c>
      <c r="D34" s="14">
        <v>45857564</v>
      </c>
      <c r="E34" s="14">
        <f t="shared" si="9"/>
        <v>174156213</v>
      </c>
      <c r="F34" s="14">
        <v>160226248</v>
      </c>
      <c r="G34" s="604">
        <f t="shared" si="10"/>
        <v>8.6939344669669849E-2</v>
      </c>
      <c r="H34" s="605">
        <f t="shared" si="1"/>
        <v>174156213</v>
      </c>
      <c r="I34" s="513">
        <v>6.48</v>
      </c>
      <c r="J34" s="498">
        <v>1093461</v>
      </c>
      <c r="K34" s="513">
        <v>10.77</v>
      </c>
      <c r="L34" s="498">
        <v>1817368</v>
      </c>
      <c r="M34" s="497">
        <v>4.0199999999999996</v>
      </c>
      <c r="N34" s="497">
        <v>16.37</v>
      </c>
      <c r="O34" s="497">
        <v>7</v>
      </c>
      <c r="P34" s="498">
        <v>1969344</v>
      </c>
      <c r="Q34" s="77">
        <f t="shared" si="11"/>
        <v>4880173</v>
      </c>
      <c r="R34" s="497">
        <v>0</v>
      </c>
      <c r="S34" s="498">
        <v>0</v>
      </c>
      <c r="T34" s="497">
        <v>3.4</v>
      </c>
      <c r="U34" s="497">
        <v>17.649999999999999</v>
      </c>
      <c r="V34" s="497">
        <v>7</v>
      </c>
      <c r="W34" s="498">
        <v>1989819</v>
      </c>
      <c r="X34" s="14">
        <f t="shared" si="12"/>
        <v>1989819</v>
      </c>
      <c r="Y34" s="147">
        <f t="shared" si="13"/>
        <v>17.25</v>
      </c>
      <c r="Z34" s="14">
        <f t="shared" si="14"/>
        <v>2910829</v>
      </c>
      <c r="AA34" s="14">
        <f t="shared" si="15"/>
        <v>3959163</v>
      </c>
      <c r="AB34" s="148">
        <f t="shared" si="2"/>
        <v>11.43</v>
      </c>
      <c r="AC34" s="149">
        <f t="shared" si="3"/>
        <v>28.02</v>
      </c>
      <c r="AD34" s="129">
        <f t="shared" si="4"/>
        <v>39.450000000000003</v>
      </c>
      <c r="AE34" s="77">
        <f t="shared" si="16"/>
        <v>6869992</v>
      </c>
      <c r="AF34" s="158">
        <v>2.5000000000000001E-2</v>
      </c>
      <c r="AG34" s="290">
        <v>8649982</v>
      </c>
      <c r="AH34" s="290">
        <v>1311170</v>
      </c>
      <c r="AI34" s="508">
        <f t="shared" si="17"/>
        <v>9961152</v>
      </c>
      <c r="AJ34" s="77">
        <v>371130800</v>
      </c>
      <c r="AK34" s="77">
        <f t="shared" si="20"/>
        <v>398446080</v>
      </c>
      <c r="AL34" s="611">
        <f t="shared" si="18"/>
        <v>7.3600143130130941E-2</v>
      </c>
      <c r="AM34" s="614">
        <f t="shared" si="19"/>
        <v>398446080</v>
      </c>
      <c r="AN34" s="131">
        <f t="shared" si="6"/>
        <v>2.1709291254666127E-2</v>
      </c>
      <c r="AO34" s="131">
        <f t="shared" si="7"/>
        <v>3.290708745333873E-3</v>
      </c>
      <c r="AP34" s="77">
        <v>320663</v>
      </c>
      <c r="AQ34" s="77">
        <f t="shared" si="8"/>
        <v>17151807</v>
      </c>
      <c r="AR34" s="77">
        <f>ROUND(AQ34/'Table 3 Levels 1&amp;2'!C34,2)</f>
        <v>3055.18</v>
      </c>
    </row>
    <row r="35" spans="1:44">
      <c r="A35" s="12">
        <v>28</v>
      </c>
      <c r="B35" s="69" t="s">
        <v>129</v>
      </c>
      <c r="C35" s="14">
        <v>1975116139</v>
      </c>
      <c r="D35" s="14">
        <v>345680685</v>
      </c>
      <c r="E35" s="14">
        <f t="shared" si="9"/>
        <v>1629435454</v>
      </c>
      <c r="F35" s="14">
        <v>1580320241</v>
      </c>
      <c r="G35" s="604">
        <f t="shared" si="10"/>
        <v>3.1079278570095844E-2</v>
      </c>
      <c r="H35" s="605">
        <f t="shared" si="1"/>
        <v>1629435454</v>
      </c>
      <c r="I35" s="513">
        <v>4.59</v>
      </c>
      <c r="J35" s="498">
        <v>7171043</v>
      </c>
      <c r="K35" s="513">
        <v>28.97</v>
      </c>
      <c r="L35" s="498">
        <v>45247653</v>
      </c>
      <c r="M35" s="497">
        <v>0</v>
      </c>
      <c r="N35" s="497">
        <v>0</v>
      </c>
      <c r="O35" s="497">
        <v>0</v>
      </c>
      <c r="P35" s="498">
        <v>0</v>
      </c>
      <c r="Q35" s="77">
        <f t="shared" si="11"/>
        <v>52418696</v>
      </c>
      <c r="R35" s="497">
        <v>0</v>
      </c>
      <c r="S35" s="498">
        <v>0</v>
      </c>
      <c r="T35" s="497">
        <v>0</v>
      </c>
      <c r="U35" s="497">
        <v>0</v>
      </c>
      <c r="V35" s="497">
        <v>0</v>
      </c>
      <c r="W35" s="498">
        <v>0</v>
      </c>
      <c r="X35" s="14">
        <f t="shared" si="12"/>
        <v>0</v>
      </c>
      <c r="Y35" s="147">
        <f t="shared" si="13"/>
        <v>33.56</v>
      </c>
      <c r="Z35" s="14">
        <f t="shared" si="14"/>
        <v>52418696</v>
      </c>
      <c r="AA35" s="14">
        <f t="shared" si="15"/>
        <v>0</v>
      </c>
      <c r="AB35" s="148">
        <f t="shared" si="2"/>
        <v>0</v>
      </c>
      <c r="AC35" s="149">
        <f t="shared" si="3"/>
        <v>32.17</v>
      </c>
      <c r="AD35" s="129">
        <f t="shared" si="4"/>
        <v>32.17</v>
      </c>
      <c r="AE35" s="77">
        <f t="shared" si="16"/>
        <v>52418696</v>
      </c>
      <c r="AF35" s="158">
        <v>0.02</v>
      </c>
      <c r="AG35" s="290">
        <v>90621114</v>
      </c>
      <c r="AH35" s="290">
        <v>7475186</v>
      </c>
      <c r="AI35" s="508">
        <f t="shared" si="17"/>
        <v>98096300</v>
      </c>
      <c r="AJ35" s="77">
        <v>4537316300</v>
      </c>
      <c r="AK35" s="77">
        <f t="shared" si="20"/>
        <v>4904815000</v>
      </c>
      <c r="AL35" s="611">
        <f t="shared" si="18"/>
        <v>8.0994728095107674E-2</v>
      </c>
      <c r="AM35" s="614">
        <f t="shared" si="19"/>
        <v>4904815000</v>
      </c>
      <c r="AN35" s="131">
        <f t="shared" si="6"/>
        <v>1.8475949449673432E-2</v>
      </c>
      <c r="AO35" s="131">
        <f t="shared" si="7"/>
        <v>1.5240505503265668E-3</v>
      </c>
      <c r="AP35" s="77">
        <v>2128077.5</v>
      </c>
      <c r="AQ35" s="77">
        <f t="shared" si="8"/>
        <v>152643073.5</v>
      </c>
      <c r="AR35" s="77">
        <f>ROUND(AQ35/'Table 3 Levels 1&amp;2'!C35,2)</f>
        <v>5148.34</v>
      </c>
    </row>
    <row r="36" spans="1:44">
      <c r="A36" s="12">
        <v>29</v>
      </c>
      <c r="B36" s="69" t="s">
        <v>130</v>
      </c>
      <c r="C36" s="14">
        <v>900172690</v>
      </c>
      <c r="D36" s="14">
        <v>166191819</v>
      </c>
      <c r="E36" s="14">
        <f t="shared" si="9"/>
        <v>733980871</v>
      </c>
      <c r="F36" s="14">
        <v>649751986</v>
      </c>
      <c r="G36" s="606">
        <f t="shared" si="10"/>
        <v>0.12963236252424476</v>
      </c>
      <c r="H36" s="607">
        <f t="shared" si="1"/>
        <v>714727184.60000002</v>
      </c>
      <c r="I36" s="513">
        <v>3.63</v>
      </c>
      <c r="J36" s="498">
        <v>2569495</v>
      </c>
      <c r="K36" s="513">
        <v>22.47</v>
      </c>
      <c r="L36" s="498">
        <v>15905386</v>
      </c>
      <c r="M36" s="497">
        <v>0</v>
      </c>
      <c r="N36" s="497">
        <v>0</v>
      </c>
      <c r="O36" s="497">
        <v>0</v>
      </c>
      <c r="P36" s="498">
        <v>0</v>
      </c>
      <c r="Q36" s="77">
        <f t="shared" si="11"/>
        <v>18474881</v>
      </c>
      <c r="R36" s="497">
        <v>17.2</v>
      </c>
      <c r="S36" s="498">
        <v>12175017</v>
      </c>
      <c r="T36" s="497">
        <v>0</v>
      </c>
      <c r="U36" s="497">
        <v>0</v>
      </c>
      <c r="V36" s="497">
        <v>0</v>
      </c>
      <c r="W36" s="498">
        <v>0</v>
      </c>
      <c r="X36" s="14">
        <f t="shared" si="12"/>
        <v>12175017</v>
      </c>
      <c r="Y36" s="147">
        <f t="shared" si="13"/>
        <v>43.3</v>
      </c>
      <c r="Z36" s="14">
        <f t="shared" si="14"/>
        <v>30649898</v>
      </c>
      <c r="AA36" s="14">
        <f t="shared" si="15"/>
        <v>0</v>
      </c>
      <c r="AB36" s="148">
        <f t="shared" si="2"/>
        <v>16.59</v>
      </c>
      <c r="AC36" s="149">
        <f t="shared" si="3"/>
        <v>25.17</v>
      </c>
      <c r="AD36" s="129">
        <f t="shared" si="4"/>
        <v>41.76</v>
      </c>
      <c r="AE36" s="77">
        <f t="shared" si="16"/>
        <v>30649898</v>
      </c>
      <c r="AF36" s="158">
        <v>0.02</v>
      </c>
      <c r="AG36" s="290">
        <v>28758946</v>
      </c>
      <c r="AH36" s="290">
        <v>0</v>
      </c>
      <c r="AI36" s="508">
        <f t="shared" si="17"/>
        <v>28758946</v>
      </c>
      <c r="AJ36" s="77">
        <v>1268747050</v>
      </c>
      <c r="AK36" s="77">
        <f t="shared" si="20"/>
        <v>1437947300</v>
      </c>
      <c r="AL36" s="611">
        <f t="shared" si="18"/>
        <v>0.1333601130343515</v>
      </c>
      <c r="AM36" s="614">
        <f t="shared" si="19"/>
        <v>1437947300</v>
      </c>
      <c r="AN36" s="131">
        <f t="shared" si="6"/>
        <v>0.02</v>
      </c>
      <c r="AO36" s="131">
        <f t="shared" si="7"/>
        <v>0</v>
      </c>
      <c r="AP36" s="77">
        <v>922795.5</v>
      </c>
      <c r="AQ36" s="77">
        <f t="shared" si="8"/>
        <v>60331639.5</v>
      </c>
      <c r="AR36" s="77">
        <f>ROUND(AQ36/'Table 3 Levels 1&amp;2'!C36,2)</f>
        <v>4440.72</v>
      </c>
    </row>
    <row r="37" spans="1:44">
      <c r="A37" s="18">
        <v>30</v>
      </c>
      <c r="B37" s="70" t="s">
        <v>131</v>
      </c>
      <c r="C37" s="20">
        <v>82694010</v>
      </c>
      <c r="D37" s="20">
        <v>20245890</v>
      </c>
      <c r="E37" s="20">
        <f t="shared" si="9"/>
        <v>62448120</v>
      </c>
      <c r="F37" s="20">
        <v>62047223</v>
      </c>
      <c r="G37" s="781">
        <f t="shared" si="10"/>
        <v>6.4611594301327551E-3</v>
      </c>
      <c r="H37" s="782">
        <f t="shared" si="1"/>
        <v>62448120</v>
      </c>
      <c r="I37" s="514">
        <v>5.14</v>
      </c>
      <c r="J37" s="500">
        <v>308266</v>
      </c>
      <c r="K37" s="514">
        <v>44.96</v>
      </c>
      <c r="L37" s="500">
        <v>2696024</v>
      </c>
      <c r="M37" s="499">
        <v>0</v>
      </c>
      <c r="N37" s="499">
        <v>0</v>
      </c>
      <c r="O37" s="499">
        <v>0</v>
      </c>
      <c r="P37" s="500">
        <v>0</v>
      </c>
      <c r="Q37" s="78">
        <f t="shared" si="11"/>
        <v>3004290</v>
      </c>
      <c r="R37" s="499">
        <v>0</v>
      </c>
      <c r="S37" s="500">
        <v>0</v>
      </c>
      <c r="T37" s="499">
        <v>0</v>
      </c>
      <c r="U37" s="499">
        <v>0</v>
      </c>
      <c r="V37" s="499">
        <v>0</v>
      </c>
      <c r="W37" s="500">
        <v>0</v>
      </c>
      <c r="X37" s="20">
        <f t="shared" si="12"/>
        <v>0</v>
      </c>
      <c r="Y37" s="150">
        <f t="shared" si="13"/>
        <v>50.1</v>
      </c>
      <c r="Z37" s="20">
        <f t="shared" si="14"/>
        <v>3004290</v>
      </c>
      <c r="AA37" s="20">
        <f t="shared" si="15"/>
        <v>0</v>
      </c>
      <c r="AB37" s="151">
        <f t="shared" si="2"/>
        <v>0</v>
      </c>
      <c r="AC37" s="152">
        <f t="shared" si="3"/>
        <v>48.11</v>
      </c>
      <c r="AD37" s="130">
        <f t="shared" si="4"/>
        <v>48.11</v>
      </c>
      <c r="AE37" s="78">
        <f t="shared" si="16"/>
        <v>3004290</v>
      </c>
      <c r="AF37" s="159">
        <v>0.03</v>
      </c>
      <c r="AG37" s="291">
        <v>5747108</v>
      </c>
      <c r="AH37" s="291">
        <v>0</v>
      </c>
      <c r="AI37" s="509">
        <f t="shared" si="17"/>
        <v>5747108</v>
      </c>
      <c r="AJ37" s="78">
        <v>176259067</v>
      </c>
      <c r="AK37" s="78">
        <f t="shared" si="20"/>
        <v>191570267</v>
      </c>
      <c r="AL37" s="612">
        <f t="shared" si="18"/>
        <v>8.6867587923859832E-2</v>
      </c>
      <c r="AM37" s="615">
        <f t="shared" si="19"/>
        <v>191570267</v>
      </c>
      <c r="AN37" s="132">
        <f t="shared" si="6"/>
        <v>2.9999999947799831E-2</v>
      </c>
      <c r="AO37" s="132">
        <f t="shared" si="7"/>
        <v>0</v>
      </c>
      <c r="AP37" s="78">
        <v>79994</v>
      </c>
      <c r="AQ37" s="78">
        <f t="shared" si="8"/>
        <v>8831392</v>
      </c>
      <c r="AR37" s="78">
        <f>ROUND(AQ37/'Table 3 Levels 1&amp;2'!C37,2)</f>
        <v>3625.37</v>
      </c>
    </row>
    <row r="38" spans="1:44">
      <c r="A38" s="12">
        <v>31</v>
      </c>
      <c r="B38" s="69" t="s">
        <v>132</v>
      </c>
      <c r="C38" s="14">
        <v>410256843</v>
      </c>
      <c r="D38" s="14">
        <v>57011497</v>
      </c>
      <c r="E38" s="14">
        <f t="shared" si="9"/>
        <v>353245346</v>
      </c>
      <c r="F38" s="14">
        <v>352084053</v>
      </c>
      <c r="G38" s="604">
        <f t="shared" si="10"/>
        <v>3.2983402403630024E-3</v>
      </c>
      <c r="H38" s="605">
        <f t="shared" si="1"/>
        <v>353245346</v>
      </c>
      <c r="I38" s="513">
        <v>4.2300000000000004</v>
      </c>
      <c r="J38" s="498">
        <v>1479469</v>
      </c>
      <c r="K38" s="513">
        <v>28.62</v>
      </c>
      <c r="L38" s="498">
        <v>10044690</v>
      </c>
      <c r="M38" s="497">
        <v>4.9400000000000004</v>
      </c>
      <c r="N38" s="497">
        <v>11.85</v>
      </c>
      <c r="O38" s="497">
        <v>4</v>
      </c>
      <c r="P38" s="498">
        <v>976777</v>
      </c>
      <c r="Q38" s="77">
        <f t="shared" si="11"/>
        <v>12500936</v>
      </c>
      <c r="R38" s="497">
        <v>0</v>
      </c>
      <c r="S38" s="498">
        <v>0</v>
      </c>
      <c r="T38" s="497">
        <v>16.95</v>
      </c>
      <c r="U38" s="497">
        <v>40</v>
      </c>
      <c r="V38" s="497">
        <v>4</v>
      </c>
      <c r="W38" s="498">
        <v>3642994</v>
      </c>
      <c r="X38" s="14">
        <f t="shared" si="12"/>
        <v>3642994</v>
      </c>
      <c r="Y38" s="147">
        <f t="shared" si="13"/>
        <v>32.85</v>
      </c>
      <c r="Z38" s="14">
        <f t="shared" si="14"/>
        <v>11524159</v>
      </c>
      <c r="AA38" s="14">
        <f t="shared" si="15"/>
        <v>4619771</v>
      </c>
      <c r="AB38" s="148">
        <f t="shared" si="2"/>
        <v>10.31</v>
      </c>
      <c r="AC38" s="149">
        <f t="shared" si="3"/>
        <v>35.39</v>
      </c>
      <c r="AD38" s="129">
        <f t="shared" si="4"/>
        <v>45.7</v>
      </c>
      <c r="AE38" s="77">
        <f t="shared" si="16"/>
        <v>16143930</v>
      </c>
      <c r="AF38" s="158">
        <v>0.02</v>
      </c>
      <c r="AG38" s="290">
        <v>14503760</v>
      </c>
      <c r="AH38" s="290">
        <v>0</v>
      </c>
      <c r="AI38" s="508">
        <f t="shared" si="17"/>
        <v>14503760</v>
      </c>
      <c r="AJ38" s="77">
        <v>686893800</v>
      </c>
      <c r="AK38" s="77">
        <f t="shared" si="20"/>
        <v>725188000</v>
      </c>
      <c r="AL38" s="611">
        <f t="shared" si="18"/>
        <v>5.5749811688502647E-2</v>
      </c>
      <c r="AM38" s="614">
        <f t="shared" si="19"/>
        <v>725188000</v>
      </c>
      <c r="AN38" s="131">
        <f t="shared" si="6"/>
        <v>0.02</v>
      </c>
      <c r="AO38" s="131">
        <f t="shared" si="7"/>
        <v>0</v>
      </c>
      <c r="AP38" s="77">
        <v>293414</v>
      </c>
      <c r="AQ38" s="77">
        <f t="shared" si="8"/>
        <v>30941104</v>
      </c>
      <c r="AR38" s="77">
        <f>ROUND(AQ38/'Table 3 Levels 1&amp;2'!C38,2)</f>
        <v>4786.68</v>
      </c>
    </row>
    <row r="39" spans="1:44">
      <c r="A39" s="12">
        <v>32</v>
      </c>
      <c r="B39" s="69" t="s">
        <v>133</v>
      </c>
      <c r="C39" s="14">
        <v>630698590</v>
      </c>
      <c r="D39" s="14">
        <v>221782100</v>
      </c>
      <c r="E39" s="14">
        <f t="shared" si="9"/>
        <v>408916490</v>
      </c>
      <c r="F39" s="14">
        <v>385419320</v>
      </c>
      <c r="G39" s="604">
        <f t="shared" si="10"/>
        <v>6.0965210565988234E-2</v>
      </c>
      <c r="H39" s="605">
        <f t="shared" si="1"/>
        <v>408916490</v>
      </c>
      <c r="I39" s="513">
        <v>3.29</v>
      </c>
      <c r="J39" s="498">
        <v>1295722</v>
      </c>
      <c r="K39" s="513">
        <v>19.18</v>
      </c>
      <c r="L39" s="498">
        <v>7553703</v>
      </c>
      <c r="M39" s="497">
        <v>0</v>
      </c>
      <c r="N39" s="497">
        <v>0</v>
      </c>
      <c r="O39" s="497">
        <v>0</v>
      </c>
      <c r="P39" s="498">
        <v>0</v>
      </c>
      <c r="Q39" s="77">
        <f t="shared" si="11"/>
        <v>8849425</v>
      </c>
      <c r="R39" s="497">
        <v>0</v>
      </c>
      <c r="S39" s="498">
        <v>0</v>
      </c>
      <c r="T39" s="497">
        <v>11.41</v>
      </c>
      <c r="U39" s="497">
        <v>53.76</v>
      </c>
      <c r="V39" s="497">
        <v>10</v>
      </c>
      <c r="W39" s="498">
        <v>6423426</v>
      </c>
      <c r="X39" s="14">
        <f t="shared" si="12"/>
        <v>6423426</v>
      </c>
      <c r="Y39" s="147">
        <f t="shared" si="13"/>
        <v>22.47</v>
      </c>
      <c r="Z39" s="14">
        <f t="shared" si="14"/>
        <v>8849425</v>
      </c>
      <c r="AA39" s="14">
        <f t="shared" si="15"/>
        <v>6423426</v>
      </c>
      <c r="AB39" s="148">
        <f t="shared" si="2"/>
        <v>15.71</v>
      </c>
      <c r="AC39" s="149">
        <f t="shared" si="3"/>
        <v>21.64</v>
      </c>
      <c r="AD39" s="129">
        <f t="shared" si="4"/>
        <v>37.35</v>
      </c>
      <c r="AE39" s="77">
        <f t="shared" si="16"/>
        <v>15272851</v>
      </c>
      <c r="AF39" s="158">
        <v>2.5000000000000001E-2</v>
      </c>
      <c r="AG39" s="290">
        <v>29923494</v>
      </c>
      <c r="AH39" s="290">
        <v>956948</v>
      </c>
      <c r="AI39" s="512">
        <f>AG39+AH39+758118</f>
        <v>31638560</v>
      </c>
      <c r="AJ39" s="77">
        <v>1226652320</v>
      </c>
      <c r="AK39" s="77">
        <f t="shared" si="20"/>
        <v>1265542400</v>
      </c>
      <c r="AL39" s="611">
        <f t="shared" si="18"/>
        <v>3.1704240366985159E-2</v>
      </c>
      <c r="AM39" s="614">
        <f t="shared" si="19"/>
        <v>1265542400</v>
      </c>
      <c r="AN39" s="131">
        <f t="shared" si="6"/>
        <v>2.3644797677264705E-2</v>
      </c>
      <c r="AO39" s="131">
        <f t="shared" si="7"/>
        <v>7.5615641166981056E-4</v>
      </c>
      <c r="AP39" s="77">
        <v>925425.5</v>
      </c>
      <c r="AQ39" s="77">
        <f t="shared" si="8"/>
        <v>47836836.5</v>
      </c>
      <c r="AR39" s="77">
        <f>ROUND(AQ39/'Table 3 Levels 1&amp;2'!C39,2)</f>
        <v>1956.28</v>
      </c>
    </row>
    <row r="40" spans="1:44">
      <c r="A40" s="12">
        <v>33</v>
      </c>
      <c r="B40" s="69" t="s">
        <v>134</v>
      </c>
      <c r="C40" s="14">
        <v>113519401</v>
      </c>
      <c r="D40" s="14">
        <v>10176231</v>
      </c>
      <c r="E40" s="14">
        <f t="shared" si="9"/>
        <v>103343170</v>
      </c>
      <c r="F40" s="14">
        <v>91809269</v>
      </c>
      <c r="G40" s="606">
        <f t="shared" si="10"/>
        <v>0.12562893840272271</v>
      </c>
      <c r="H40" s="607">
        <f t="shared" ref="H40:H76" si="21">IF((E40-F40)/F40&gt;$H$5,F40*(1+$H$5),E40)</f>
        <v>100990195.90000001</v>
      </c>
      <c r="I40" s="513">
        <v>4.76</v>
      </c>
      <c r="J40" s="498">
        <v>474365</v>
      </c>
      <c r="K40" s="513">
        <v>5.27</v>
      </c>
      <c r="L40" s="498">
        <v>525188</v>
      </c>
      <c r="M40" s="497">
        <v>0</v>
      </c>
      <c r="N40" s="497">
        <v>0</v>
      </c>
      <c r="O40" s="497">
        <v>0</v>
      </c>
      <c r="P40" s="498">
        <v>0</v>
      </c>
      <c r="Q40" s="77">
        <f t="shared" si="11"/>
        <v>999553</v>
      </c>
      <c r="R40" s="497">
        <v>14.85</v>
      </c>
      <c r="S40" s="498">
        <v>1360286</v>
      </c>
      <c r="T40" s="497">
        <v>0</v>
      </c>
      <c r="U40" s="497">
        <v>0</v>
      </c>
      <c r="V40" s="497">
        <v>0</v>
      </c>
      <c r="W40" s="498">
        <v>0</v>
      </c>
      <c r="X40" s="14">
        <f t="shared" si="12"/>
        <v>1360286</v>
      </c>
      <c r="Y40" s="147">
        <f t="shared" si="13"/>
        <v>24.88</v>
      </c>
      <c r="Z40" s="14">
        <f t="shared" si="14"/>
        <v>2359839</v>
      </c>
      <c r="AA40" s="14">
        <f t="shared" si="15"/>
        <v>0</v>
      </c>
      <c r="AB40" s="148">
        <f t="shared" ref="AB40:AB71" si="22">ROUND((X40/E40)*1000,2)</f>
        <v>13.16</v>
      </c>
      <c r="AC40" s="149">
        <f t="shared" ref="AC40:AC71" si="23">ROUND((Q40/E40)*1000,2)</f>
        <v>9.67</v>
      </c>
      <c r="AD40" s="129">
        <f t="shared" ref="AD40:AD71" si="24">ROUND((AE40/E40)*1000,2)</f>
        <v>22.83</v>
      </c>
      <c r="AE40" s="77">
        <f t="shared" si="16"/>
        <v>2359839</v>
      </c>
      <c r="AF40" s="158">
        <v>2.5000000000000001E-2</v>
      </c>
      <c r="AG40" s="290">
        <v>1870465</v>
      </c>
      <c r="AH40" s="290">
        <v>1247467</v>
      </c>
      <c r="AI40" s="508">
        <f t="shared" si="17"/>
        <v>3117932</v>
      </c>
      <c r="AJ40" s="77">
        <v>155740760</v>
      </c>
      <c r="AK40" s="77">
        <f t="shared" si="20"/>
        <v>124717280</v>
      </c>
      <c r="AL40" s="611">
        <f t="shared" si="18"/>
        <v>-0.19919949022978956</v>
      </c>
      <c r="AM40" s="614">
        <f t="shared" si="19"/>
        <v>124717280</v>
      </c>
      <c r="AN40" s="131">
        <f t="shared" ref="AN40:AN76" si="25">AG40/AK40</f>
        <v>1.4997641064654392E-2</v>
      </c>
      <c r="AO40" s="131">
        <f t="shared" ref="AO40:AO76" si="26">AH40/AK40</f>
        <v>1.0002358935345608E-2</v>
      </c>
      <c r="AP40" s="77">
        <v>55775.5</v>
      </c>
      <c r="AQ40" s="77">
        <f t="shared" ref="AQ40:AQ71" si="27">AP40+AE40+AI40</f>
        <v>5533546.5</v>
      </c>
      <c r="AR40" s="77">
        <f>ROUND(AQ40/'Table 3 Levels 1&amp;2'!C40,2)</f>
        <v>2768.16</v>
      </c>
    </row>
    <row r="41" spans="1:44">
      <c r="A41" s="12">
        <v>34</v>
      </c>
      <c r="B41" s="69" t="s">
        <v>135</v>
      </c>
      <c r="C41" s="14">
        <v>188511210</v>
      </c>
      <c r="D41" s="14">
        <v>36764441</v>
      </c>
      <c r="E41" s="14">
        <f t="shared" si="9"/>
        <v>151746769</v>
      </c>
      <c r="F41" s="14">
        <v>150170027</v>
      </c>
      <c r="G41" s="604">
        <f t="shared" si="10"/>
        <v>1.0499711770045829E-2</v>
      </c>
      <c r="H41" s="605">
        <f t="shared" si="21"/>
        <v>151746769</v>
      </c>
      <c r="I41" s="513">
        <v>5.22</v>
      </c>
      <c r="J41" s="498">
        <v>776503</v>
      </c>
      <c r="K41" s="513">
        <v>22.46</v>
      </c>
      <c r="L41" s="498">
        <v>3341034</v>
      </c>
      <c r="M41" s="497">
        <v>5</v>
      </c>
      <c r="N41" s="497">
        <v>9.9499999999999993</v>
      </c>
      <c r="O41" s="497">
        <v>2</v>
      </c>
      <c r="P41" s="498">
        <v>447985</v>
      </c>
      <c r="Q41" s="77">
        <f t="shared" si="11"/>
        <v>4565522</v>
      </c>
      <c r="R41" s="497">
        <v>10</v>
      </c>
      <c r="S41" s="498">
        <v>1486683</v>
      </c>
      <c r="T41" s="497">
        <v>0</v>
      </c>
      <c r="U41" s="497">
        <v>0</v>
      </c>
      <c r="V41" s="497">
        <v>0</v>
      </c>
      <c r="W41" s="498">
        <v>0</v>
      </c>
      <c r="X41" s="14">
        <f t="shared" si="12"/>
        <v>1486683</v>
      </c>
      <c r="Y41" s="147">
        <f t="shared" si="13"/>
        <v>37.68</v>
      </c>
      <c r="Z41" s="14">
        <f t="shared" si="14"/>
        <v>5604220</v>
      </c>
      <c r="AA41" s="14">
        <f t="shared" si="15"/>
        <v>447985</v>
      </c>
      <c r="AB41" s="148">
        <f t="shared" si="22"/>
        <v>9.8000000000000007</v>
      </c>
      <c r="AC41" s="149">
        <f t="shared" si="23"/>
        <v>30.09</v>
      </c>
      <c r="AD41" s="129">
        <f t="shared" si="24"/>
        <v>39.880000000000003</v>
      </c>
      <c r="AE41" s="77">
        <f t="shared" si="16"/>
        <v>6052205</v>
      </c>
      <c r="AF41" s="158">
        <v>0.02</v>
      </c>
      <c r="AG41" s="290">
        <v>5791569</v>
      </c>
      <c r="AH41" s="290">
        <v>0</v>
      </c>
      <c r="AI41" s="508">
        <f t="shared" si="17"/>
        <v>5791569</v>
      </c>
      <c r="AJ41" s="77">
        <v>275430600</v>
      </c>
      <c r="AK41" s="77">
        <f t="shared" si="20"/>
        <v>289578450</v>
      </c>
      <c r="AL41" s="611">
        <f t="shared" si="18"/>
        <v>5.1366296990966148E-2</v>
      </c>
      <c r="AM41" s="614">
        <f t="shared" si="19"/>
        <v>289578450</v>
      </c>
      <c r="AN41" s="131">
        <f t="shared" si="25"/>
        <v>0.02</v>
      </c>
      <c r="AO41" s="131">
        <f t="shared" si="26"/>
        <v>0</v>
      </c>
      <c r="AP41" s="77">
        <v>258669</v>
      </c>
      <c r="AQ41" s="77">
        <f t="shared" si="27"/>
        <v>12102443</v>
      </c>
      <c r="AR41" s="77">
        <f>ROUND(AQ41/'Table 3 Levels 1&amp;2'!C41,2)</f>
        <v>2792.44</v>
      </c>
    </row>
    <row r="42" spans="1:44">
      <c r="A42" s="18">
        <v>35</v>
      </c>
      <c r="B42" s="70" t="s">
        <v>136</v>
      </c>
      <c r="C42" s="20">
        <v>275559590</v>
      </c>
      <c r="D42" s="20">
        <v>50986476</v>
      </c>
      <c r="E42" s="20">
        <f t="shared" si="9"/>
        <v>224573114</v>
      </c>
      <c r="F42" s="20">
        <v>207298824</v>
      </c>
      <c r="G42" s="781">
        <f t="shared" si="10"/>
        <v>8.3330381073459442E-2</v>
      </c>
      <c r="H42" s="782">
        <f t="shared" si="21"/>
        <v>224573114</v>
      </c>
      <c r="I42" s="514">
        <v>4.6500000000000004</v>
      </c>
      <c r="J42" s="500">
        <v>977967</v>
      </c>
      <c r="K42" s="514">
        <v>7</v>
      </c>
      <c r="L42" s="500">
        <v>1472209</v>
      </c>
      <c r="M42" s="499">
        <v>7</v>
      </c>
      <c r="N42" s="499">
        <v>20</v>
      </c>
      <c r="O42" s="499">
        <v>5</v>
      </c>
      <c r="P42" s="500">
        <v>1535432</v>
      </c>
      <c r="Q42" s="78">
        <f t="shared" si="11"/>
        <v>3985608</v>
      </c>
      <c r="R42" s="499">
        <v>0</v>
      </c>
      <c r="S42" s="500">
        <v>0</v>
      </c>
      <c r="T42" s="499">
        <v>11.5</v>
      </c>
      <c r="U42" s="499">
        <v>19</v>
      </c>
      <c r="V42" s="499">
        <v>3</v>
      </c>
      <c r="W42" s="500">
        <v>2779483</v>
      </c>
      <c r="X42" s="20">
        <f t="shared" si="12"/>
        <v>2779483</v>
      </c>
      <c r="Y42" s="150">
        <f t="shared" si="13"/>
        <v>11.65</v>
      </c>
      <c r="Z42" s="20">
        <f t="shared" si="14"/>
        <v>2450176</v>
      </c>
      <c r="AA42" s="20">
        <f t="shared" si="15"/>
        <v>4314915</v>
      </c>
      <c r="AB42" s="151">
        <f t="shared" si="22"/>
        <v>12.38</v>
      </c>
      <c r="AC42" s="152">
        <f t="shared" si="23"/>
        <v>17.75</v>
      </c>
      <c r="AD42" s="130">
        <f t="shared" si="24"/>
        <v>30.12</v>
      </c>
      <c r="AE42" s="78">
        <f t="shared" si="16"/>
        <v>6765091</v>
      </c>
      <c r="AF42" s="159">
        <v>0.02</v>
      </c>
      <c r="AG42" s="291">
        <v>13319148</v>
      </c>
      <c r="AH42" s="291">
        <v>0</v>
      </c>
      <c r="AI42" s="509">
        <f t="shared" si="17"/>
        <v>13319148</v>
      </c>
      <c r="AJ42" s="78">
        <v>549553800</v>
      </c>
      <c r="AK42" s="78">
        <f t="shared" si="20"/>
        <v>665957400</v>
      </c>
      <c r="AL42" s="779">
        <f t="shared" si="18"/>
        <v>0.21181474861969837</v>
      </c>
      <c r="AM42" s="780">
        <f t="shared" si="19"/>
        <v>631986870</v>
      </c>
      <c r="AN42" s="132">
        <f t="shared" si="25"/>
        <v>0.02</v>
      </c>
      <c r="AO42" s="132">
        <f t="shared" si="26"/>
        <v>0</v>
      </c>
      <c r="AP42" s="78">
        <v>928249</v>
      </c>
      <c r="AQ42" s="78">
        <f t="shared" si="27"/>
        <v>21012488</v>
      </c>
      <c r="AR42" s="78">
        <f>ROUND(AQ42/'Table 3 Levels 1&amp;2'!C42,2)</f>
        <v>3251.7</v>
      </c>
    </row>
    <row r="43" spans="1:44">
      <c r="A43" s="12">
        <v>36</v>
      </c>
      <c r="B43" s="69" t="s">
        <v>137</v>
      </c>
      <c r="C43" s="14">
        <v>3139338920</v>
      </c>
      <c r="D43" s="14">
        <v>372613310</v>
      </c>
      <c r="E43" s="14">
        <f t="shared" si="9"/>
        <v>2766725610</v>
      </c>
      <c r="F43" s="14">
        <v>2678381864</v>
      </c>
      <c r="G43" s="604">
        <f t="shared" si="10"/>
        <v>3.2983999476483908E-2</v>
      </c>
      <c r="H43" s="605">
        <f t="shared" si="21"/>
        <v>2766725610</v>
      </c>
      <c r="I43" s="513">
        <v>27.65</v>
      </c>
      <c r="J43" s="498">
        <v>69430182</v>
      </c>
      <c r="K43" s="513">
        <v>11.5</v>
      </c>
      <c r="L43" s="498">
        <v>28883960</v>
      </c>
      <c r="M43" s="497">
        <v>0</v>
      </c>
      <c r="N43" s="497">
        <v>0</v>
      </c>
      <c r="O43" s="497">
        <v>0</v>
      </c>
      <c r="P43" s="498">
        <v>0</v>
      </c>
      <c r="Q43" s="77">
        <f t="shared" si="11"/>
        <v>98314142</v>
      </c>
      <c r="R43" s="497">
        <v>4.97</v>
      </c>
      <c r="S43" s="498">
        <v>12479856</v>
      </c>
      <c r="T43" s="497">
        <v>0</v>
      </c>
      <c r="U43" s="497">
        <v>0</v>
      </c>
      <c r="V43" s="497">
        <v>0</v>
      </c>
      <c r="W43" s="498">
        <v>0</v>
      </c>
      <c r="X43" s="14">
        <f t="shared" si="12"/>
        <v>12479856</v>
      </c>
      <c r="Y43" s="147">
        <f t="shared" si="13"/>
        <v>44.12</v>
      </c>
      <c r="Z43" s="14">
        <f t="shared" si="14"/>
        <v>110793998</v>
      </c>
      <c r="AA43" s="14">
        <f t="shared" si="15"/>
        <v>0</v>
      </c>
      <c r="AB43" s="148">
        <f t="shared" si="22"/>
        <v>4.51</v>
      </c>
      <c r="AC43" s="149">
        <f t="shared" si="23"/>
        <v>35.53</v>
      </c>
      <c r="AD43" s="129">
        <f t="shared" si="24"/>
        <v>40.049999999999997</v>
      </c>
      <c r="AE43" s="77">
        <f t="shared" si="16"/>
        <v>110793998</v>
      </c>
      <c r="AF43" s="158">
        <v>1.4999999999999999E-2</v>
      </c>
      <c r="AG43" s="290">
        <v>81354970</v>
      </c>
      <c r="AH43" s="290">
        <v>13754646</v>
      </c>
      <c r="AI43" s="508">
        <f t="shared" si="17"/>
        <v>95109616</v>
      </c>
      <c r="AJ43" s="77">
        <v>5661283867</v>
      </c>
      <c r="AK43" s="77">
        <f t="shared" si="20"/>
        <v>6340641067</v>
      </c>
      <c r="AL43" s="611">
        <f t="shared" si="18"/>
        <v>0.12000055393088806</v>
      </c>
      <c r="AM43" s="614">
        <f t="shared" si="19"/>
        <v>6340641067</v>
      </c>
      <c r="AN43" s="131">
        <f t="shared" si="25"/>
        <v>1.2830716821902071E-2</v>
      </c>
      <c r="AO43" s="131">
        <f t="shared" si="26"/>
        <v>2.1692831773093648E-3</v>
      </c>
      <c r="AP43" s="77">
        <v>2777950</v>
      </c>
      <c r="AQ43" s="77">
        <f t="shared" si="27"/>
        <v>208681564</v>
      </c>
      <c r="AR43" s="77">
        <f>ROUND(AQ43/'Table 3 Levels 1&amp;2'!C43,2)</f>
        <v>4886.58</v>
      </c>
    </row>
    <row r="44" spans="1:44">
      <c r="A44" s="12">
        <v>37</v>
      </c>
      <c r="B44" s="69" t="s">
        <v>138</v>
      </c>
      <c r="C44" s="14">
        <v>692293753</v>
      </c>
      <c r="D44" s="14">
        <v>155456442</v>
      </c>
      <c r="E44" s="14">
        <f t="shared" si="9"/>
        <v>536837311</v>
      </c>
      <c r="F44" s="14">
        <v>508369806</v>
      </c>
      <c r="G44" s="604">
        <f t="shared" si="10"/>
        <v>5.5997631377816326E-2</v>
      </c>
      <c r="H44" s="605">
        <f t="shared" si="21"/>
        <v>536837311</v>
      </c>
      <c r="I44" s="513">
        <v>5.18</v>
      </c>
      <c r="J44" s="498">
        <v>2789174</v>
      </c>
      <c r="K44" s="513">
        <v>24.15</v>
      </c>
      <c r="L44" s="498">
        <v>12710226</v>
      </c>
      <c r="M44" s="497">
        <v>0</v>
      </c>
      <c r="N44" s="497">
        <v>0</v>
      </c>
      <c r="O44" s="497">
        <v>0</v>
      </c>
      <c r="P44" s="498">
        <v>0</v>
      </c>
      <c r="Q44" s="77">
        <f t="shared" si="11"/>
        <v>15499400</v>
      </c>
      <c r="R44" s="497">
        <v>0</v>
      </c>
      <c r="S44" s="498">
        <v>0</v>
      </c>
      <c r="T44" s="497">
        <v>30</v>
      </c>
      <c r="U44" s="497">
        <v>30</v>
      </c>
      <c r="V44" s="497">
        <v>2</v>
      </c>
      <c r="W44" s="498">
        <v>5774612</v>
      </c>
      <c r="X44" s="14">
        <f t="shared" si="12"/>
        <v>5774612</v>
      </c>
      <c r="Y44" s="147">
        <f t="shared" si="13"/>
        <v>29.33</v>
      </c>
      <c r="Z44" s="14">
        <f t="shared" si="14"/>
        <v>15499400</v>
      </c>
      <c r="AA44" s="14">
        <f t="shared" si="15"/>
        <v>5774612</v>
      </c>
      <c r="AB44" s="148">
        <f t="shared" si="22"/>
        <v>10.76</v>
      </c>
      <c r="AC44" s="149">
        <f t="shared" si="23"/>
        <v>28.87</v>
      </c>
      <c r="AD44" s="129">
        <f t="shared" si="24"/>
        <v>39.630000000000003</v>
      </c>
      <c r="AE44" s="77">
        <f t="shared" si="16"/>
        <v>21274012</v>
      </c>
      <c r="AF44" s="158">
        <v>0.03</v>
      </c>
      <c r="AG44" s="290">
        <v>28829436</v>
      </c>
      <c r="AH44" s="290">
        <v>8798059</v>
      </c>
      <c r="AI44" s="508">
        <f t="shared" si="17"/>
        <v>37627495</v>
      </c>
      <c r="AJ44" s="77">
        <v>1178523700</v>
      </c>
      <c r="AK44" s="77">
        <f t="shared" si="20"/>
        <v>1254249833</v>
      </c>
      <c r="AL44" s="611">
        <f t="shared" si="18"/>
        <v>6.4255078620820263E-2</v>
      </c>
      <c r="AM44" s="614">
        <f t="shared" si="19"/>
        <v>1254249833</v>
      </c>
      <c r="AN44" s="131">
        <f t="shared" si="25"/>
        <v>2.2985401505730158E-2</v>
      </c>
      <c r="AO44" s="131">
        <f t="shared" si="26"/>
        <v>7.0145985022427347E-3</v>
      </c>
      <c r="AP44" s="77">
        <v>836190.5</v>
      </c>
      <c r="AQ44" s="77">
        <f t="shared" si="27"/>
        <v>59737697.5</v>
      </c>
      <c r="AR44" s="77">
        <f>ROUND(AQ44/'Table 3 Levels 1&amp;2'!C44,2)</f>
        <v>3077.36</v>
      </c>
    </row>
    <row r="45" spans="1:44">
      <c r="A45" s="12">
        <v>38</v>
      </c>
      <c r="B45" s="69" t="s">
        <v>139</v>
      </c>
      <c r="C45" s="14">
        <v>931349139</v>
      </c>
      <c r="D45" s="14">
        <v>29588540</v>
      </c>
      <c r="E45" s="14">
        <f t="shared" si="9"/>
        <v>901760599</v>
      </c>
      <c r="F45" s="14">
        <v>915607189</v>
      </c>
      <c r="G45" s="604">
        <f t="shared" si="10"/>
        <v>-1.5122849805409294E-2</v>
      </c>
      <c r="H45" s="605">
        <f t="shared" si="21"/>
        <v>901760599</v>
      </c>
      <c r="I45" s="513">
        <v>6.03</v>
      </c>
      <c r="J45" s="498">
        <v>4958408</v>
      </c>
      <c r="K45" s="513">
        <v>18.38</v>
      </c>
      <c r="L45" s="498">
        <v>15113818</v>
      </c>
      <c r="M45" s="497">
        <v>0</v>
      </c>
      <c r="N45" s="497">
        <v>0</v>
      </c>
      <c r="O45" s="497">
        <v>0</v>
      </c>
      <c r="P45" s="498">
        <v>0</v>
      </c>
      <c r="Q45" s="77">
        <f t="shared" si="11"/>
        <v>20072226</v>
      </c>
      <c r="R45" s="497">
        <v>0</v>
      </c>
      <c r="S45" s="498">
        <v>0</v>
      </c>
      <c r="T45" s="497">
        <v>0</v>
      </c>
      <c r="U45" s="497">
        <v>0</v>
      </c>
      <c r="V45" s="497">
        <v>0</v>
      </c>
      <c r="W45" s="498">
        <v>0</v>
      </c>
      <c r="X45" s="14">
        <f t="shared" si="12"/>
        <v>0</v>
      </c>
      <c r="Y45" s="147">
        <f t="shared" si="13"/>
        <v>24.41</v>
      </c>
      <c r="Z45" s="14">
        <f t="shared" si="14"/>
        <v>20072226</v>
      </c>
      <c r="AA45" s="14">
        <f t="shared" si="15"/>
        <v>0</v>
      </c>
      <c r="AB45" s="148">
        <f t="shared" si="22"/>
        <v>0</v>
      </c>
      <c r="AC45" s="149">
        <f t="shared" si="23"/>
        <v>22.26</v>
      </c>
      <c r="AD45" s="129">
        <f t="shared" si="24"/>
        <v>22.26</v>
      </c>
      <c r="AE45" s="77">
        <f t="shared" si="16"/>
        <v>20072226</v>
      </c>
      <c r="AF45" s="158">
        <v>0.02</v>
      </c>
      <c r="AG45" s="290">
        <v>22912329</v>
      </c>
      <c r="AH45" s="290">
        <v>0</v>
      </c>
      <c r="AI45" s="508">
        <f t="shared" si="17"/>
        <v>22912329</v>
      </c>
      <c r="AJ45" s="77">
        <v>813038150</v>
      </c>
      <c r="AK45" s="77">
        <f t="shared" si="20"/>
        <v>1145616450</v>
      </c>
      <c r="AL45" s="613">
        <f t="shared" si="18"/>
        <v>0.40905620480416571</v>
      </c>
      <c r="AM45" s="616">
        <f t="shared" si="19"/>
        <v>934993872.49999988</v>
      </c>
      <c r="AN45" s="131">
        <f t="shared" si="25"/>
        <v>0.02</v>
      </c>
      <c r="AO45" s="131">
        <f t="shared" si="26"/>
        <v>0</v>
      </c>
      <c r="AP45" s="77">
        <v>114696.5</v>
      </c>
      <c r="AQ45" s="77">
        <f t="shared" si="27"/>
        <v>43099251.5</v>
      </c>
      <c r="AR45" s="77">
        <f>ROUND(AQ45/'Table 3 Levels 1&amp;2'!C45,2)</f>
        <v>10203.42</v>
      </c>
    </row>
    <row r="46" spans="1:44">
      <c r="A46" s="12">
        <v>39</v>
      </c>
      <c r="B46" s="69" t="s">
        <v>140</v>
      </c>
      <c r="C46" s="14">
        <v>378868615</v>
      </c>
      <c r="D46" s="14">
        <v>38660551</v>
      </c>
      <c r="E46" s="14">
        <f t="shared" si="9"/>
        <v>340208064</v>
      </c>
      <c r="F46" s="14">
        <v>317996861</v>
      </c>
      <c r="G46" s="604">
        <f t="shared" si="10"/>
        <v>6.9847239781401491E-2</v>
      </c>
      <c r="H46" s="605">
        <f t="shared" si="21"/>
        <v>340208064</v>
      </c>
      <c r="I46" s="513">
        <v>4.54</v>
      </c>
      <c r="J46" s="498">
        <v>1539015</v>
      </c>
      <c r="K46" s="513">
        <v>11.96</v>
      </c>
      <c r="L46" s="498">
        <v>4054282</v>
      </c>
      <c r="M46" s="497">
        <v>0</v>
      </c>
      <c r="N46" s="497">
        <v>0</v>
      </c>
      <c r="O46" s="497">
        <v>0</v>
      </c>
      <c r="P46" s="498">
        <v>0</v>
      </c>
      <c r="Q46" s="77">
        <f t="shared" si="11"/>
        <v>5593297</v>
      </c>
      <c r="R46" s="497">
        <v>0</v>
      </c>
      <c r="S46" s="498">
        <v>0</v>
      </c>
      <c r="T46" s="497">
        <v>0</v>
      </c>
      <c r="U46" s="497">
        <v>10</v>
      </c>
      <c r="V46" s="497">
        <v>1</v>
      </c>
      <c r="W46" s="498">
        <v>403822</v>
      </c>
      <c r="X46" s="14">
        <f t="shared" si="12"/>
        <v>403822</v>
      </c>
      <c r="Y46" s="147">
        <f t="shared" si="13"/>
        <v>16.5</v>
      </c>
      <c r="Z46" s="14">
        <f t="shared" si="14"/>
        <v>5593297</v>
      </c>
      <c r="AA46" s="14">
        <f t="shared" si="15"/>
        <v>403822</v>
      </c>
      <c r="AB46" s="148">
        <f t="shared" si="22"/>
        <v>1.19</v>
      </c>
      <c r="AC46" s="149">
        <f t="shared" si="23"/>
        <v>16.440000000000001</v>
      </c>
      <c r="AD46" s="129">
        <f t="shared" si="24"/>
        <v>17.63</v>
      </c>
      <c r="AE46" s="77">
        <f t="shared" si="16"/>
        <v>5997119</v>
      </c>
      <c r="AF46" s="158">
        <v>0.02</v>
      </c>
      <c r="AG46" s="290">
        <v>5769660</v>
      </c>
      <c r="AH46" s="290">
        <v>0</v>
      </c>
      <c r="AI46" s="508">
        <f t="shared" si="17"/>
        <v>5769660</v>
      </c>
      <c r="AJ46" s="77">
        <v>314480200</v>
      </c>
      <c r="AK46" s="77">
        <f t="shared" si="20"/>
        <v>288483000</v>
      </c>
      <c r="AL46" s="611">
        <f t="shared" si="18"/>
        <v>-8.266720766522026E-2</v>
      </c>
      <c r="AM46" s="614">
        <f t="shared" si="19"/>
        <v>288483000</v>
      </c>
      <c r="AN46" s="131">
        <f t="shared" si="25"/>
        <v>0.02</v>
      </c>
      <c r="AO46" s="131">
        <f t="shared" si="26"/>
        <v>0</v>
      </c>
      <c r="AP46" s="77">
        <v>160880</v>
      </c>
      <c r="AQ46" s="77">
        <f t="shared" si="27"/>
        <v>11927659</v>
      </c>
      <c r="AR46" s="77">
        <f>ROUND(AQ46/'Table 3 Levels 1&amp;2'!C46,2)</f>
        <v>4138.67</v>
      </c>
    </row>
    <row r="47" spans="1:44">
      <c r="A47" s="18">
        <v>40</v>
      </c>
      <c r="B47" s="70" t="s">
        <v>141</v>
      </c>
      <c r="C47" s="20">
        <v>800001230</v>
      </c>
      <c r="D47" s="20">
        <v>174606415</v>
      </c>
      <c r="E47" s="20">
        <f t="shared" si="9"/>
        <v>625394815</v>
      </c>
      <c r="F47" s="20">
        <v>611806621</v>
      </c>
      <c r="G47" s="781">
        <f t="shared" si="10"/>
        <v>2.2209949244730388E-2</v>
      </c>
      <c r="H47" s="782">
        <f t="shared" si="21"/>
        <v>625394815</v>
      </c>
      <c r="I47" s="514">
        <v>4.79</v>
      </c>
      <c r="J47" s="500">
        <v>2963191</v>
      </c>
      <c r="K47" s="514">
        <v>21.03</v>
      </c>
      <c r="L47" s="500">
        <v>13009848</v>
      </c>
      <c r="M47" s="499">
        <v>4.78</v>
      </c>
      <c r="N47" s="499">
        <v>24.15</v>
      </c>
      <c r="O47" s="499">
        <v>13</v>
      </c>
      <c r="P47" s="500">
        <v>6575831</v>
      </c>
      <c r="Q47" s="78">
        <f t="shared" si="11"/>
        <v>22548870</v>
      </c>
      <c r="R47" s="499">
        <v>0</v>
      </c>
      <c r="S47" s="500">
        <v>0</v>
      </c>
      <c r="T47" s="499">
        <v>1.5</v>
      </c>
      <c r="U47" s="499">
        <v>52</v>
      </c>
      <c r="V47" s="499">
        <v>13</v>
      </c>
      <c r="W47" s="500">
        <v>8575411</v>
      </c>
      <c r="X47" s="20">
        <f t="shared" si="12"/>
        <v>8575411</v>
      </c>
      <c r="Y47" s="150">
        <f t="shared" si="13"/>
        <v>25.82</v>
      </c>
      <c r="Z47" s="20">
        <f t="shared" si="14"/>
        <v>15973039</v>
      </c>
      <c r="AA47" s="20">
        <f t="shared" si="15"/>
        <v>15151242</v>
      </c>
      <c r="AB47" s="151">
        <f t="shared" si="22"/>
        <v>13.71</v>
      </c>
      <c r="AC47" s="152">
        <f t="shared" si="23"/>
        <v>36.06</v>
      </c>
      <c r="AD47" s="130">
        <f t="shared" si="24"/>
        <v>49.77</v>
      </c>
      <c r="AE47" s="78">
        <f t="shared" si="16"/>
        <v>31124281</v>
      </c>
      <c r="AF47" s="159">
        <v>1.4999999999999999E-2</v>
      </c>
      <c r="AG47" s="291">
        <v>34570017</v>
      </c>
      <c r="AH47" s="291">
        <v>0</v>
      </c>
      <c r="AI47" s="509">
        <f t="shared" si="17"/>
        <v>34570017</v>
      </c>
      <c r="AJ47" s="78">
        <v>2211453400</v>
      </c>
      <c r="AK47" s="78">
        <f t="shared" si="20"/>
        <v>2304667800</v>
      </c>
      <c r="AL47" s="612">
        <f t="shared" si="18"/>
        <v>4.2150741227466065E-2</v>
      </c>
      <c r="AM47" s="615">
        <f t="shared" si="19"/>
        <v>2304667800</v>
      </c>
      <c r="AN47" s="132">
        <f t="shared" si="25"/>
        <v>1.4999999999999999E-2</v>
      </c>
      <c r="AO47" s="132">
        <f t="shared" si="26"/>
        <v>0</v>
      </c>
      <c r="AP47" s="78">
        <v>1165125.5</v>
      </c>
      <c r="AQ47" s="78">
        <f t="shared" si="27"/>
        <v>66859423.5</v>
      </c>
      <c r="AR47" s="78">
        <f>ROUND(AQ47/'Table 3 Levels 1&amp;2'!C47,2)</f>
        <v>2904.28</v>
      </c>
    </row>
    <row r="48" spans="1:44">
      <c r="A48" s="12">
        <v>41</v>
      </c>
      <c r="B48" s="69" t="s">
        <v>142</v>
      </c>
      <c r="C48" s="14">
        <v>125101430</v>
      </c>
      <c r="D48" s="14">
        <v>10286920</v>
      </c>
      <c r="E48" s="14">
        <f t="shared" si="9"/>
        <v>114814510</v>
      </c>
      <c r="F48" s="14">
        <v>68136850</v>
      </c>
      <c r="G48" s="606">
        <f t="shared" si="10"/>
        <v>0.68505749825534934</v>
      </c>
      <c r="H48" s="607">
        <f t="shared" si="21"/>
        <v>74950535</v>
      </c>
      <c r="I48" s="513">
        <v>4.41</v>
      </c>
      <c r="J48" s="498">
        <v>506332</v>
      </c>
      <c r="K48" s="513">
        <v>35.36</v>
      </c>
      <c r="L48" s="498">
        <v>4059840</v>
      </c>
      <c r="M48" s="497">
        <v>0</v>
      </c>
      <c r="N48" s="497">
        <v>0</v>
      </c>
      <c r="O48" s="497">
        <v>0</v>
      </c>
      <c r="P48" s="498">
        <v>0</v>
      </c>
      <c r="Q48" s="77">
        <f t="shared" si="11"/>
        <v>4566172</v>
      </c>
      <c r="R48" s="497">
        <v>5.5</v>
      </c>
      <c r="S48" s="498">
        <v>631488</v>
      </c>
      <c r="T48" s="497">
        <v>0</v>
      </c>
      <c r="U48" s="497">
        <v>0</v>
      </c>
      <c r="V48" s="497">
        <v>0</v>
      </c>
      <c r="W48" s="498">
        <v>0</v>
      </c>
      <c r="X48" s="14">
        <f t="shared" si="12"/>
        <v>631488</v>
      </c>
      <c r="Y48" s="147">
        <f t="shared" si="13"/>
        <v>45.269999999999996</v>
      </c>
      <c r="Z48" s="14">
        <f t="shared" si="14"/>
        <v>5197660</v>
      </c>
      <c r="AA48" s="14">
        <f t="shared" si="15"/>
        <v>0</v>
      </c>
      <c r="AB48" s="148">
        <f t="shared" si="22"/>
        <v>5.5</v>
      </c>
      <c r="AC48" s="149">
        <f t="shared" si="23"/>
        <v>39.770000000000003</v>
      </c>
      <c r="AD48" s="129">
        <f t="shared" si="24"/>
        <v>45.27</v>
      </c>
      <c r="AE48" s="77">
        <f t="shared" si="16"/>
        <v>5197660</v>
      </c>
      <c r="AF48" s="158">
        <v>0.02</v>
      </c>
      <c r="AG48" s="290">
        <v>19320204</v>
      </c>
      <c r="AH48" s="290">
        <v>0</v>
      </c>
      <c r="AI48" s="508">
        <f t="shared" si="17"/>
        <v>19320204</v>
      </c>
      <c r="AJ48" s="77">
        <v>827530000</v>
      </c>
      <c r="AK48" s="77">
        <f t="shared" si="20"/>
        <v>966010200</v>
      </c>
      <c r="AL48" s="613">
        <f t="shared" si="18"/>
        <v>0.16734160695080541</v>
      </c>
      <c r="AM48" s="616">
        <f t="shared" si="19"/>
        <v>951659499.99999988</v>
      </c>
      <c r="AN48" s="131">
        <f t="shared" si="25"/>
        <v>0.02</v>
      </c>
      <c r="AO48" s="131">
        <f t="shared" si="26"/>
        <v>0</v>
      </c>
      <c r="AP48" s="77">
        <v>67015</v>
      </c>
      <c r="AQ48" s="77">
        <f t="shared" si="27"/>
        <v>24584879</v>
      </c>
      <c r="AR48" s="77">
        <f>ROUND(AQ48/'Table 3 Levels 1&amp;2'!C48,2)</f>
        <v>17473.259999999998</v>
      </c>
    </row>
    <row r="49" spans="1:44">
      <c r="A49" s="12">
        <v>42</v>
      </c>
      <c r="B49" s="69" t="s">
        <v>143</v>
      </c>
      <c r="C49" s="14">
        <v>176336190</v>
      </c>
      <c r="D49" s="14">
        <v>27521756</v>
      </c>
      <c r="E49" s="14">
        <f t="shared" si="9"/>
        <v>148814434</v>
      </c>
      <c r="F49" s="14">
        <v>128503287</v>
      </c>
      <c r="G49" s="606">
        <f t="shared" si="10"/>
        <v>0.15805935765674228</v>
      </c>
      <c r="H49" s="607">
        <f t="shared" si="21"/>
        <v>141353615.70000002</v>
      </c>
      <c r="I49" s="513">
        <v>8.1</v>
      </c>
      <c r="J49" s="498">
        <v>1200059</v>
      </c>
      <c r="K49" s="513">
        <v>8</v>
      </c>
      <c r="L49" s="498">
        <v>1185237</v>
      </c>
      <c r="M49" s="497">
        <v>0</v>
      </c>
      <c r="N49" s="497">
        <v>0</v>
      </c>
      <c r="O49" s="497">
        <v>4</v>
      </c>
      <c r="P49" s="498">
        <v>0</v>
      </c>
      <c r="Q49" s="77">
        <f t="shared" si="11"/>
        <v>2385296</v>
      </c>
      <c r="R49" s="497">
        <v>0</v>
      </c>
      <c r="S49" s="498">
        <v>0</v>
      </c>
      <c r="T49" s="497">
        <v>10</v>
      </c>
      <c r="U49" s="497">
        <v>20</v>
      </c>
      <c r="V49" s="497">
        <v>4</v>
      </c>
      <c r="W49" s="498">
        <v>1977807</v>
      </c>
      <c r="X49" s="14">
        <f t="shared" si="12"/>
        <v>1977807</v>
      </c>
      <c r="Y49" s="147">
        <f t="shared" si="13"/>
        <v>16.100000000000001</v>
      </c>
      <c r="Z49" s="14">
        <f t="shared" si="14"/>
        <v>2385296</v>
      </c>
      <c r="AA49" s="14">
        <f t="shared" si="15"/>
        <v>1977807</v>
      </c>
      <c r="AB49" s="148">
        <f t="shared" si="22"/>
        <v>13.29</v>
      </c>
      <c r="AC49" s="149">
        <f t="shared" si="23"/>
        <v>16.03</v>
      </c>
      <c r="AD49" s="129">
        <f t="shared" si="24"/>
        <v>29.32</v>
      </c>
      <c r="AE49" s="77">
        <f t="shared" si="16"/>
        <v>4363103</v>
      </c>
      <c r="AF49" s="158">
        <v>0.02</v>
      </c>
      <c r="AG49" s="290">
        <v>5866645</v>
      </c>
      <c r="AH49" s="290">
        <v>0</v>
      </c>
      <c r="AI49" s="508">
        <f t="shared" si="17"/>
        <v>5866645</v>
      </c>
      <c r="AJ49" s="77">
        <v>380443600</v>
      </c>
      <c r="AK49" s="77">
        <f t="shared" si="20"/>
        <v>293332250</v>
      </c>
      <c r="AL49" s="611">
        <f t="shared" si="18"/>
        <v>-0.22897309877206504</v>
      </c>
      <c r="AM49" s="614">
        <f t="shared" si="19"/>
        <v>293332250</v>
      </c>
      <c r="AN49" s="131">
        <f t="shared" si="25"/>
        <v>0.02</v>
      </c>
      <c r="AO49" s="131">
        <f t="shared" si="26"/>
        <v>0</v>
      </c>
      <c r="AP49" s="77">
        <v>226071.5</v>
      </c>
      <c r="AQ49" s="77">
        <f t="shared" si="27"/>
        <v>10455819.5</v>
      </c>
      <c r="AR49" s="77">
        <f>ROUND(AQ49/'Table 3 Levels 1&amp;2'!C49,2)</f>
        <v>2728.55</v>
      </c>
    </row>
    <row r="50" spans="1:44">
      <c r="A50" s="12">
        <v>43</v>
      </c>
      <c r="B50" s="69" t="s">
        <v>144</v>
      </c>
      <c r="C50" s="14">
        <v>135664715</v>
      </c>
      <c r="D50" s="14">
        <v>32259494</v>
      </c>
      <c r="E50" s="14">
        <f t="shared" si="9"/>
        <v>103405221</v>
      </c>
      <c r="F50" s="14">
        <v>93653717</v>
      </c>
      <c r="G50" s="606">
        <f t="shared" si="10"/>
        <v>0.1041229789096358</v>
      </c>
      <c r="H50" s="607">
        <f t="shared" si="21"/>
        <v>103019088.7</v>
      </c>
      <c r="I50" s="513">
        <v>4.8</v>
      </c>
      <c r="J50" s="498">
        <v>494807</v>
      </c>
      <c r="K50" s="513">
        <v>8.1</v>
      </c>
      <c r="L50" s="498">
        <v>828344</v>
      </c>
      <c r="M50" s="497">
        <v>6.63</v>
      </c>
      <c r="N50" s="497">
        <v>11.24</v>
      </c>
      <c r="O50" s="497">
        <v>7</v>
      </c>
      <c r="P50" s="498">
        <v>848573</v>
      </c>
      <c r="Q50" s="77">
        <f t="shared" si="11"/>
        <v>2171724</v>
      </c>
      <c r="R50" s="497">
        <v>0</v>
      </c>
      <c r="S50" s="498">
        <v>0</v>
      </c>
      <c r="T50" s="497">
        <v>10.4</v>
      </c>
      <c r="U50" s="497">
        <v>31.7</v>
      </c>
      <c r="V50" s="497">
        <v>7</v>
      </c>
      <c r="W50" s="498">
        <v>1548724</v>
      </c>
      <c r="X50" s="14">
        <f t="shared" si="12"/>
        <v>1548724</v>
      </c>
      <c r="Y50" s="147">
        <f t="shared" si="13"/>
        <v>12.899999999999999</v>
      </c>
      <c r="Z50" s="14">
        <f t="shared" si="14"/>
        <v>1323151</v>
      </c>
      <c r="AA50" s="14">
        <f t="shared" si="15"/>
        <v>2397297</v>
      </c>
      <c r="AB50" s="148">
        <f t="shared" si="22"/>
        <v>14.98</v>
      </c>
      <c r="AC50" s="149">
        <f t="shared" si="23"/>
        <v>21</v>
      </c>
      <c r="AD50" s="129">
        <f t="shared" si="24"/>
        <v>35.979999999999997</v>
      </c>
      <c r="AE50" s="77">
        <f t="shared" si="16"/>
        <v>3720448</v>
      </c>
      <c r="AF50" s="158">
        <v>2.5000000000000001E-2</v>
      </c>
      <c r="AG50" s="290">
        <v>16594305</v>
      </c>
      <c r="AH50" s="290">
        <v>984937</v>
      </c>
      <c r="AI50" s="508">
        <f t="shared" si="17"/>
        <v>17579242</v>
      </c>
      <c r="AJ50" s="77">
        <v>375716720</v>
      </c>
      <c r="AK50" s="77">
        <f t="shared" si="20"/>
        <v>703169680</v>
      </c>
      <c r="AL50" s="613">
        <f t="shared" si="18"/>
        <v>0.87154215548352498</v>
      </c>
      <c r="AM50" s="616">
        <f t="shared" si="19"/>
        <v>432074227.99999994</v>
      </c>
      <c r="AN50" s="131">
        <f t="shared" si="25"/>
        <v>2.3599289719090276E-2</v>
      </c>
      <c r="AO50" s="131">
        <f t="shared" si="26"/>
        <v>1.4007102809097229E-3</v>
      </c>
      <c r="AP50" s="77">
        <v>151429</v>
      </c>
      <c r="AQ50" s="77">
        <f t="shared" si="27"/>
        <v>21451119</v>
      </c>
      <c r="AR50" s="77">
        <f>ROUND(AQ50/'Table 3 Levels 1&amp;2'!C50,2)</f>
        <v>5380.27</v>
      </c>
    </row>
    <row r="51" spans="1:44">
      <c r="A51" s="12">
        <v>44</v>
      </c>
      <c r="B51" s="69" t="s">
        <v>145</v>
      </c>
      <c r="C51" s="14">
        <v>348191179</v>
      </c>
      <c r="D51" s="14">
        <v>55273736</v>
      </c>
      <c r="E51" s="14">
        <f t="shared" si="9"/>
        <v>292917443</v>
      </c>
      <c r="F51" s="14">
        <v>287782321</v>
      </c>
      <c r="G51" s="604">
        <f t="shared" si="10"/>
        <v>1.7843771577615429E-2</v>
      </c>
      <c r="H51" s="605">
        <f t="shared" si="21"/>
        <v>292917443</v>
      </c>
      <c r="I51" s="513">
        <v>3.75</v>
      </c>
      <c r="J51" s="498">
        <v>1067506</v>
      </c>
      <c r="K51" s="513">
        <v>31.25</v>
      </c>
      <c r="L51" s="498">
        <v>8895886</v>
      </c>
      <c r="M51" s="497">
        <v>0</v>
      </c>
      <c r="N51" s="497">
        <v>0</v>
      </c>
      <c r="O51" s="497">
        <v>0</v>
      </c>
      <c r="P51" s="498">
        <v>0</v>
      </c>
      <c r="Q51" s="77">
        <f t="shared" si="11"/>
        <v>9963392</v>
      </c>
      <c r="R51" s="497">
        <v>10</v>
      </c>
      <c r="S51" s="498">
        <v>2846721</v>
      </c>
      <c r="T51" s="497">
        <v>0</v>
      </c>
      <c r="U51" s="497">
        <v>0</v>
      </c>
      <c r="V51" s="497">
        <v>0</v>
      </c>
      <c r="W51" s="498">
        <v>0</v>
      </c>
      <c r="X51" s="14">
        <f t="shared" si="12"/>
        <v>2846721</v>
      </c>
      <c r="Y51" s="147">
        <f t="shared" si="13"/>
        <v>45</v>
      </c>
      <c r="Z51" s="14">
        <f t="shared" si="14"/>
        <v>12810113</v>
      </c>
      <c r="AA51" s="14">
        <f t="shared" si="15"/>
        <v>0</v>
      </c>
      <c r="AB51" s="148">
        <f t="shared" si="22"/>
        <v>9.7200000000000006</v>
      </c>
      <c r="AC51" s="149">
        <f t="shared" si="23"/>
        <v>34.01</v>
      </c>
      <c r="AD51" s="129">
        <f t="shared" si="24"/>
        <v>43.73</v>
      </c>
      <c r="AE51" s="77">
        <f t="shared" si="16"/>
        <v>12810113</v>
      </c>
      <c r="AF51" s="158">
        <v>0.02</v>
      </c>
      <c r="AG51" s="290">
        <v>18503059</v>
      </c>
      <c r="AH51" s="290">
        <v>0</v>
      </c>
      <c r="AI51" s="508">
        <f t="shared" si="17"/>
        <v>18503059</v>
      </c>
      <c r="AJ51" s="77">
        <v>729141550</v>
      </c>
      <c r="AK51" s="77">
        <f t="shared" si="20"/>
        <v>925152950</v>
      </c>
      <c r="AL51" s="613">
        <f t="shared" si="18"/>
        <v>0.26882489415121108</v>
      </c>
      <c r="AM51" s="616">
        <f t="shared" si="19"/>
        <v>838512782.49999988</v>
      </c>
      <c r="AN51" s="131">
        <f t="shared" si="25"/>
        <v>0.02</v>
      </c>
      <c r="AO51" s="131">
        <f t="shared" si="26"/>
        <v>0</v>
      </c>
      <c r="AP51" s="77">
        <v>26659</v>
      </c>
      <c r="AQ51" s="77">
        <f t="shared" si="27"/>
        <v>31339831</v>
      </c>
      <c r="AR51" s="77">
        <f>ROUND(AQ51/'Table 3 Levels 1&amp;2'!C51,2)</f>
        <v>5333.53</v>
      </c>
    </row>
    <row r="52" spans="1:44">
      <c r="A52" s="18">
        <v>45</v>
      </c>
      <c r="B52" s="70" t="s">
        <v>146</v>
      </c>
      <c r="C52" s="20">
        <v>1118897563</v>
      </c>
      <c r="D52" s="20">
        <v>99064440</v>
      </c>
      <c r="E52" s="20">
        <f t="shared" si="9"/>
        <v>1019833123</v>
      </c>
      <c r="F52" s="20">
        <v>1053008255</v>
      </c>
      <c r="G52" s="781">
        <f t="shared" si="10"/>
        <v>-3.150510154357717E-2</v>
      </c>
      <c r="H52" s="782">
        <f t="shared" si="21"/>
        <v>1019833123</v>
      </c>
      <c r="I52" s="514">
        <v>4.0999999999999996</v>
      </c>
      <c r="J52" s="500">
        <v>4171382</v>
      </c>
      <c r="K52" s="514">
        <v>46.41</v>
      </c>
      <c r="L52" s="500">
        <v>46046211</v>
      </c>
      <c r="M52" s="499">
        <v>0</v>
      </c>
      <c r="N52" s="499">
        <v>0</v>
      </c>
      <c r="O52" s="499">
        <v>0</v>
      </c>
      <c r="P52" s="500">
        <v>0</v>
      </c>
      <c r="Q52" s="78">
        <f t="shared" si="11"/>
        <v>50217593</v>
      </c>
      <c r="R52" s="499">
        <v>5.86</v>
      </c>
      <c r="S52" s="500">
        <v>5962163</v>
      </c>
      <c r="T52" s="499">
        <v>0</v>
      </c>
      <c r="U52" s="499">
        <v>0</v>
      </c>
      <c r="V52" s="499">
        <v>0</v>
      </c>
      <c r="W52" s="500">
        <v>0</v>
      </c>
      <c r="X52" s="20">
        <f t="shared" si="12"/>
        <v>5962163</v>
      </c>
      <c r="Y52" s="150">
        <f t="shared" si="13"/>
        <v>56.37</v>
      </c>
      <c r="Z52" s="20">
        <f t="shared" si="14"/>
        <v>56179756</v>
      </c>
      <c r="AA52" s="20">
        <f t="shared" si="15"/>
        <v>0</v>
      </c>
      <c r="AB52" s="151">
        <f t="shared" si="22"/>
        <v>5.85</v>
      </c>
      <c r="AC52" s="152">
        <f t="shared" si="23"/>
        <v>49.24</v>
      </c>
      <c r="AD52" s="130">
        <f t="shared" si="24"/>
        <v>55.09</v>
      </c>
      <c r="AE52" s="78">
        <f t="shared" si="16"/>
        <v>56179756</v>
      </c>
      <c r="AF52" s="159">
        <v>0.03</v>
      </c>
      <c r="AG52" s="291">
        <v>44733552</v>
      </c>
      <c r="AH52" s="291">
        <v>1040687</v>
      </c>
      <c r="AI52" s="509">
        <f t="shared" si="17"/>
        <v>45774239</v>
      </c>
      <c r="AJ52" s="78">
        <v>1437517967</v>
      </c>
      <c r="AK52" s="78">
        <f t="shared" ref="AK52:AK76" si="28">ROUND(AI52/AF52,0)</f>
        <v>1525807967</v>
      </c>
      <c r="AL52" s="612">
        <f t="shared" si="18"/>
        <v>6.141836278001804E-2</v>
      </c>
      <c r="AM52" s="615">
        <f t="shared" si="19"/>
        <v>1525807967</v>
      </c>
      <c r="AN52" s="132">
        <f t="shared" si="25"/>
        <v>2.931794365181736E-2</v>
      </c>
      <c r="AO52" s="132">
        <f t="shared" si="26"/>
        <v>6.8205634162873659E-4</v>
      </c>
      <c r="AP52" s="78">
        <v>280719</v>
      </c>
      <c r="AQ52" s="78">
        <f t="shared" si="27"/>
        <v>102234714</v>
      </c>
      <c r="AR52" s="78">
        <f>ROUND(AQ52/'Table 3 Levels 1&amp;2'!C52,2)</f>
        <v>10844.88</v>
      </c>
    </row>
    <row r="53" spans="1:44" s="75" customFormat="1">
      <c r="A53" s="103">
        <v>46</v>
      </c>
      <c r="B53" s="161" t="s">
        <v>147</v>
      </c>
      <c r="C53" s="77">
        <v>57256290</v>
      </c>
      <c r="D53" s="77">
        <v>16810750</v>
      </c>
      <c r="E53" s="77">
        <f t="shared" si="9"/>
        <v>40445540</v>
      </c>
      <c r="F53" s="77">
        <v>40693470</v>
      </c>
      <c r="G53" s="604">
        <f t="shared" si="10"/>
        <v>-6.0926237059656012E-3</v>
      </c>
      <c r="H53" s="605">
        <f t="shared" si="21"/>
        <v>40445540</v>
      </c>
      <c r="I53" s="515">
        <v>3.38</v>
      </c>
      <c r="J53" s="502">
        <v>136501</v>
      </c>
      <c r="K53" s="515">
        <v>14.48</v>
      </c>
      <c r="L53" s="502">
        <v>584774</v>
      </c>
      <c r="M53" s="501">
        <v>0</v>
      </c>
      <c r="N53" s="501">
        <v>0</v>
      </c>
      <c r="O53" s="501">
        <v>6</v>
      </c>
      <c r="P53" s="502">
        <v>0</v>
      </c>
      <c r="Q53" s="77">
        <f t="shared" si="11"/>
        <v>721275</v>
      </c>
      <c r="R53" s="501">
        <v>0</v>
      </c>
      <c r="S53" s="502">
        <v>0</v>
      </c>
      <c r="T53" s="501">
        <v>0</v>
      </c>
      <c r="U53" s="501">
        <v>0</v>
      </c>
      <c r="V53" s="501">
        <v>6</v>
      </c>
      <c r="W53" s="502">
        <v>0</v>
      </c>
      <c r="X53" s="77">
        <f t="shared" si="12"/>
        <v>0</v>
      </c>
      <c r="Y53" s="162">
        <f t="shared" si="13"/>
        <v>17.86</v>
      </c>
      <c r="Z53" s="77">
        <f t="shared" si="14"/>
        <v>721275</v>
      </c>
      <c r="AA53" s="77">
        <f t="shared" si="15"/>
        <v>0</v>
      </c>
      <c r="AB53" s="163">
        <f t="shared" si="22"/>
        <v>0</v>
      </c>
      <c r="AC53" s="164">
        <f t="shared" si="23"/>
        <v>17.829999999999998</v>
      </c>
      <c r="AD53" s="129">
        <f t="shared" si="24"/>
        <v>17.829999999999998</v>
      </c>
      <c r="AE53" s="77">
        <f t="shared" si="16"/>
        <v>721275</v>
      </c>
      <c r="AF53" s="158">
        <v>0.02</v>
      </c>
      <c r="AG53" s="290">
        <v>1244037</v>
      </c>
      <c r="AH53" s="290">
        <v>0</v>
      </c>
      <c r="AI53" s="508">
        <f t="shared" si="17"/>
        <v>1244037</v>
      </c>
      <c r="AJ53" s="77">
        <v>53405700</v>
      </c>
      <c r="AK53" s="77">
        <f t="shared" si="28"/>
        <v>62201850</v>
      </c>
      <c r="AL53" s="613">
        <f t="shared" si="18"/>
        <v>0.1647043293131632</v>
      </c>
      <c r="AM53" s="616">
        <f t="shared" si="19"/>
        <v>61416554.999999993</v>
      </c>
      <c r="AN53" s="131">
        <f t="shared" si="25"/>
        <v>0.02</v>
      </c>
      <c r="AO53" s="131">
        <f t="shared" si="26"/>
        <v>0</v>
      </c>
      <c r="AP53" s="77">
        <v>31608</v>
      </c>
      <c r="AQ53" s="77">
        <f t="shared" si="27"/>
        <v>1996920</v>
      </c>
      <c r="AR53" s="77">
        <f>ROUND(AQ53/'Table 3 Levels 1&amp;2'!C53,2)</f>
        <v>1810.44</v>
      </c>
    </row>
    <row r="54" spans="1:44">
      <c r="A54" s="12">
        <v>47</v>
      </c>
      <c r="B54" s="69" t="s">
        <v>148</v>
      </c>
      <c r="C54" s="14">
        <v>418714085</v>
      </c>
      <c r="D54" s="14">
        <v>39245078</v>
      </c>
      <c r="E54" s="14">
        <f t="shared" si="9"/>
        <v>379469007</v>
      </c>
      <c r="F54" s="14">
        <v>384547925</v>
      </c>
      <c r="G54" s="604">
        <f t="shared" si="10"/>
        <v>-1.3207503330046574E-2</v>
      </c>
      <c r="H54" s="605">
        <f t="shared" si="21"/>
        <v>379469007</v>
      </c>
      <c r="I54" s="513">
        <v>3.89</v>
      </c>
      <c r="J54" s="498">
        <f>1526748-12147</f>
        <v>1514601</v>
      </c>
      <c r="K54" s="513">
        <v>30.07</v>
      </c>
      <c r="L54" s="498">
        <f>11841639-17033</f>
        <v>11824606</v>
      </c>
      <c r="M54" s="497">
        <v>0</v>
      </c>
      <c r="N54" s="497">
        <v>0</v>
      </c>
      <c r="O54" s="497">
        <v>0</v>
      </c>
      <c r="P54" s="498">
        <v>0</v>
      </c>
      <c r="Q54" s="77">
        <f t="shared" si="11"/>
        <v>13339207</v>
      </c>
      <c r="R54" s="497">
        <v>10</v>
      </c>
      <c r="S54" s="498">
        <v>3776935</v>
      </c>
      <c r="T54" s="497">
        <v>0</v>
      </c>
      <c r="U54" s="497">
        <v>0</v>
      </c>
      <c r="V54" s="497">
        <v>0</v>
      </c>
      <c r="W54" s="498">
        <v>0</v>
      </c>
      <c r="X54" s="14">
        <f t="shared" si="12"/>
        <v>3776935</v>
      </c>
      <c r="Y54" s="147">
        <f t="shared" si="13"/>
        <v>43.96</v>
      </c>
      <c r="Z54" s="14">
        <f t="shared" si="14"/>
        <v>17116142</v>
      </c>
      <c r="AA54" s="14">
        <f t="shared" si="15"/>
        <v>0</v>
      </c>
      <c r="AB54" s="148">
        <f t="shared" si="22"/>
        <v>9.9499999999999993</v>
      </c>
      <c r="AC54" s="149">
        <f t="shared" si="23"/>
        <v>35.15</v>
      </c>
      <c r="AD54" s="129">
        <f t="shared" si="24"/>
        <v>45.11</v>
      </c>
      <c r="AE54" s="77">
        <f t="shared" si="16"/>
        <v>17116142</v>
      </c>
      <c r="AF54" s="158">
        <v>2.5000000000000001E-2</v>
      </c>
      <c r="AG54" s="290">
        <v>18744037</v>
      </c>
      <c r="AH54" s="290">
        <v>0</v>
      </c>
      <c r="AI54" s="508">
        <f t="shared" si="17"/>
        <v>18744037</v>
      </c>
      <c r="AJ54" s="77">
        <v>509472880</v>
      </c>
      <c r="AK54" s="77">
        <f t="shared" si="28"/>
        <v>749761480</v>
      </c>
      <c r="AL54" s="613">
        <f t="shared" si="18"/>
        <v>0.47164159159953717</v>
      </c>
      <c r="AM54" s="616">
        <f t="shared" si="19"/>
        <v>585893812</v>
      </c>
      <c r="AN54" s="131">
        <f t="shared" si="25"/>
        <v>2.5000000000000001E-2</v>
      </c>
      <c r="AO54" s="131">
        <f t="shared" si="26"/>
        <v>0</v>
      </c>
      <c r="AP54" s="77">
        <f>58294+29180</f>
        <v>87474</v>
      </c>
      <c r="AQ54" s="77">
        <f t="shared" si="27"/>
        <v>35947653</v>
      </c>
      <c r="AR54" s="77">
        <f>ROUND(AQ54/'Table 3 Levels 1&amp;2'!C54,2)</f>
        <v>9864.89</v>
      </c>
    </row>
    <row r="55" spans="1:44">
      <c r="A55" s="12">
        <v>48</v>
      </c>
      <c r="B55" s="69" t="s">
        <v>222</v>
      </c>
      <c r="C55" s="14">
        <v>435435832</v>
      </c>
      <c r="D55" s="14">
        <v>86640381</v>
      </c>
      <c r="E55" s="14">
        <f t="shared" si="9"/>
        <v>348795451</v>
      </c>
      <c r="F55" s="14">
        <v>351353218</v>
      </c>
      <c r="G55" s="604">
        <f t="shared" si="10"/>
        <v>-7.2797597089319958E-3</v>
      </c>
      <c r="H55" s="605">
        <f t="shared" si="21"/>
        <v>348795451</v>
      </c>
      <c r="I55" s="513">
        <v>3.67</v>
      </c>
      <c r="J55" s="498">
        <v>1209118</v>
      </c>
      <c r="K55" s="513">
        <v>25.82</v>
      </c>
      <c r="L55" s="498">
        <v>8494570</v>
      </c>
      <c r="M55" s="497">
        <v>0</v>
      </c>
      <c r="N55" s="497">
        <v>0</v>
      </c>
      <c r="O55" s="497">
        <v>0</v>
      </c>
      <c r="P55" s="498">
        <v>0</v>
      </c>
      <c r="Q55" s="77">
        <f t="shared" si="11"/>
        <v>9703688</v>
      </c>
      <c r="R55" s="497">
        <v>10</v>
      </c>
      <c r="S55" s="498">
        <v>3314373</v>
      </c>
      <c r="T55" s="497">
        <v>0</v>
      </c>
      <c r="U55" s="497">
        <v>0</v>
      </c>
      <c r="V55" s="497">
        <v>0</v>
      </c>
      <c r="W55" s="498">
        <v>0</v>
      </c>
      <c r="X55" s="14">
        <f t="shared" si="12"/>
        <v>3314373</v>
      </c>
      <c r="Y55" s="147">
        <f t="shared" si="13"/>
        <v>39.49</v>
      </c>
      <c r="Z55" s="14">
        <f t="shared" si="14"/>
        <v>13018061</v>
      </c>
      <c r="AA55" s="14">
        <f t="shared" si="15"/>
        <v>0</v>
      </c>
      <c r="AB55" s="148">
        <f t="shared" si="22"/>
        <v>9.5</v>
      </c>
      <c r="AC55" s="149">
        <f t="shared" si="23"/>
        <v>27.82</v>
      </c>
      <c r="AD55" s="129">
        <f t="shared" si="24"/>
        <v>37.32</v>
      </c>
      <c r="AE55" s="77">
        <f t="shared" si="16"/>
        <v>13018061</v>
      </c>
      <c r="AF55" s="158">
        <v>2.2499999999999999E-2</v>
      </c>
      <c r="AG55" s="290">
        <v>18562036</v>
      </c>
      <c r="AH55" s="290">
        <v>0</v>
      </c>
      <c r="AI55" s="508">
        <f t="shared" si="17"/>
        <v>18562036</v>
      </c>
      <c r="AJ55" s="77">
        <v>1162601244</v>
      </c>
      <c r="AK55" s="77">
        <f t="shared" si="28"/>
        <v>824979378</v>
      </c>
      <c r="AL55" s="611">
        <f t="shared" si="18"/>
        <v>-0.29040212002387983</v>
      </c>
      <c r="AM55" s="614">
        <f t="shared" si="19"/>
        <v>824979378</v>
      </c>
      <c r="AN55" s="131">
        <f t="shared" si="25"/>
        <v>2.2499999993939243E-2</v>
      </c>
      <c r="AO55" s="131">
        <f t="shared" si="26"/>
        <v>0</v>
      </c>
      <c r="AP55" s="77">
        <v>208463.5</v>
      </c>
      <c r="AQ55" s="77">
        <f t="shared" si="27"/>
        <v>31788560.5</v>
      </c>
      <c r="AR55" s="77">
        <f>ROUND(AQ55/'Table 3 Levels 1&amp;2'!C55,2)</f>
        <v>5100.04</v>
      </c>
    </row>
    <row r="56" spans="1:44">
      <c r="A56" s="12">
        <v>49</v>
      </c>
      <c r="B56" s="69" t="s">
        <v>149</v>
      </c>
      <c r="C56" s="14">
        <v>618704640</v>
      </c>
      <c r="D56" s="14">
        <v>123047540</v>
      </c>
      <c r="E56" s="14">
        <f t="shared" si="9"/>
        <v>495657100</v>
      </c>
      <c r="F56" s="14">
        <v>495210698</v>
      </c>
      <c r="G56" s="604">
        <f t="shared" si="10"/>
        <v>9.0143852263870115E-4</v>
      </c>
      <c r="H56" s="605">
        <f t="shared" si="21"/>
        <v>495657100</v>
      </c>
      <c r="I56" s="513">
        <v>4.37</v>
      </c>
      <c r="J56" s="498">
        <v>2152126</v>
      </c>
      <c r="K56" s="513">
        <v>15.86</v>
      </c>
      <c r="L56" s="498">
        <v>7563121</v>
      </c>
      <c r="M56" s="497">
        <v>0</v>
      </c>
      <c r="N56" s="497">
        <v>0</v>
      </c>
      <c r="O56" s="497">
        <v>0</v>
      </c>
      <c r="P56" s="498">
        <v>0</v>
      </c>
      <c r="Q56" s="77">
        <f t="shared" si="11"/>
        <v>9715247</v>
      </c>
      <c r="R56" s="497">
        <v>0</v>
      </c>
      <c r="S56" s="498">
        <v>0</v>
      </c>
      <c r="T56" s="497">
        <v>0</v>
      </c>
      <c r="U56" s="497">
        <v>0</v>
      </c>
      <c r="V56" s="497">
        <v>0</v>
      </c>
      <c r="W56" s="498">
        <v>0</v>
      </c>
      <c r="X56" s="14">
        <f t="shared" si="12"/>
        <v>0</v>
      </c>
      <c r="Y56" s="147">
        <f t="shared" si="13"/>
        <v>20.23</v>
      </c>
      <c r="Z56" s="14">
        <f t="shared" si="14"/>
        <v>9715247</v>
      </c>
      <c r="AA56" s="14">
        <f t="shared" si="15"/>
        <v>0</v>
      </c>
      <c r="AB56" s="148">
        <f t="shared" si="22"/>
        <v>0</v>
      </c>
      <c r="AC56" s="149">
        <f t="shared" si="23"/>
        <v>19.600000000000001</v>
      </c>
      <c r="AD56" s="129">
        <f t="shared" si="24"/>
        <v>19.600000000000001</v>
      </c>
      <c r="AE56" s="77">
        <f t="shared" si="16"/>
        <v>9715247</v>
      </c>
      <c r="AF56" s="158">
        <v>0.02</v>
      </c>
      <c r="AG56" s="290">
        <v>22302404</v>
      </c>
      <c r="AH56" s="290">
        <v>0</v>
      </c>
      <c r="AI56" s="508">
        <f t="shared" si="17"/>
        <v>22302404</v>
      </c>
      <c r="AJ56" s="77">
        <v>1019519600</v>
      </c>
      <c r="AK56" s="77">
        <f t="shared" si="28"/>
        <v>1115120200</v>
      </c>
      <c r="AL56" s="611">
        <f t="shared" si="18"/>
        <v>9.3770242376899862E-2</v>
      </c>
      <c r="AM56" s="614">
        <f t="shared" si="19"/>
        <v>1115120200</v>
      </c>
      <c r="AN56" s="131">
        <f t="shared" si="25"/>
        <v>0.02</v>
      </c>
      <c r="AO56" s="131">
        <f t="shared" si="26"/>
        <v>0</v>
      </c>
      <c r="AP56" s="77">
        <v>478841.5</v>
      </c>
      <c r="AQ56" s="77">
        <f t="shared" si="27"/>
        <v>32496492.5</v>
      </c>
      <c r="AR56" s="77">
        <f>ROUND(AQ56/'Table 3 Levels 1&amp;2'!C56,2)</f>
        <v>2247.1799999999998</v>
      </c>
    </row>
    <row r="57" spans="1:44">
      <c r="A57" s="18">
        <v>50</v>
      </c>
      <c r="B57" s="70" t="s">
        <v>150</v>
      </c>
      <c r="C57" s="20">
        <v>342716211</v>
      </c>
      <c r="D57" s="20">
        <v>83068035</v>
      </c>
      <c r="E57" s="20">
        <f t="shared" si="9"/>
        <v>259648176</v>
      </c>
      <c r="F57" s="20">
        <v>230823287</v>
      </c>
      <c r="G57" s="608">
        <f t="shared" si="10"/>
        <v>0.12487860031210803</v>
      </c>
      <c r="H57" s="609">
        <f t="shared" si="21"/>
        <v>253905615.70000002</v>
      </c>
      <c r="I57" s="514">
        <v>2.61</v>
      </c>
      <c r="J57" s="500">
        <v>673100</v>
      </c>
      <c r="K57" s="514">
        <v>9.9700000000000006</v>
      </c>
      <c r="L57" s="500">
        <v>2571197</v>
      </c>
      <c r="M57" s="499">
        <v>0</v>
      </c>
      <c r="N57" s="499">
        <v>0</v>
      </c>
      <c r="O57" s="499">
        <v>0</v>
      </c>
      <c r="P57" s="500">
        <v>0</v>
      </c>
      <c r="Q57" s="78">
        <f t="shared" si="11"/>
        <v>3244297</v>
      </c>
      <c r="R57" s="499">
        <v>21.5</v>
      </c>
      <c r="S57" s="500">
        <v>5555076</v>
      </c>
      <c r="T57" s="499">
        <v>0</v>
      </c>
      <c r="U57" s="499">
        <v>0</v>
      </c>
      <c r="V57" s="499">
        <v>0</v>
      </c>
      <c r="W57" s="500">
        <v>0</v>
      </c>
      <c r="X57" s="20">
        <f t="shared" si="12"/>
        <v>5555076</v>
      </c>
      <c r="Y57" s="150">
        <f t="shared" si="13"/>
        <v>34.08</v>
      </c>
      <c r="Z57" s="20">
        <f t="shared" si="14"/>
        <v>8799373</v>
      </c>
      <c r="AA57" s="20">
        <f t="shared" si="15"/>
        <v>0</v>
      </c>
      <c r="AB57" s="151">
        <f t="shared" si="22"/>
        <v>21.39</v>
      </c>
      <c r="AC57" s="152">
        <f t="shared" si="23"/>
        <v>12.49</v>
      </c>
      <c r="AD57" s="130">
        <f t="shared" si="24"/>
        <v>33.89</v>
      </c>
      <c r="AE57" s="78">
        <f t="shared" si="16"/>
        <v>8799373</v>
      </c>
      <c r="AF57" s="159">
        <v>0.02</v>
      </c>
      <c r="AG57" s="291">
        <v>11765666</v>
      </c>
      <c r="AH57" s="291">
        <v>0</v>
      </c>
      <c r="AI57" s="509">
        <f t="shared" si="17"/>
        <v>11765666</v>
      </c>
      <c r="AJ57" s="78">
        <v>548902250</v>
      </c>
      <c r="AK57" s="78">
        <f t="shared" si="28"/>
        <v>588283300</v>
      </c>
      <c r="AL57" s="612">
        <f t="shared" si="18"/>
        <v>7.1745105799803158E-2</v>
      </c>
      <c r="AM57" s="615">
        <f t="shared" si="19"/>
        <v>588283300</v>
      </c>
      <c r="AN57" s="132">
        <f t="shared" si="25"/>
        <v>0.02</v>
      </c>
      <c r="AO57" s="132">
        <f t="shared" si="26"/>
        <v>0</v>
      </c>
      <c r="AP57" s="78">
        <v>432345.5</v>
      </c>
      <c r="AQ57" s="78">
        <f t="shared" si="27"/>
        <v>20997384.5</v>
      </c>
      <c r="AR57" s="78">
        <f>ROUND(AQ57/'Table 3 Levels 1&amp;2'!C57,2)</f>
        <v>2629.6</v>
      </c>
    </row>
    <row r="58" spans="1:44">
      <c r="A58" s="12">
        <v>51</v>
      </c>
      <c r="B58" s="69" t="s">
        <v>151</v>
      </c>
      <c r="C58" s="14">
        <v>639290601</v>
      </c>
      <c r="D58" s="14">
        <v>73002115</v>
      </c>
      <c r="E58" s="14">
        <f t="shared" si="9"/>
        <v>566288486</v>
      </c>
      <c r="F58" s="14">
        <v>512799577</v>
      </c>
      <c r="G58" s="606">
        <f t="shared" si="10"/>
        <v>0.10430763089338507</v>
      </c>
      <c r="H58" s="607">
        <f t="shared" si="21"/>
        <v>564079534.70000005</v>
      </c>
      <c r="I58" s="513">
        <v>8.4</v>
      </c>
      <c r="J58" s="498">
        <v>4465094</v>
      </c>
      <c r="K58" s="513">
        <v>11.18</v>
      </c>
      <c r="L58" s="498">
        <v>5942832</v>
      </c>
      <c r="M58" s="497">
        <v>11.58</v>
      </c>
      <c r="N58" s="497">
        <v>12.25</v>
      </c>
      <c r="O58" s="497">
        <v>3</v>
      </c>
      <c r="P58" s="498">
        <v>6257574</v>
      </c>
      <c r="Q58" s="77">
        <f t="shared" si="11"/>
        <v>16665500</v>
      </c>
      <c r="R58" s="497">
        <v>0</v>
      </c>
      <c r="S58" s="498">
        <v>0</v>
      </c>
      <c r="T58" s="497">
        <v>8</v>
      </c>
      <c r="U58" s="497">
        <v>18</v>
      </c>
      <c r="V58" s="497">
        <v>2</v>
      </c>
      <c r="W58" s="498">
        <v>2342907</v>
      </c>
      <c r="X58" s="14">
        <f t="shared" si="12"/>
        <v>2342907</v>
      </c>
      <c r="Y58" s="147">
        <f t="shared" si="13"/>
        <v>19.579999999999998</v>
      </c>
      <c r="Z58" s="14">
        <f t="shared" si="14"/>
        <v>10407926</v>
      </c>
      <c r="AA58" s="14">
        <f t="shared" si="15"/>
        <v>8600481</v>
      </c>
      <c r="AB58" s="148">
        <f t="shared" si="22"/>
        <v>4.1399999999999997</v>
      </c>
      <c r="AC58" s="149">
        <f t="shared" si="23"/>
        <v>29.43</v>
      </c>
      <c r="AD58" s="129">
        <f t="shared" si="24"/>
        <v>33.57</v>
      </c>
      <c r="AE58" s="77">
        <f t="shared" si="16"/>
        <v>19008407</v>
      </c>
      <c r="AF58" s="158">
        <v>1.7500000000000002E-2</v>
      </c>
      <c r="AG58" s="290">
        <v>17685184</v>
      </c>
      <c r="AH58" s="290">
        <v>0</v>
      </c>
      <c r="AI58" s="508">
        <f t="shared" si="17"/>
        <v>17685184</v>
      </c>
      <c r="AJ58" s="77">
        <v>865813086</v>
      </c>
      <c r="AK58" s="77">
        <f t="shared" si="28"/>
        <v>1010581943</v>
      </c>
      <c r="AL58" s="613">
        <f t="shared" si="18"/>
        <v>0.16720566983899801</v>
      </c>
      <c r="AM58" s="616">
        <f t="shared" si="19"/>
        <v>995685048.89999998</v>
      </c>
      <c r="AN58" s="131">
        <f t="shared" si="25"/>
        <v>1.7499999997526178E-2</v>
      </c>
      <c r="AO58" s="131">
        <f t="shared" si="26"/>
        <v>0</v>
      </c>
      <c r="AP58" s="77">
        <v>495361</v>
      </c>
      <c r="AQ58" s="77">
        <f t="shared" si="27"/>
        <v>37188952</v>
      </c>
      <c r="AR58" s="77">
        <f>ROUND(AQ58/'Table 3 Levels 1&amp;2'!C58,2)</f>
        <v>3979.13</v>
      </c>
    </row>
    <row r="59" spans="1:44">
      <c r="A59" s="12">
        <v>52</v>
      </c>
      <c r="B59" s="69" t="s">
        <v>152</v>
      </c>
      <c r="C59" s="14">
        <v>2071957489</v>
      </c>
      <c r="D59" s="14">
        <v>498218082</v>
      </c>
      <c r="E59" s="14">
        <f t="shared" si="9"/>
        <v>1573739407</v>
      </c>
      <c r="F59" s="14">
        <v>1471491895</v>
      </c>
      <c r="G59" s="604">
        <f t="shared" si="10"/>
        <v>6.9485610044763446E-2</v>
      </c>
      <c r="H59" s="605">
        <f t="shared" si="21"/>
        <v>1573739407</v>
      </c>
      <c r="I59" s="513">
        <v>3.8</v>
      </c>
      <c r="J59" s="498">
        <v>6181669</v>
      </c>
      <c r="K59" s="513">
        <v>43.75</v>
      </c>
      <c r="L59" s="498">
        <v>65829490</v>
      </c>
      <c r="M59" s="497">
        <v>43.75</v>
      </c>
      <c r="N59" s="497">
        <v>43.75</v>
      </c>
      <c r="O59" s="497">
        <v>0</v>
      </c>
      <c r="P59" s="498">
        <v>0</v>
      </c>
      <c r="Q59" s="77">
        <f t="shared" si="11"/>
        <v>72011159</v>
      </c>
      <c r="R59" s="497">
        <v>20.9</v>
      </c>
      <c r="S59" s="498">
        <v>31795559</v>
      </c>
      <c r="T59" s="497">
        <v>20.9</v>
      </c>
      <c r="U59" s="497">
        <v>20.9</v>
      </c>
      <c r="V59" s="497">
        <v>0</v>
      </c>
      <c r="W59" s="498">
        <v>0</v>
      </c>
      <c r="X59" s="14">
        <f t="shared" si="12"/>
        <v>31795559</v>
      </c>
      <c r="Y59" s="147">
        <f t="shared" si="13"/>
        <v>68.449999999999989</v>
      </c>
      <c r="Z59" s="14">
        <f t="shared" si="14"/>
        <v>103806718</v>
      </c>
      <c r="AA59" s="14">
        <f t="shared" si="15"/>
        <v>0</v>
      </c>
      <c r="AB59" s="148">
        <f t="shared" si="22"/>
        <v>20.2</v>
      </c>
      <c r="AC59" s="149">
        <f t="shared" si="23"/>
        <v>45.76</v>
      </c>
      <c r="AD59" s="129">
        <f t="shared" si="24"/>
        <v>65.959999999999994</v>
      </c>
      <c r="AE59" s="77">
        <f t="shared" si="16"/>
        <v>103806718</v>
      </c>
      <c r="AF59" s="158">
        <v>0.02</v>
      </c>
      <c r="AG59" s="290">
        <v>75235263</v>
      </c>
      <c r="AH59" s="290">
        <v>0</v>
      </c>
      <c r="AI59" s="508">
        <f t="shared" si="17"/>
        <v>75235263</v>
      </c>
      <c r="AJ59" s="77">
        <v>3603969100</v>
      </c>
      <c r="AK59" s="77">
        <f t="shared" si="28"/>
        <v>3761763150</v>
      </c>
      <c r="AL59" s="611">
        <f t="shared" si="18"/>
        <v>4.3783408131884374E-2</v>
      </c>
      <c r="AM59" s="614">
        <f t="shared" si="19"/>
        <v>3761763150</v>
      </c>
      <c r="AN59" s="131">
        <f t="shared" si="25"/>
        <v>0.02</v>
      </c>
      <c r="AO59" s="131">
        <f t="shared" si="26"/>
        <v>0</v>
      </c>
      <c r="AP59" s="77">
        <v>1943649</v>
      </c>
      <c r="AQ59" s="77">
        <f t="shared" si="27"/>
        <v>180985630</v>
      </c>
      <c r="AR59" s="77">
        <f>ROUND(AQ59/'Table 3 Levels 1&amp;2'!C59,2)</f>
        <v>4950.78</v>
      </c>
    </row>
    <row r="60" spans="1:44">
      <c r="A60" s="12">
        <v>53</v>
      </c>
      <c r="B60" s="69" t="s">
        <v>153</v>
      </c>
      <c r="C60" s="14">
        <v>670967851</v>
      </c>
      <c r="D60" s="14">
        <v>180154591</v>
      </c>
      <c r="E60" s="14">
        <f t="shared" si="9"/>
        <v>490813260</v>
      </c>
      <c r="F60" s="14">
        <v>469016299</v>
      </c>
      <c r="G60" s="604">
        <f t="shared" si="10"/>
        <v>4.6473781500714968E-2</v>
      </c>
      <c r="H60" s="605">
        <f t="shared" si="21"/>
        <v>490813260</v>
      </c>
      <c r="I60" s="513">
        <v>4.0599999999999996</v>
      </c>
      <c r="J60" s="498">
        <v>1947644</v>
      </c>
      <c r="K60" s="513">
        <v>0</v>
      </c>
      <c r="L60" s="498">
        <v>0</v>
      </c>
      <c r="M60" s="497">
        <v>0</v>
      </c>
      <c r="N60" s="497">
        <v>7.5</v>
      </c>
      <c r="O60" s="497">
        <v>1</v>
      </c>
      <c r="P60" s="498">
        <v>1624255</v>
      </c>
      <c r="Q60" s="77">
        <f t="shared" si="11"/>
        <v>3571899</v>
      </c>
      <c r="R60" s="497">
        <v>0</v>
      </c>
      <c r="S60" s="498">
        <v>0</v>
      </c>
      <c r="T60" s="497">
        <v>2.25</v>
      </c>
      <c r="U60" s="497">
        <v>18</v>
      </c>
      <c r="V60" s="497">
        <v>6</v>
      </c>
      <c r="W60" s="498">
        <v>1652672</v>
      </c>
      <c r="X60" s="14">
        <f t="shared" si="12"/>
        <v>1652672</v>
      </c>
      <c r="Y60" s="147">
        <f t="shared" si="13"/>
        <v>4.0599999999999996</v>
      </c>
      <c r="Z60" s="14">
        <f t="shared" si="14"/>
        <v>1947644</v>
      </c>
      <c r="AA60" s="14">
        <f t="shared" si="15"/>
        <v>3276927</v>
      </c>
      <c r="AB60" s="148">
        <f t="shared" si="22"/>
        <v>3.37</v>
      </c>
      <c r="AC60" s="149">
        <f t="shared" si="23"/>
        <v>7.28</v>
      </c>
      <c r="AD60" s="129">
        <f t="shared" si="24"/>
        <v>10.64</v>
      </c>
      <c r="AE60" s="77">
        <f t="shared" si="16"/>
        <v>5224571</v>
      </c>
      <c r="AF60" s="158">
        <v>0.02</v>
      </c>
      <c r="AG60" s="290">
        <v>28267736</v>
      </c>
      <c r="AH60" s="290">
        <v>3054678</v>
      </c>
      <c r="AI60" s="508">
        <f t="shared" si="17"/>
        <v>31322414</v>
      </c>
      <c r="AJ60" s="77">
        <v>1523525900</v>
      </c>
      <c r="AK60" s="77">
        <f t="shared" si="28"/>
        <v>1566120700</v>
      </c>
      <c r="AL60" s="611">
        <f t="shared" si="18"/>
        <v>2.7958041277801708E-2</v>
      </c>
      <c r="AM60" s="614">
        <f t="shared" si="19"/>
        <v>1566120700</v>
      </c>
      <c r="AN60" s="131">
        <f t="shared" si="25"/>
        <v>1.8049525812410244E-2</v>
      </c>
      <c r="AO60" s="131">
        <f t="shared" si="26"/>
        <v>1.950474187589756E-3</v>
      </c>
      <c r="AP60" s="77">
        <v>139130</v>
      </c>
      <c r="AQ60" s="77">
        <f t="shared" si="27"/>
        <v>36686115</v>
      </c>
      <c r="AR60" s="77">
        <f>ROUND(AQ60/'Table 3 Levels 1&amp;2'!C60,2)</f>
        <v>1928.82</v>
      </c>
    </row>
    <row r="61" spans="1:44">
      <c r="A61" s="12">
        <v>54</v>
      </c>
      <c r="B61" s="69" t="s">
        <v>154</v>
      </c>
      <c r="C61" s="14">
        <v>46723569</v>
      </c>
      <c r="D61" s="14">
        <v>6009986</v>
      </c>
      <c r="E61" s="14">
        <f t="shared" si="9"/>
        <v>40713583</v>
      </c>
      <c r="F61" s="14">
        <v>46291033</v>
      </c>
      <c r="G61" s="604">
        <f t="shared" si="10"/>
        <v>-0.12048661778621358</v>
      </c>
      <c r="H61" s="605">
        <f t="shared" si="21"/>
        <v>40713583</v>
      </c>
      <c r="I61" s="513">
        <v>5.08</v>
      </c>
      <c r="J61" s="498">
        <v>206779</v>
      </c>
      <c r="K61" s="513">
        <v>31.82</v>
      </c>
      <c r="L61" s="498">
        <v>1295220</v>
      </c>
      <c r="M61" s="497">
        <v>0</v>
      </c>
      <c r="N61" s="497">
        <v>0</v>
      </c>
      <c r="O61" s="497">
        <v>0</v>
      </c>
      <c r="P61" s="498">
        <v>0</v>
      </c>
      <c r="Q61" s="77">
        <f t="shared" si="11"/>
        <v>1501999</v>
      </c>
      <c r="R61" s="497">
        <v>0</v>
      </c>
      <c r="S61" s="498">
        <v>0</v>
      </c>
      <c r="T61" s="497">
        <v>0</v>
      </c>
      <c r="U61" s="497">
        <v>0</v>
      </c>
      <c r="V61" s="497">
        <v>0</v>
      </c>
      <c r="W61" s="498">
        <v>0</v>
      </c>
      <c r="X61" s="14">
        <f t="shared" si="12"/>
        <v>0</v>
      </c>
      <c r="Y61" s="147">
        <f t="shared" si="13"/>
        <v>36.9</v>
      </c>
      <c r="Z61" s="14">
        <f t="shared" si="14"/>
        <v>1501999</v>
      </c>
      <c r="AA61" s="14">
        <f t="shared" si="15"/>
        <v>0</v>
      </c>
      <c r="AB61" s="148">
        <f t="shared" si="22"/>
        <v>0</v>
      </c>
      <c r="AC61" s="149">
        <f t="shared" si="23"/>
        <v>36.89</v>
      </c>
      <c r="AD61" s="129">
        <f t="shared" si="24"/>
        <v>36.89</v>
      </c>
      <c r="AE61" s="77">
        <f t="shared" si="16"/>
        <v>1501999</v>
      </c>
      <c r="AF61" s="158">
        <v>1.4999999999999999E-2</v>
      </c>
      <c r="AG61" s="290">
        <v>594679</v>
      </c>
      <c r="AH61" s="290">
        <v>0</v>
      </c>
      <c r="AI61" s="508">
        <f t="shared" si="17"/>
        <v>594679</v>
      </c>
      <c r="AJ61" s="77">
        <v>39169800</v>
      </c>
      <c r="AK61" s="77">
        <f t="shared" si="28"/>
        <v>39645267</v>
      </c>
      <c r="AL61" s="611">
        <f t="shared" si="18"/>
        <v>1.2138611889772222E-2</v>
      </c>
      <c r="AM61" s="614">
        <f t="shared" si="19"/>
        <v>39645267</v>
      </c>
      <c r="AN61" s="131">
        <f t="shared" si="25"/>
        <v>1.499999987388154E-2</v>
      </c>
      <c r="AO61" s="131">
        <f t="shared" si="26"/>
        <v>0</v>
      </c>
      <c r="AP61" s="77">
        <v>52973.5</v>
      </c>
      <c r="AQ61" s="77">
        <f t="shared" si="27"/>
        <v>2149651.5</v>
      </c>
      <c r="AR61" s="77">
        <f>ROUND(AQ61/'Table 3 Levels 1&amp;2'!C61,2)</f>
        <v>3066.55</v>
      </c>
    </row>
    <row r="62" spans="1:44">
      <c r="A62" s="18">
        <v>55</v>
      </c>
      <c r="B62" s="70" t="s">
        <v>155</v>
      </c>
      <c r="C62" s="20">
        <v>914684385</v>
      </c>
      <c r="D62" s="20">
        <v>172892410</v>
      </c>
      <c r="E62" s="20">
        <f t="shared" si="9"/>
        <v>741791975</v>
      </c>
      <c r="F62" s="20">
        <v>722165295</v>
      </c>
      <c r="G62" s="781">
        <f t="shared" si="10"/>
        <v>2.7177545273758968E-2</v>
      </c>
      <c r="H62" s="782">
        <f t="shared" si="21"/>
        <v>741791975</v>
      </c>
      <c r="I62" s="514">
        <v>3.86</v>
      </c>
      <c r="J62" s="500">
        <v>2711252</v>
      </c>
      <c r="K62" s="514">
        <v>5.41</v>
      </c>
      <c r="L62" s="500">
        <v>3799943</v>
      </c>
      <c r="M62" s="499">
        <v>0</v>
      </c>
      <c r="N62" s="499">
        <v>0</v>
      </c>
      <c r="O62" s="499">
        <v>0</v>
      </c>
      <c r="P62" s="500">
        <v>0</v>
      </c>
      <c r="Q62" s="78">
        <f t="shared" si="11"/>
        <v>6511195</v>
      </c>
      <c r="R62" s="499">
        <v>0</v>
      </c>
      <c r="S62" s="500">
        <v>30</v>
      </c>
      <c r="T62" s="499">
        <v>0</v>
      </c>
      <c r="U62" s="499">
        <v>0</v>
      </c>
      <c r="V62" s="499">
        <v>0</v>
      </c>
      <c r="W62" s="500">
        <v>0</v>
      </c>
      <c r="X62" s="20">
        <f t="shared" si="12"/>
        <v>30</v>
      </c>
      <c r="Y62" s="150">
        <f t="shared" si="13"/>
        <v>9.27</v>
      </c>
      <c r="Z62" s="20">
        <f t="shared" si="14"/>
        <v>6511225</v>
      </c>
      <c r="AA62" s="20">
        <f t="shared" si="15"/>
        <v>0</v>
      </c>
      <c r="AB62" s="151">
        <f t="shared" si="22"/>
        <v>0</v>
      </c>
      <c r="AC62" s="152">
        <f t="shared" si="23"/>
        <v>8.7799999999999994</v>
      </c>
      <c r="AD62" s="130">
        <f t="shared" si="24"/>
        <v>8.7799999999999994</v>
      </c>
      <c r="AE62" s="78">
        <f t="shared" si="16"/>
        <v>6511225</v>
      </c>
      <c r="AF62" s="159">
        <v>2.0799999999999999E-2</v>
      </c>
      <c r="AG62" s="291">
        <v>46884621</v>
      </c>
      <c r="AH62" s="291">
        <v>0</v>
      </c>
      <c r="AI62" s="509">
        <f t="shared" si="17"/>
        <v>46884621</v>
      </c>
      <c r="AJ62" s="78">
        <v>2119738077</v>
      </c>
      <c r="AK62" s="78">
        <f t="shared" si="28"/>
        <v>2254068317</v>
      </c>
      <c r="AL62" s="612">
        <f t="shared" si="18"/>
        <v>6.3371150170644402E-2</v>
      </c>
      <c r="AM62" s="615">
        <f t="shared" si="19"/>
        <v>2254068317</v>
      </c>
      <c r="AN62" s="132">
        <f t="shared" si="25"/>
        <v>2.0800000002839311E-2</v>
      </c>
      <c r="AO62" s="132">
        <f t="shared" si="26"/>
        <v>0</v>
      </c>
      <c r="AP62" s="78">
        <v>406862</v>
      </c>
      <c r="AQ62" s="78">
        <f t="shared" si="27"/>
        <v>53802708</v>
      </c>
      <c r="AR62" s="78">
        <f>ROUND(AQ62/'Table 3 Levels 1&amp;2'!C62,2)</f>
        <v>3033.7</v>
      </c>
    </row>
    <row r="63" spans="1:44">
      <c r="A63" s="12">
        <v>56</v>
      </c>
      <c r="B63" s="69" t="s">
        <v>156</v>
      </c>
      <c r="C63" s="14">
        <v>192345730</v>
      </c>
      <c r="D63" s="14">
        <v>34623772</v>
      </c>
      <c r="E63" s="14">
        <f t="shared" si="9"/>
        <v>157721958</v>
      </c>
      <c r="F63" s="14">
        <v>130913178</v>
      </c>
      <c r="G63" s="606">
        <f t="shared" si="10"/>
        <v>0.20478289817393325</v>
      </c>
      <c r="H63" s="607">
        <f t="shared" si="21"/>
        <v>144004495.80000001</v>
      </c>
      <c r="I63" s="513">
        <v>3.55</v>
      </c>
      <c r="J63" s="498">
        <v>551782</v>
      </c>
      <c r="K63" s="513">
        <v>17.98</v>
      </c>
      <c r="L63" s="498">
        <v>2805959</v>
      </c>
      <c r="M63" s="497">
        <v>1.48</v>
      </c>
      <c r="N63" s="497">
        <v>1.64</v>
      </c>
      <c r="O63" s="497">
        <v>9</v>
      </c>
      <c r="P63" s="498">
        <v>248029</v>
      </c>
      <c r="Q63" s="77">
        <f t="shared" si="11"/>
        <v>3605770</v>
      </c>
      <c r="R63" s="497">
        <v>0</v>
      </c>
      <c r="S63" s="498">
        <v>0</v>
      </c>
      <c r="T63" s="497">
        <v>0</v>
      </c>
      <c r="U63" s="497">
        <v>0</v>
      </c>
      <c r="V63" s="497">
        <v>0</v>
      </c>
      <c r="W63" s="498">
        <v>0</v>
      </c>
      <c r="X63" s="14">
        <f t="shared" si="12"/>
        <v>0</v>
      </c>
      <c r="Y63" s="147">
        <f t="shared" si="13"/>
        <v>21.53</v>
      </c>
      <c r="Z63" s="14">
        <f t="shared" si="14"/>
        <v>3357741</v>
      </c>
      <c r="AA63" s="14">
        <f t="shared" si="15"/>
        <v>248029</v>
      </c>
      <c r="AB63" s="148">
        <f t="shared" si="22"/>
        <v>0</v>
      </c>
      <c r="AC63" s="149">
        <f t="shared" si="23"/>
        <v>22.86</v>
      </c>
      <c r="AD63" s="129">
        <f t="shared" si="24"/>
        <v>22.86</v>
      </c>
      <c r="AE63" s="77">
        <f t="shared" si="16"/>
        <v>3605770</v>
      </c>
      <c r="AF63" s="158">
        <v>0.02</v>
      </c>
      <c r="AG63" s="290">
        <v>4787471</v>
      </c>
      <c r="AH63" s="290">
        <v>0</v>
      </c>
      <c r="AI63" s="508">
        <f t="shared" si="17"/>
        <v>4787471</v>
      </c>
      <c r="AJ63" s="77">
        <v>275824800</v>
      </c>
      <c r="AK63" s="77">
        <f t="shared" si="28"/>
        <v>239373550</v>
      </c>
      <c r="AL63" s="611">
        <f t="shared" si="18"/>
        <v>-0.13215363520611634</v>
      </c>
      <c r="AM63" s="614">
        <f t="shared" si="19"/>
        <v>239373550</v>
      </c>
      <c r="AN63" s="131">
        <f t="shared" si="25"/>
        <v>0.02</v>
      </c>
      <c r="AO63" s="131">
        <f t="shared" si="26"/>
        <v>0</v>
      </c>
      <c r="AP63" s="77">
        <v>151687.5</v>
      </c>
      <c r="AQ63" s="77">
        <f t="shared" si="27"/>
        <v>8544928.5</v>
      </c>
      <c r="AR63" s="77">
        <f>ROUND(AQ63/'Table 3 Levels 1&amp;2'!C63,2)</f>
        <v>3016.21</v>
      </c>
    </row>
    <row r="64" spans="1:44">
      <c r="A64" s="12">
        <v>57</v>
      </c>
      <c r="B64" s="69" t="s">
        <v>157</v>
      </c>
      <c r="C64" s="14">
        <v>398950960</v>
      </c>
      <c r="D64" s="14">
        <v>89330240</v>
      </c>
      <c r="E64" s="14">
        <f t="shared" si="9"/>
        <v>309620720</v>
      </c>
      <c r="F64" s="14">
        <v>306010230</v>
      </c>
      <c r="G64" s="604">
        <f t="shared" si="10"/>
        <v>1.1798592484963656E-2</v>
      </c>
      <c r="H64" s="605">
        <f t="shared" si="21"/>
        <v>309620720</v>
      </c>
      <c r="I64" s="513">
        <v>4.6500000000000004</v>
      </c>
      <c r="J64" s="498">
        <v>1418551</v>
      </c>
      <c r="K64" s="513">
        <v>35</v>
      </c>
      <c r="L64" s="498">
        <v>10672645</v>
      </c>
      <c r="M64" s="497">
        <v>0</v>
      </c>
      <c r="N64" s="497">
        <v>0</v>
      </c>
      <c r="O64" s="497">
        <v>0</v>
      </c>
      <c r="P64" s="498">
        <v>0</v>
      </c>
      <c r="Q64" s="77">
        <f t="shared" si="11"/>
        <v>12091196</v>
      </c>
      <c r="R64" s="497">
        <v>0</v>
      </c>
      <c r="S64" s="498">
        <v>0</v>
      </c>
      <c r="T64" s="497">
        <v>0</v>
      </c>
      <c r="U64" s="497">
        <v>0</v>
      </c>
      <c r="V64" s="497">
        <v>0</v>
      </c>
      <c r="W64" s="498">
        <v>0</v>
      </c>
      <c r="X64" s="14">
        <f t="shared" si="12"/>
        <v>0</v>
      </c>
      <c r="Y64" s="147">
        <f t="shared" si="13"/>
        <v>39.65</v>
      </c>
      <c r="Z64" s="14">
        <f t="shared" si="14"/>
        <v>12091196</v>
      </c>
      <c r="AA64" s="14">
        <f t="shared" si="15"/>
        <v>0</v>
      </c>
      <c r="AB64" s="148">
        <f t="shared" si="22"/>
        <v>0</v>
      </c>
      <c r="AC64" s="149">
        <f t="shared" si="23"/>
        <v>39.049999999999997</v>
      </c>
      <c r="AD64" s="129">
        <f t="shared" si="24"/>
        <v>39.049999999999997</v>
      </c>
      <c r="AE64" s="77">
        <f t="shared" si="16"/>
        <v>12091196</v>
      </c>
      <c r="AF64" s="158">
        <v>1.4999999999999999E-2</v>
      </c>
      <c r="AG64" s="290">
        <v>11023107</v>
      </c>
      <c r="AH64" s="290">
        <v>0</v>
      </c>
      <c r="AI64" s="508">
        <f t="shared" si="17"/>
        <v>11023107</v>
      </c>
      <c r="AJ64" s="77">
        <v>623242133</v>
      </c>
      <c r="AK64" s="77">
        <f t="shared" si="28"/>
        <v>734873800</v>
      </c>
      <c r="AL64" s="613">
        <f t="shared" si="18"/>
        <v>0.1791144421874315</v>
      </c>
      <c r="AM64" s="616">
        <f t="shared" si="19"/>
        <v>716728452.94999993</v>
      </c>
      <c r="AN64" s="131">
        <f t="shared" si="25"/>
        <v>1.4999999999999999E-2</v>
      </c>
      <c r="AO64" s="131">
        <f t="shared" si="26"/>
        <v>0</v>
      </c>
      <c r="AP64" s="77">
        <v>2377214</v>
      </c>
      <c r="AQ64" s="77">
        <f t="shared" si="27"/>
        <v>25491517</v>
      </c>
      <c r="AR64" s="77">
        <f>ROUND(AQ64/'Table 3 Levels 1&amp;2'!C64,2)</f>
        <v>2872.93</v>
      </c>
    </row>
    <row r="65" spans="1:44">
      <c r="A65" s="12">
        <v>58</v>
      </c>
      <c r="B65" s="69" t="s">
        <v>158</v>
      </c>
      <c r="C65" s="14">
        <v>163020940</v>
      </c>
      <c r="D65" s="14">
        <v>45925907</v>
      </c>
      <c r="E65" s="14">
        <f t="shared" si="9"/>
        <v>117095033</v>
      </c>
      <c r="F65" s="14">
        <v>121458730</v>
      </c>
      <c r="G65" s="604">
        <f t="shared" si="10"/>
        <v>-3.5927405135884424E-2</v>
      </c>
      <c r="H65" s="605">
        <f t="shared" si="21"/>
        <v>117095033</v>
      </c>
      <c r="I65" s="513">
        <v>4.18</v>
      </c>
      <c r="J65" s="498">
        <v>470452</v>
      </c>
      <c r="K65" s="513">
        <v>8.1199999999999992</v>
      </c>
      <c r="L65" s="498">
        <v>913884</v>
      </c>
      <c r="M65" s="497">
        <v>10</v>
      </c>
      <c r="N65" s="497">
        <v>18.77</v>
      </c>
      <c r="O65" s="497">
        <v>9</v>
      </c>
      <c r="P65" s="498">
        <v>1706617</v>
      </c>
      <c r="Q65" s="77">
        <f t="shared" si="11"/>
        <v>3090953</v>
      </c>
      <c r="R65" s="497">
        <v>0</v>
      </c>
      <c r="S65" s="498">
        <v>0</v>
      </c>
      <c r="T65" s="497">
        <v>18.350000000000001</v>
      </c>
      <c r="U65" s="497">
        <v>43.19</v>
      </c>
      <c r="V65" s="497">
        <v>9</v>
      </c>
      <c r="W65" s="498">
        <v>3041502</v>
      </c>
      <c r="X65" s="14">
        <f t="shared" si="12"/>
        <v>3041502</v>
      </c>
      <c r="Y65" s="147">
        <f t="shared" si="13"/>
        <v>12.299999999999999</v>
      </c>
      <c r="Z65" s="14">
        <f t="shared" si="14"/>
        <v>1384336</v>
      </c>
      <c r="AA65" s="14">
        <f t="shared" si="15"/>
        <v>4748119</v>
      </c>
      <c r="AB65" s="148">
        <f t="shared" si="22"/>
        <v>25.97</v>
      </c>
      <c r="AC65" s="149">
        <f t="shared" si="23"/>
        <v>26.4</v>
      </c>
      <c r="AD65" s="129">
        <f t="shared" si="24"/>
        <v>52.37</v>
      </c>
      <c r="AE65" s="77">
        <f t="shared" si="16"/>
        <v>6132455</v>
      </c>
      <c r="AF65" s="158">
        <v>0.02</v>
      </c>
      <c r="AG65" s="290">
        <v>10811799</v>
      </c>
      <c r="AH65" s="290">
        <v>0</v>
      </c>
      <c r="AI65" s="508">
        <f t="shared" si="17"/>
        <v>10811799</v>
      </c>
      <c r="AJ65" s="77">
        <v>538870350</v>
      </c>
      <c r="AK65" s="77">
        <f t="shared" si="28"/>
        <v>540589950</v>
      </c>
      <c r="AL65" s="611">
        <f t="shared" si="18"/>
        <v>3.191120090389089E-3</v>
      </c>
      <c r="AM65" s="614">
        <f t="shared" si="19"/>
        <v>540589950</v>
      </c>
      <c r="AN65" s="131">
        <f t="shared" si="25"/>
        <v>0.02</v>
      </c>
      <c r="AO65" s="131">
        <f t="shared" si="26"/>
        <v>0</v>
      </c>
      <c r="AP65" s="77">
        <v>432567</v>
      </c>
      <c r="AQ65" s="77">
        <f t="shared" si="27"/>
        <v>17376821</v>
      </c>
      <c r="AR65" s="77">
        <f>ROUND(AQ65/'Table 3 Levels 1&amp;2'!C65,2)</f>
        <v>1830.1</v>
      </c>
    </row>
    <row r="66" spans="1:44">
      <c r="A66" s="12">
        <v>59</v>
      </c>
      <c r="B66" s="69" t="s">
        <v>159</v>
      </c>
      <c r="C66" s="14">
        <v>124413140</v>
      </c>
      <c r="D66" s="14">
        <v>42220039</v>
      </c>
      <c r="E66" s="14">
        <f t="shared" si="9"/>
        <v>82193101</v>
      </c>
      <c r="F66" s="14">
        <v>77180840</v>
      </c>
      <c r="G66" s="604">
        <f t="shared" si="10"/>
        <v>6.4941778296271457E-2</v>
      </c>
      <c r="H66" s="605">
        <f t="shared" si="21"/>
        <v>82193101</v>
      </c>
      <c r="I66" s="513">
        <v>3.91</v>
      </c>
      <c r="J66" s="498">
        <v>358858</v>
      </c>
      <c r="K66" s="513">
        <v>15.07</v>
      </c>
      <c r="L66" s="498">
        <v>1383103</v>
      </c>
      <c r="M66" s="497">
        <v>5.19</v>
      </c>
      <c r="N66" s="497">
        <v>5.19</v>
      </c>
      <c r="O66" s="497">
        <v>1</v>
      </c>
      <c r="P66" s="498">
        <v>23964</v>
      </c>
      <c r="Q66" s="77">
        <f t="shared" si="11"/>
        <v>1765925</v>
      </c>
      <c r="R66" s="497">
        <v>0</v>
      </c>
      <c r="S66" s="498">
        <v>0</v>
      </c>
      <c r="T66" s="497">
        <v>17</v>
      </c>
      <c r="U66" s="497">
        <v>33.5</v>
      </c>
      <c r="V66" s="497">
        <v>3</v>
      </c>
      <c r="W66" s="498">
        <v>2871264</v>
      </c>
      <c r="X66" s="14">
        <f t="shared" si="12"/>
        <v>2871264</v>
      </c>
      <c r="Y66" s="147">
        <f t="shared" si="13"/>
        <v>18.98</v>
      </c>
      <c r="Z66" s="14">
        <f t="shared" si="14"/>
        <v>1741961</v>
      </c>
      <c r="AA66" s="14">
        <f t="shared" si="15"/>
        <v>2895228</v>
      </c>
      <c r="AB66" s="148">
        <f t="shared" si="22"/>
        <v>34.93</v>
      </c>
      <c r="AC66" s="149">
        <f t="shared" si="23"/>
        <v>21.49</v>
      </c>
      <c r="AD66" s="129">
        <f t="shared" si="24"/>
        <v>56.42</v>
      </c>
      <c r="AE66" s="77">
        <f t="shared" si="16"/>
        <v>4637189</v>
      </c>
      <c r="AF66" s="158">
        <v>0.02</v>
      </c>
      <c r="AG66" s="290">
        <v>3958010</v>
      </c>
      <c r="AH66" s="290">
        <v>0</v>
      </c>
      <c r="AI66" s="508">
        <f t="shared" si="17"/>
        <v>3958010</v>
      </c>
      <c r="AJ66" s="77">
        <v>184213300</v>
      </c>
      <c r="AK66" s="77">
        <f t="shared" si="28"/>
        <v>197900500</v>
      </c>
      <c r="AL66" s="611">
        <f t="shared" si="18"/>
        <v>7.4300824099019988E-2</v>
      </c>
      <c r="AM66" s="614">
        <f t="shared" si="19"/>
        <v>197900500</v>
      </c>
      <c r="AN66" s="131">
        <f t="shared" si="25"/>
        <v>0.02</v>
      </c>
      <c r="AO66" s="131">
        <f t="shared" si="26"/>
        <v>0</v>
      </c>
      <c r="AP66" s="77">
        <v>161850</v>
      </c>
      <c r="AQ66" s="77">
        <f t="shared" si="27"/>
        <v>8757049</v>
      </c>
      <c r="AR66" s="77">
        <f>ROUND(AQ66/'Table 3 Levels 1&amp;2'!C66,2)</f>
        <v>1688.92</v>
      </c>
    </row>
    <row r="67" spans="1:44">
      <c r="A67" s="18">
        <v>60</v>
      </c>
      <c r="B67" s="70" t="s">
        <v>160</v>
      </c>
      <c r="C67" s="20">
        <v>280216270</v>
      </c>
      <c r="D67" s="20">
        <v>52209019</v>
      </c>
      <c r="E67" s="20">
        <f t="shared" si="9"/>
        <v>228007251</v>
      </c>
      <c r="F67" s="20">
        <v>213957412</v>
      </c>
      <c r="G67" s="781">
        <f t="shared" si="10"/>
        <v>6.5666521522516827E-2</v>
      </c>
      <c r="H67" s="782">
        <f t="shared" si="21"/>
        <v>228007251</v>
      </c>
      <c r="I67" s="514">
        <v>4.18</v>
      </c>
      <c r="J67" s="500">
        <v>947380</v>
      </c>
      <c r="K67" s="514">
        <v>11.58</v>
      </c>
      <c r="L67" s="500">
        <v>2619301</v>
      </c>
      <c r="M67" s="499">
        <v>7.12</v>
      </c>
      <c r="N67" s="499">
        <v>25.37</v>
      </c>
      <c r="O67" s="499">
        <v>3</v>
      </c>
      <c r="P67" s="500">
        <v>1449907</v>
      </c>
      <c r="Q67" s="78">
        <f t="shared" si="11"/>
        <v>5016588</v>
      </c>
      <c r="R67" s="499">
        <v>0</v>
      </c>
      <c r="S67" s="500">
        <v>0</v>
      </c>
      <c r="T67" s="499">
        <v>19</v>
      </c>
      <c r="U67" s="499">
        <v>40</v>
      </c>
      <c r="V67" s="499">
        <v>7</v>
      </c>
      <c r="W67" s="500">
        <v>6288274</v>
      </c>
      <c r="X67" s="20">
        <f t="shared" si="12"/>
        <v>6288274</v>
      </c>
      <c r="Y67" s="150">
        <f t="shared" si="13"/>
        <v>15.76</v>
      </c>
      <c r="Z67" s="20">
        <f t="shared" si="14"/>
        <v>3566681</v>
      </c>
      <c r="AA67" s="20">
        <f t="shared" si="15"/>
        <v>7738181</v>
      </c>
      <c r="AB67" s="151">
        <f t="shared" si="22"/>
        <v>27.58</v>
      </c>
      <c r="AC67" s="152">
        <f t="shared" si="23"/>
        <v>22</v>
      </c>
      <c r="AD67" s="130">
        <f t="shared" si="24"/>
        <v>49.58</v>
      </c>
      <c r="AE67" s="78">
        <f t="shared" si="16"/>
        <v>11304862</v>
      </c>
      <c r="AF67" s="159">
        <v>2.1299999999999999E-2</v>
      </c>
      <c r="AG67" s="291">
        <v>14308091</v>
      </c>
      <c r="AH67" s="291">
        <v>0</v>
      </c>
      <c r="AI67" s="509">
        <f t="shared" si="17"/>
        <v>14308091</v>
      </c>
      <c r="AJ67" s="78">
        <v>650909531</v>
      </c>
      <c r="AK67" s="78">
        <f t="shared" si="28"/>
        <v>671741362</v>
      </c>
      <c r="AL67" s="612">
        <f t="shared" si="18"/>
        <v>3.2004187998285742E-2</v>
      </c>
      <c r="AM67" s="615">
        <f t="shared" si="19"/>
        <v>671741362</v>
      </c>
      <c r="AN67" s="132">
        <f t="shared" si="25"/>
        <v>2.1299999984220119E-2</v>
      </c>
      <c r="AO67" s="132">
        <f t="shared" si="26"/>
        <v>0</v>
      </c>
      <c r="AP67" s="78">
        <v>354884.5</v>
      </c>
      <c r="AQ67" s="78">
        <f t="shared" si="27"/>
        <v>25967837.5</v>
      </c>
      <c r="AR67" s="78">
        <f>ROUND(AQ67/'Table 3 Levels 1&amp;2'!C67,2)</f>
        <v>4011.1</v>
      </c>
    </row>
    <row r="68" spans="1:44">
      <c r="A68" s="12">
        <v>61</v>
      </c>
      <c r="B68" s="69" t="s">
        <v>161</v>
      </c>
      <c r="C68" s="14">
        <v>367450610</v>
      </c>
      <c r="D68" s="14">
        <v>38994833</v>
      </c>
      <c r="E68" s="14">
        <f t="shared" si="9"/>
        <v>328455777</v>
      </c>
      <c r="F68" s="14">
        <v>311590633</v>
      </c>
      <c r="G68" s="604">
        <f t="shared" si="10"/>
        <v>5.412596597536358E-2</v>
      </c>
      <c r="H68" s="605">
        <f t="shared" si="21"/>
        <v>328455777</v>
      </c>
      <c r="I68" s="513">
        <v>4.3899999999999997</v>
      </c>
      <c r="J68" s="498">
        <v>1438743</v>
      </c>
      <c r="K68" s="513">
        <v>27</v>
      </c>
      <c r="L68" s="498">
        <v>8848758</v>
      </c>
      <c r="M68" s="497">
        <v>0</v>
      </c>
      <c r="N68" s="497">
        <v>0</v>
      </c>
      <c r="O68" s="497">
        <v>0</v>
      </c>
      <c r="P68" s="498">
        <v>0</v>
      </c>
      <c r="Q68" s="77">
        <f t="shared" si="11"/>
        <v>10287501</v>
      </c>
      <c r="R68" s="497">
        <v>4</v>
      </c>
      <c r="S68" s="498">
        <v>1310927</v>
      </c>
      <c r="T68" s="497">
        <v>0</v>
      </c>
      <c r="U68" s="497">
        <v>0</v>
      </c>
      <c r="V68" s="497">
        <v>0</v>
      </c>
      <c r="W68" s="498">
        <v>0</v>
      </c>
      <c r="X68" s="14">
        <f t="shared" si="12"/>
        <v>1310927</v>
      </c>
      <c r="Y68" s="147">
        <f t="shared" si="13"/>
        <v>35.39</v>
      </c>
      <c r="Z68" s="14">
        <f t="shared" si="14"/>
        <v>11598428</v>
      </c>
      <c r="AA68" s="14">
        <f t="shared" si="15"/>
        <v>0</v>
      </c>
      <c r="AB68" s="148">
        <f t="shared" si="22"/>
        <v>3.99</v>
      </c>
      <c r="AC68" s="149">
        <f t="shared" si="23"/>
        <v>31.32</v>
      </c>
      <c r="AD68" s="129">
        <f t="shared" si="24"/>
        <v>35.31</v>
      </c>
      <c r="AE68" s="77">
        <f t="shared" si="16"/>
        <v>11598428</v>
      </c>
      <c r="AF68" s="158">
        <v>0.02</v>
      </c>
      <c r="AG68" s="290">
        <v>10207463</v>
      </c>
      <c r="AH68" s="290">
        <v>0</v>
      </c>
      <c r="AI68" s="508">
        <f t="shared" si="17"/>
        <v>10207463</v>
      </c>
      <c r="AJ68" s="77">
        <v>536997350</v>
      </c>
      <c r="AK68" s="77">
        <f t="shared" si="28"/>
        <v>510373150</v>
      </c>
      <c r="AL68" s="611">
        <f t="shared" si="18"/>
        <v>-4.9579760496024791E-2</v>
      </c>
      <c r="AM68" s="614">
        <f t="shared" si="19"/>
        <v>510373150</v>
      </c>
      <c r="AN68" s="131">
        <f t="shared" si="25"/>
        <v>0.02</v>
      </c>
      <c r="AO68" s="131">
        <f t="shared" si="26"/>
        <v>0</v>
      </c>
      <c r="AP68" s="77">
        <v>210970.5</v>
      </c>
      <c r="AQ68" s="77">
        <f t="shared" si="27"/>
        <v>22016861.5</v>
      </c>
      <c r="AR68" s="77">
        <f>ROUND(AQ68/'Table 3 Levels 1&amp;2'!C68,2)</f>
        <v>6207.18</v>
      </c>
    </row>
    <row r="69" spans="1:44">
      <c r="A69" s="12">
        <v>62</v>
      </c>
      <c r="B69" s="69" t="s">
        <v>162</v>
      </c>
      <c r="C69" s="14">
        <v>66748070</v>
      </c>
      <c r="D69" s="14">
        <v>16299899</v>
      </c>
      <c r="E69" s="14">
        <f t="shared" si="9"/>
        <v>50448171</v>
      </c>
      <c r="F69" s="14">
        <v>53059759</v>
      </c>
      <c r="G69" s="604">
        <f t="shared" si="10"/>
        <v>-4.9219748623434194E-2</v>
      </c>
      <c r="H69" s="605">
        <f t="shared" si="21"/>
        <v>50448171</v>
      </c>
      <c r="I69" s="513">
        <v>6.33</v>
      </c>
      <c r="J69" s="498">
        <v>310464</v>
      </c>
      <c r="K69" s="513">
        <v>16.899999999999999</v>
      </c>
      <c r="L69" s="498">
        <v>828876</v>
      </c>
      <c r="M69" s="497">
        <v>4.47</v>
      </c>
      <c r="N69" s="497">
        <v>4.47</v>
      </c>
      <c r="O69" s="497">
        <v>1</v>
      </c>
      <c r="P69" s="498">
        <v>104340</v>
      </c>
      <c r="Q69" s="77">
        <f t="shared" si="11"/>
        <v>1243680</v>
      </c>
      <c r="R69" s="497">
        <v>0</v>
      </c>
      <c r="S69" s="498">
        <v>0</v>
      </c>
      <c r="T69" s="497">
        <v>0</v>
      </c>
      <c r="U69" s="497">
        <v>0</v>
      </c>
      <c r="V69" s="497">
        <v>0</v>
      </c>
      <c r="W69" s="498">
        <v>0</v>
      </c>
      <c r="X69" s="14">
        <f t="shared" si="12"/>
        <v>0</v>
      </c>
      <c r="Y69" s="147">
        <f t="shared" si="13"/>
        <v>23.229999999999997</v>
      </c>
      <c r="Z69" s="14">
        <f t="shared" si="14"/>
        <v>1139340</v>
      </c>
      <c r="AA69" s="14">
        <f t="shared" si="15"/>
        <v>104340</v>
      </c>
      <c r="AB69" s="148">
        <f t="shared" si="22"/>
        <v>0</v>
      </c>
      <c r="AC69" s="149">
        <f t="shared" si="23"/>
        <v>24.65</v>
      </c>
      <c r="AD69" s="129">
        <f t="shared" si="24"/>
        <v>24.65</v>
      </c>
      <c r="AE69" s="77">
        <f t="shared" si="16"/>
        <v>1243680</v>
      </c>
      <c r="AF69" s="158">
        <v>0.02</v>
      </c>
      <c r="AG69" s="290">
        <v>2272494</v>
      </c>
      <c r="AH69" s="290">
        <v>0</v>
      </c>
      <c r="AI69" s="508">
        <f t="shared" si="17"/>
        <v>2272494</v>
      </c>
      <c r="AJ69" s="77">
        <v>110454550</v>
      </c>
      <c r="AK69" s="77">
        <f t="shared" si="28"/>
        <v>113624700</v>
      </c>
      <c r="AL69" s="611">
        <f t="shared" si="18"/>
        <v>2.8700945320948752E-2</v>
      </c>
      <c r="AM69" s="614">
        <f t="shared" si="19"/>
        <v>113624700</v>
      </c>
      <c r="AN69" s="131">
        <f t="shared" si="25"/>
        <v>0.02</v>
      </c>
      <c r="AO69" s="131">
        <f t="shared" si="26"/>
        <v>0</v>
      </c>
      <c r="AP69" s="77">
        <v>97717.5</v>
      </c>
      <c r="AQ69" s="77">
        <f t="shared" si="27"/>
        <v>3613891.5</v>
      </c>
      <c r="AR69" s="77">
        <f>ROUND(AQ69/'Table 3 Levels 1&amp;2'!C69,2)</f>
        <v>1694.28</v>
      </c>
    </row>
    <row r="70" spans="1:44">
      <c r="A70" s="12">
        <v>63</v>
      </c>
      <c r="B70" s="69" t="s">
        <v>163</v>
      </c>
      <c r="C70" s="14">
        <v>287736902</v>
      </c>
      <c r="D70" s="14">
        <v>16665937</v>
      </c>
      <c r="E70" s="14">
        <f t="shared" si="9"/>
        <v>271070965</v>
      </c>
      <c r="F70" s="14">
        <v>273853000</v>
      </c>
      <c r="G70" s="604">
        <f t="shared" si="10"/>
        <v>-1.0158862601468671E-2</v>
      </c>
      <c r="H70" s="605">
        <f t="shared" si="21"/>
        <v>271070965</v>
      </c>
      <c r="I70" s="513">
        <v>4.46</v>
      </c>
      <c r="J70" s="498">
        <v>1163200</v>
      </c>
      <c r="K70" s="513">
        <v>29.5</v>
      </c>
      <c r="L70" s="498">
        <v>7689508</v>
      </c>
      <c r="M70" s="497">
        <v>0</v>
      </c>
      <c r="N70" s="497">
        <v>0</v>
      </c>
      <c r="O70" s="497">
        <v>0</v>
      </c>
      <c r="P70" s="498">
        <v>0</v>
      </c>
      <c r="Q70" s="77">
        <f t="shared" si="11"/>
        <v>8852708</v>
      </c>
      <c r="R70" s="497">
        <v>4</v>
      </c>
      <c r="S70" s="498">
        <v>1043227</v>
      </c>
      <c r="T70" s="497">
        <v>0</v>
      </c>
      <c r="U70" s="497">
        <v>0</v>
      </c>
      <c r="V70" s="497">
        <v>0</v>
      </c>
      <c r="W70" s="498">
        <v>0</v>
      </c>
      <c r="X70" s="14">
        <f t="shared" si="12"/>
        <v>1043227</v>
      </c>
      <c r="Y70" s="147">
        <f t="shared" si="13"/>
        <v>37.96</v>
      </c>
      <c r="Z70" s="14">
        <f t="shared" si="14"/>
        <v>9895935</v>
      </c>
      <c r="AA70" s="14">
        <f t="shared" si="15"/>
        <v>0</v>
      </c>
      <c r="AB70" s="148">
        <f t="shared" si="22"/>
        <v>3.85</v>
      </c>
      <c r="AC70" s="149">
        <f t="shared" si="23"/>
        <v>32.659999999999997</v>
      </c>
      <c r="AD70" s="129">
        <f t="shared" si="24"/>
        <v>36.51</v>
      </c>
      <c r="AE70" s="77">
        <f t="shared" si="16"/>
        <v>9895935</v>
      </c>
      <c r="AF70" s="158">
        <v>2.5000000000000001E-2</v>
      </c>
      <c r="AG70" s="290">
        <v>4158235</v>
      </c>
      <c r="AH70" s="290">
        <v>0</v>
      </c>
      <c r="AI70" s="508">
        <f t="shared" si="17"/>
        <v>4158235</v>
      </c>
      <c r="AJ70" s="77">
        <v>197835100</v>
      </c>
      <c r="AK70" s="77">
        <f t="shared" si="28"/>
        <v>166329400</v>
      </c>
      <c r="AL70" s="611">
        <f t="shared" si="18"/>
        <v>-0.15925232681157186</v>
      </c>
      <c r="AM70" s="614">
        <f t="shared" si="19"/>
        <v>166329400</v>
      </c>
      <c r="AN70" s="131">
        <f t="shared" si="25"/>
        <v>2.5000000000000001E-2</v>
      </c>
      <c r="AO70" s="131">
        <f t="shared" si="26"/>
        <v>0</v>
      </c>
      <c r="AP70" s="77">
        <v>55770.5</v>
      </c>
      <c r="AQ70" s="77">
        <f t="shared" si="27"/>
        <v>14109940.5</v>
      </c>
      <c r="AR70" s="77">
        <f>ROUND(AQ70/'Table 3 Levels 1&amp;2'!C70,2)</f>
        <v>6930.23</v>
      </c>
    </row>
    <row r="71" spans="1:44">
      <c r="A71" s="12">
        <v>64</v>
      </c>
      <c r="B71" s="69" t="s">
        <v>164</v>
      </c>
      <c r="C71" s="14">
        <v>86074043</v>
      </c>
      <c r="D71" s="14">
        <v>16064294</v>
      </c>
      <c r="E71" s="14">
        <f t="shared" si="9"/>
        <v>70009749</v>
      </c>
      <c r="F71" s="14">
        <v>59155594</v>
      </c>
      <c r="G71" s="606">
        <f t="shared" si="10"/>
        <v>0.18348484506807589</v>
      </c>
      <c r="H71" s="607">
        <f t="shared" si="21"/>
        <v>65071153.400000006</v>
      </c>
      <c r="I71" s="513">
        <v>4.88</v>
      </c>
      <c r="J71" s="498">
        <v>299702</v>
      </c>
      <c r="K71" s="513">
        <v>15.64</v>
      </c>
      <c r="L71" s="498">
        <v>962306</v>
      </c>
      <c r="M71" s="497">
        <v>3</v>
      </c>
      <c r="N71" s="497">
        <v>3.12</v>
      </c>
      <c r="O71" s="497">
        <v>2</v>
      </c>
      <c r="P71" s="498">
        <v>158867</v>
      </c>
      <c r="Q71" s="77">
        <f t="shared" si="11"/>
        <v>1420875</v>
      </c>
      <c r="R71" s="497">
        <v>0</v>
      </c>
      <c r="S71" s="498">
        <v>0</v>
      </c>
      <c r="T71" s="497">
        <v>18</v>
      </c>
      <c r="U71" s="497">
        <v>45</v>
      </c>
      <c r="V71" s="497">
        <v>4</v>
      </c>
      <c r="W71" s="498">
        <v>1431955</v>
      </c>
      <c r="X71" s="14">
        <f t="shared" si="12"/>
        <v>1431955</v>
      </c>
      <c r="Y71" s="147">
        <f t="shared" si="13"/>
        <v>20.52</v>
      </c>
      <c r="Z71" s="14">
        <f t="shared" si="14"/>
        <v>1262008</v>
      </c>
      <c r="AA71" s="14">
        <f t="shared" si="15"/>
        <v>1590822</v>
      </c>
      <c r="AB71" s="148">
        <f t="shared" si="22"/>
        <v>20.45</v>
      </c>
      <c r="AC71" s="149">
        <f t="shared" si="23"/>
        <v>20.3</v>
      </c>
      <c r="AD71" s="129">
        <f t="shared" si="24"/>
        <v>40.75</v>
      </c>
      <c r="AE71" s="77">
        <f t="shared" si="16"/>
        <v>2852830</v>
      </c>
      <c r="AF71" s="158">
        <v>0.02</v>
      </c>
      <c r="AG71" s="290">
        <v>3504036</v>
      </c>
      <c r="AH71" s="290">
        <v>0</v>
      </c>
      <c r="AI71" s="508">
        <f t="shared" si="17"/>
        <v>3504036</v>
      </c>
      <c r="AJ71" s="77">
        <v>159191000</v>
      </c>
      <c r="AK71" s="77">
        <f t="shared" si="28"/>
        <v>175201800</v>
      </c>
      <c r="AL71" s="611">
        <f t="shared" si="18"/>
        <v>0.10057603759006477</v>
      </c>
      <c r="AM71" s="614">
        <f t="shared" si="19"/>
        <v>175201800</v>
      </c>
      <c r="AN71" s="131">
        <f t="shared" si="25"/>
        <v>0.02</v>
      </c>
      <c r="AO71" s="131">
        <f t="shared" si="26"/>
        <v>0</v>
      </c>
      <c r="AP71" s="77">
        <v>309841</v>
      </c>
      <c r="AQ71" s="77">
        <f t="shared" si="27"/>
        <v>6666707</v>
      </c>
      <c r="AR71" s="77">
        <f>ROUND(AQ71/'Table 3 Levels 1&amp;2'!C71,2)</f>
        <v>2752.56</v>
      </c>
    </row>
    <row r="72" spans="1:44">
      <c r="A72" s="18">
        <v>65</v>
      </c>
      <c r="B72" s="70" t="s">
        <v>165</v>
      </c>
      <c r="C72" s="20">
        <v>383752471</v>
      </c>
      <c r="D72" s="20">
        <v>46690034</v>
      </c>
      <c r="E72" s="20">
        <f t="shared" si="9"/>
        <v>337062437</v>
      </c>
      <c r="F72" s="20">
        <v>342041168</v>
      </c>
      <c r="G72" s="781">
        <f t="shared" si="10"/>
        <v>-1.4555940821720034E-2</v>
      </c>
      <c r="H72" s="782">
        <f t="shared" si="21"/>
        <v>337062437</v>
      </c>
      <c r="I72" s="514">
        <v>7.07</v>
      </c>
      <c r="J72" s="500">
        <v>2378645</v>
      </c>
      <c r="K72" s="514">
        <v>20.57</v>
      </c>
      <c r="L72" s="500">
        <v>6924265</v>
      </c>
      <c r="M72" s="499">
        <v>0</v>
      </c>
      <c r="N72" s="499">
        <v>0</v>
      </c>
      <c r="O72" s="499">
        <v>0</v>
      </c>
      <c r="P72" s="500">
        <v>0</v>
      </c>
      <c r="Q72" s="78">
        <f t="shared" si="11"/>
        <v>9302910</v>
      </c>
      <c r="R72" s="499">
        <v>17</v>
      </c>
      <c r="S72" s="500">
        <v>5717698</v>
      </c>
      <c r="T72" s="499">
        <v>0</v>
      </c>
      <c r="U72" s="499">
        <v>0</v>
      </c>
      <c r="V72" s="499">
        <v>0</v>
      </c>
      <c r="W72" s="500">
        <v>0</v>
      </c>
      <c r="X72" s="20">
        <f t="shared" si="12"/>
        <v>5717698</v>
      </c>
      <c r="Y72" s="150">
        <f t="shared" si="13"/>
        <v>44.64</v>
      </c>
      <c r="Z72" s="20">
        <f t="shared" si="14"/>
        <v>15020608</v>
      </c>
      <c r="AA72" s="20">
        <f t="shared" si="15"/>
        <v>0</v>
      </c>
      <c r="AB72" s="151">
        <f t="shared" ref="AB72:AB77" si="29">ROUND((X72/E72)*1000,2)</f>
        <v>16.96</v>
      </c>
      <c r="AC72" s="152">
        <f t="shared" ref="AC72:AC77" si="30">ROUND((Q72/E72)*1000,2)</f>
        <v>27.6</v>
      </c>
      <c r="AD72" s="130">
        <f t="shared" ref="AD72:AD77" si="31">ROUND((AE72/E72)*1000,2)</f>
        <v>44.56</v>
      </c>
      <c r="AE72" s="78">
        <f t="shared" si="16"/>
        <v>15020608</v>
      </c>
      <c r="AF72" s="159">
        <v>0.02</v>
      </c>
      <c r="AG72" s="291">
        <v>24878003</v>
      </c>
      <c r="AH72" s="291">
        <v>0</v>
      </c>
      <c r="AI72" s="509">
        <f t="shared" si="17"/>
        <v>24878003</v>
      </c>
      <c r="AJ72" s="78">
        <v>1201463950</v>
      </c>
      <c r="AK72" s="78">
        <f t="shared" si="28"/>
        <v>1243900150</v>
      </c>
      <c r="AL72" s="612">
        <f t="shared" si="18"/>
        <v>3.5320410570787414E-2</v>
      </c>
      <c r="AM72" s="615">
        <f t="shared" si="19"/>
        <v>1243900150</v>
      </c>
      <c r="AN72" s="132">
        <f t="shared" si="25"/>
        <v>0.02</v>
      </c>
      <c r="AO72" s="132">
        <f t="shared" si="26"/>
        <v>0</v>
      </c>
      <c r="AP72" s="78">
        <v>303721</v>
      </c>
      <c r="AQ72" s="78">
        <f>AP72+AE72+AI72</f>
        <v>40202332</v>
      </c>
      <c r="AR72" s="78">
        <f>ROUND(AQ72/'Table 3 Levels 1&amp;2'!C72,2)</f>
        <v>4681.7700000000004</v>
      </c>
    </row>
    <row r="73" spans="1:44">
      <c r="A73" s="12">
        <v>66</v>
      </c>
      <c r="B73" s="69" t="s">
        <v>166</v>
      </c>
      <c r="C73" s="77">
        <v>99780600</v>
      </c>
      <c r="D73" s="77">
        <v>21176570</v>
      </c>
      <c r="E73" s="14">
        <f>C73-D73</f>
        <v>78604030</v>
      </c>
      <c r="F73" s="77">
        <v>73038730</v>
      </c>
      <c r="G73" s="604">
        <f>(E73-F73)/F73</f>
        <v>7.6196560372832331E-2</v>
      </c>
      <c r="H73" s="605">
        <f t="shared" si="21"/>
        <v>78604030</v>
      </c>
      <c r="I73" s="513">
        <v>6.44</v>
      </c>
      <c r="J73" s="498">
        <v>496571</v>
      </c>
      <c r="K73" s="513">
        <v>56.37</v>
      </c>
      <c r="L73" s="498">
        <v>4223286</v>
      </c>
      <c r="M73" s="497">
        <v>0</v>
      </c>
      <c r="N73" s="497">
        <v>0</v>
      </c>
      <c r="O73" s="497">
        <v>0</v>
      </c>
      <c r="P73" s="498">
        <v>0</v>
      </c>
      <c r="Q73" s="77">
        <f>J73+L73+P73</f>
        <v>4719857</v>
      </c>
      <c r="R73" s="497">
        <v>0</v>
      </c>
      <c r="S73" s="498">
        <v>0</v>
      </c>
      <c r="T73" s="497">
        <v>0</v>
      </c>
      <c r="U73" s="497">
        <v>0</v>
      </c>
      <c r="V73" s="497">
        <v>0</v>
      </c>
      <c r="W73" s="498">
        <v>0</v>
      </c>
      <c r="X73" s="77">
        <f>S73+W73</f>
        <v>0</v>
      </c>
      <c r="Y73" s="162">
        <f t="shared" ref="Y73:Z75" si="32">I73+K73+R73</f>
        <v>62.809999999999995</v>
      </c>
      <c r="Z73" s="77">
        <f t="shared" si="32"/>
        <v>4719857</v>
      </c>
      <c r="AA73" s="77">
        <f>P73+W73</f>
        <v>0</v>
      </c>
      <c r="AB73" s="163">
        <f t="shared" si="29"/>
        <v>0</v>
      </c>
      <c r="AC73" s="164">
        <f t="shared" si="30"/>
        <v>60.05</v>
      </c>
      <c r="AD73" s="129">
        <f t="shared" si="31"/>
        <v>60.05</v>
      </c>
      <c r="AE73" s="77">
        <f>X73+Q73</f>
        <v>4719857</v>
      </c>
      <c r="AF73" s="158">
        <v>0.01</v>
      </c>
      <c r="AG73" s="290">
        <v>2310643</v>
      </c>
      <c r="AH73" s="290">
        <v>0</v>
      </c>
      <c r="AI73" s="508">
        <f>AG73+AH73</f>
        <v>2310643</v>
      </c>
      <c r="AJ73" s="77">
        <v>233497200</v>
      </c>
      <c r="AK73" s="77">
        <f t="shared" si="28"/>
        <v>231064300</v>
      </c>
      <c r="AL73" s="611">
        <f>(AK73-AJ73)/AJ73</f>
        <v>-1.0419396892125473E-2</v>
      </c>
      <c r="AM73" s="614">
        <f>IF((AK73-AJ73)/AJ73&gt;$AM$5,AJ73*(1+$AM$5),AK73)</f>
        <v>231064300</v>
      </c>
      <c r="AN73" s="131">
        <f t="shared" si="25"/>
        <v>0.01</v>
      </c>
      <c r="AO73" s="131">
        <f t="shared" si="26"/>
        <v>0</v>
      </c>
      <c r="AP73" s="77">
        <v>214465</v>
      </c>
      <c r="AQ73" s="77">
        <f>AP73+AE73+AI73</f>
        <v>7244965</v>
      </c>
      <c r="AR73" s="77">
        <f>ROUND(AQ73/'Table 3 Levels 1&amp;2'!C73,2)</f>
        <v>3518.68</v>
      </c>
    </row>
    <row r="74" spans="1:44" s="75" customFormat="1">
      <c r="A74" s="103">
        <v>67</v>
      </c>
      <c r="B74" s="161" t="s">
        <v>33</v>
      </c>
      <c r="C74" s="77">
        <v>224340050</v>
      </c>
      <c r="D74" s="166">
        <v>37676700</v>
      </c>
      <c r="E74" s="14">
        <f>C74-D74</f>
        <v>186663350</v>
      </c>
      <c r="F74" s="166">
        <v>184265610</v>
      </c>
      <c r="G74" s="783">
        <f>(E74-F74)/F74</f>
        <v>1.3012411811406371E-2</v>
      </c>
      <c r="H74" s="605">
        <f t="shared" si="21"/>
        <v>186663350</v>
      </c>
      <c r="I74" s="162">
        <v>5</v>
      </c>
      <c r="J74" s="77">
        <v>916793</v>
      </c>
      <c r="K74" s="162">
        <v>38.200000000000003</v>
      </c>
      <c r="L74" s="77">
        <v>7004471</v>
      </c>
      <c r="M74" s="503">
        <v>0</v>
      </c>
      <c r="N74" s="503">
        <v>0</v>
      </c>
      <c r="O74" s="81">
        <v>1</v>
      </c>
      <c r="P74" s="77">
        <v>0</v>
      </c>
      <c r="Q74" s="77">
        <f>J74+L74+P74</f>
        <v>7921264</v>
      </c>
      <c r="R74" s="497">
        <v>36</v>
      </c>
      <c r="S74" s="77">
        <v>6611442</v>
      </c>
      <c r="T74" s="503">
        <v>0</v>
      </c>
      <c r="U74" s="503">
        <v>0</v>
      </c>
      <c r="V74" s="81">
        <v>1</v>
      </c>
      <c r="W74" s="77">
        <v>0</v>
      </c>
      <c r="X74" s="77">
        <f>S74+W74</f>
        <v>6611442</v>
      </c>
      <c r="Y74" s="162">
        <f t="shared" si="32"/>
        <v>79.2</v>
      </c>
      <c r="Z74" s="77">
        <f t="shared" si="32"/>
        <v>14532706</v>
      </c>
      <c r="AA74" s="77">
        <f>P74+W74</f>
        <v>0</v>
      </c>
      <c r="AB74" s="163">
        <f t="shared" si="29"/>
        <v>35.42</v>
      </c>
      <c r="AC74" s="164">
        <f t="shared" si="30"/>
        <v>42.44</v>
      </c>
      <c r="AD74" s="129">
        <f t="shared" si="31"/>
        <v>77.86</v>
      </c>
      <c r="AE74" s="77">
        <f>X74+Q74</f>
        <v>14532706</v>
      </c>
      <c r="AF74" s="158">
        <v>0.02</v>
      </c>
      <c r="AG74" s="290">
        <v>7761984</v>
      </c>
      <c r="AH74" s="290">
        <v>0</v>
      </c>
      <c r="AI74" s="508">
        <f>AG74+AH74</f>
        <v>7761984</v>
      </c>
      <c r="AJ74" s="77">
        <v>381984350</v>
      </c>
      <c r="AK74" s="77">
        <f t="shared" si="28"/>
        <v>388099200</v>
      </c>
      <c r="AL74" s="611">
        <f>(AK74-AJ74)/AJ74</f>
        <v>1.6008116562890602E-2</v>
      </c>
      <c r="AM74" s="614">
        <f>IF((AK74-AJ74)/AJ74&gt;$AM$5,AJ74*(1+$AM$5),AK74)</f>
        <v>388099200</v>
      </c>
      <c r="AN74" s="131">
        <f t="shared" si="25"/>
        <v>0.02</v>
      </c>
      <c r="AO74" s="131">
        <f t="shared" si="26"/>
        <v>0</v>
      </c>
      <c r="AP74" s="77">
        <v>81064</v>
      </c>
      <c r="AQ74" s="77">
        <f>AP74+AE74+AI74</f>
        <v>22375754</v>
      </c>
      <c r="AR74" s="77">
        <f>ROUND(AQ74/'Table 3 Levels 1&amp;2'!C74,2)</f>
        <v>4412.49</v>
      </c>
    </row>
    <row r="75" spans="1:44" s="75" customFormat="1">
      <c r="A75" s="103">
        <v>68</v>
      </c>
      <c r="B75" s="161" t="s">
        <v>31</v>
      </c>
      <c r="C75" s="77">
        <v>65684720</v>
      </c>
      <c r="D75" s="166">
        <v>21233950</v>
      </c>
      <c r="E75" s="166">
        <f>C75-D75</f>
        <v>44450770</v>
      </c>
      <c r="F75" s="166">
        <v>46445230</v>
      </c>
      <c r="G75" s="783">
        <f>(E75-F75)/F75</f>
        <v>-4.2942192341387908E-2</v>
      </c>
      <c r="H75" s="605">
        <f t="shared" si="21"/>
        <v>44450770</v>
      </c>
      <c r="I75" s="162">
        <v>5</v>
      </c>
      <c r="J75" s="77">
        <v>210986</v>
      </c>
      <c r="K75" s="162">
        <v>38.200000000000003</v>
      </c>
      <c r="L75" s="77">
        <v>1610580</v>
      </c>
      <c r="M75" s="503">
        <v>0</v>
      </c>
      <c r="N75" s="503">
        <v>0</v>
      </c>
      <c r="O75" s="81">
        <v>1</v>
      </c>
      <c r="P75" s="77">
        <v>0</v>
      </c>
      <c r="Q75" s="77">
        <f>J75+L75+P75</f>
        <v>1821566</v>
      </c>
      <c r="R75" s="497">
        <v>0</v>
      </c>
      <c r="S75" s="77">
        <v>0</v>
      </c>
      <c r="T75" s="503">
        <v>0</v>
      </c>
      <c r="U75" s="503">
        <v>0</v>
      </c>
      <c r="V75" s="81">
        <v>1</v>
      </c>
      <c r="W75" s="77">
        <v>0</v>
      </c>
      <c r="X75" s="77">
        <f>S75+W75</f>
        <v>0</v>
      </c>
      <c r="Y75" s="162">
        <f t="shared" si="32"/>
        <v>43.2</v>
      </c>
      <c r="Z75" s="77">
        <f t="shared" si="32"/>
        <v>1821566</v>
      </c>
      <c r="AA75" s="77">
        <f>P75+W75</f>
        <v>0</v>
      </c>
      <c r="AB75" s="163">
        <f t="shared" si="29"/>
        <v>0</v>
      </c>
      <c r="AC75" s="164">
        <f t="shared" si="30"/>
        <v>40.98</v>
      </c>
      <c r="AD75" s="129">
        <f t="shared" si="31"/>
        <v>40.98</v>
      </c>
      <c r="AE75" s="77">
        <f>X75+Q75</f>
        <v>1821566</v>
      </c>
      <c r="AF75" s="158">
        <v>0.02</v>
      </c>
      <c r="AG75" s="290">
        <v>3220233</v>
      </c>
      <c r="AH75" s="290">
        <v>0</v>
      </c>
      <c r="AI75" s="508">
        <f>AG75+AH75</f>
        <v>3220233</v>
      </c>
      <c r="AJ75" s="77">
        <v>150485100</v>
      </c>
      <c r="AK75" s="77">
        <f t="shared" si="28"/>
        <v>161011650</v>
      </c>
      <c r="AL75" s="611">
        <f>(AK75-AJ75)/AJ75</f>
        <v>6.9950779180131456E-2</v>
      </c>
      <c r="AM75" s="614">
        <f>IF((AK75-AJ75)/AJ75&gt;$AM$5,AJ75*(1+$AM$5),AK75)</f>
        <v>161011650</v>
      </c>
      <c r="AN75" s="131">
        <f t="shared" si="25"/>
        <v>0.02</v>
      </c>
      <c r="AO75" s="131">
        <f t="shared" si="26"/>
        <v>0</v>
      </c>
      <c r="AP75" s="77">
        <v>45686</v>
      </c>
      <c r="AQ75" s="77">
        <f>AP75+AE75+AI75</f>
        <v>5087485</v>
      </c>
      <c r="AR75" s="77">
        <f>ROUND(AQ75/'Table 3 Levels 1&amp;2'!C75,2)</f>
        <v>2871.04</v>
      </c>
    </row>
    <row r="76" spans="1:44" s="109" customFormat="1">
      <c r="A76" s="103">
        <v>69</v>
      </c>
      <c r="B76" s="161" t="s">
        <v>235</v>
      </c>
      <c r="C76" s="77">
        <v>167279030</v>
      </c>
      <c r="D76" s="166">
        <v>61883300</v>
      </c>
      <c r="E76" s="166">
        <f>C76-D76</f>
        <v>105395730</v>
      </c>
      <c r="F76" s="166">
        <v>101279930</v>
      </c>
      <c r="G76" s="783">
        <f>(E76-F76)/F76</f>
        <v>4.0637863789992748E-2</v>
      </c>
      <c r="H76" s="605">
        <f t="shared" si="21"/>
        <v>105395730</v>
      </c>
      <c r="I76" s="162">
        <v>4.58</v>
      </c>
      <c r="J76" s="77">
        <v>469703</v>
      </c>
      <c r="K76" s="162">
        <v>35.21</v>
      </c>
      <c r="L76" s="77">
        <v>3610230</v>
      </c>
      <c r="M76" s="503">
        <v>0</v>
      </c>
      <c r="N76" s="503">
        <v>0</v>
      </c>
      <c r="O76" s="81">
        <v>7</v>
      </c>
      <c r="P76" s="77">
        <v>0</v>
      </c>
      <c r="Q76" s="504">
        <f>J76+L76+P76</f>
        <v>4079933</v>
      </c>
      <c r="R76" s="499">
        <v>23.65</v>
      </c>
      <c r="S76" s="77">
        <v>2432267</v>
      </c>
      <c r="T76" s="503">
        <v>0</v>
      </c>
      <c r="U76" s="503">
        <v>0</v>
      </c>
      <c r="V76" s="81">
        <v>7</v>
      </c>
      <c r="W76" s="77">
        <v>0</v>
      </c>
      <c r="X76" s="504">
        <f>S76+W76</f>
        <v>2432267</v>
      </c>
      <c r="Y76" s="162">
        <f>I76+K76+R76</f>
        <v>63.44</v>
      </c>
      <c r="Z76" s="77">
        <f>J76+L76+S76</f>
        <v>6512200</v>
      </c>
      <c r="AA76" s="77">
        <f>P76+W76</f>
        <v>0</v>
      </c>
      <c r="AB76" s="505">
        <f t="shared" si="29"/>
        <v>23.08</v>
      </c>
      <c r="AC76" s="506">
        <f t="shared" si="30"/>
        <v>38.71</v>
      </c>
      <c r="AD76" s="507">
        <f t="shared" si="31"/>
        <v>61.79</v>
      </c>
      <c r="AE76" s="77">
        <f>X76+Q76</f>
        <v>6512200</v>
      </c>
      <c r="AF76" s="158">
        <v>2.5000000000000001E-2</v>
      </c>
      <c r="AG76" s="290">
        <v>5374013</v>
      </c>
      <c r="AH76" s="290">
        <v>1343245</v>
      </c>
      <c r="AI76" s="508">
        <f>AG76+AH76</f>
        <v>6717258</v>
      </c>
      <c r="AJ76" s="77">
        <v>270790640</v>
      </c>
      <c r="AK76" s="77">
        <f t="shared" si="28"/>
        <v>268690320</v>
      </c>
      <c r="AL76" s="611">
        <f>(AK76-AJ76)/AJ76</f>
        <v>-7.7562503637496477E-3</v>
      </c>
      <c r="AM76" s="614">
        <f>IF((AK76-AJ76)/AJ76&gt;$AM$5,AJ76*(1+$AM$5),AK76)</f>
        <v>268690320</v>
      </c>
      <c r="AN76" s="131">
        <f t="shared" si="25"/>
        <v>2.000076891493523E-2</v>
      </c>
      <c r="AO76" s="131">
        <f t="shared" si="26"/>
        <v>4.9992310850647693E-3</v>
      </c>
      <c r="AP76" s="77">
        <v>0</v>
      </c>
      <c r="AQ76" s="77">
        <f>AP76+AE76+AI76</f>
        <v>13229458</v>
      </c>
      <c r="AR76" s="77">
        <f>ROUND(AQ76/'Table 3 Levels 1&amp;2'!C76,2)</f>
        <v>3355.18</v>
      </c>
    </row>
    <row r="77" spans="1:44" s="62" customFormat="1" ht="13.5" thickBot="1">
      <c r="A77" s="390"/>
      <c r="B77" s="391" t="s">
        <v>98</v>
      </c>
      <c r="C77" s="160">
        <f>SUM(C8:C76)</f>
        <v>39287212425</v>
      </c>
      <c r="D77" s="160">
        <f>SUM(D8:D76)</f>
        <v>6774840685</v>
      </c>
      <c r="E77" s="160">
        <f>SUM(E8:E76)</f>
        <v>32512371740</v>
      </c>
      <c r="F77" s="392">
        <f>SUM(F8:F76)</f>
        <v>31424624315</v>
      </c>
      <c r="G77" s="985">
        <f>(E77-F77)/F77</f>
        <v>3.4614492574244794E-2</v>
      </c>
      <c r="H77" s="986">
        <f>SUM(H8:H76)</f>
        <v>32368249012.300007</v>
      </c>
      <c r="I77" s="393">
        <v>5.0599999999999996</v>
      </c>
      <c r="J77" s="160">
        <f>SUM(J8:J76)</f>
        <v>204507018</v>
      </c>
      <c r="K77" s="394">
        <v>23.86</v>
      </c>
      <c r="L77" s="160">
        <f>SUM(L8:L76)</f>
        <v>838182666</v>
      </c>
      <c r="M77" s="394">
        <v>0</v>
      </c>
      <c r="N77" s="394">
        <v>89.78</v>
      </c>
      <c r="O77" s="394">
        <f>SUM(O8:O76)</f>
        <v>115</v>
      </c>
      <c r="P77" s="160">
        <f>SUM(P8:P76)</f>
        <v>30313027</v>
      </c>
      <c r="Q77" s="160">
        <f>SUM(Q8:Q76)</f>
        <v>1073002711</v>
      </c>
      <c r="R77" s="510">
        <v>4.99</v>
      </c>
      <c r="S77" s="427">
        <f>SUM(S8:S76)</f>
        <v>142304973</v>
      </c>
      <c r="T77" s="510">
        <v>0</v>
      </c>
      <c r="U77" s="510">
        <v>55</v>
      </c>
      <c r="V77" s="510">
        <f>SUM(V8:V76)</f>
        <v>143</v>
      </c>
      <c r="W77" s="427">
        <f>SUM(W8:W76)</f>
        <v>92990433</v>
      </c>
      <c r="X77" s="160">
        <f>SUM(X8:X76)</f>
        <v>235295406</v>
      </c>
      <c r="Y77" s="394"/>
      <c r="Z77" s="160">
        <f>SUM(Z8:Z76)</f>
        <v>1184994657</v>
      </c>
      <c r="AA77" s="160">
        <f>SUM(AA8:AA76)</f>
        <v>123303460</v>
      </c>
      <c r="AB77" s="395">
        <f t="shared" si="29"/>
        <v>7.24</v>
      </c>
      <c r="AC77" s="396">
        <f t="shared" si="30"/>
        <v>33</v>
      </c>
      <c r="AD77" s="784">
        <f t="shared" si="31"/>
        <v>40.24</v>
      </c>
      <c r="AE77" s="160">
        <f>SUM(AE8:AE76)</f>
        <v>1308298117</v>
      </c>
      <c r="AF77" s="496">
        <f>ROUND(AI77/AK77,4)</f>
        <v>1.9800000000000002E-2</v>
      </c>
      <c r="AG77" s="771">
        <f>SUM(AG8:AG76)</f>
        <v>1601531744</v>
      </c>
      <c r="AH77" s="771">
        <f>SUM(AH8:AH76)</f>
        <v>41988526</v>
      </c>
      <c r="AI77" s="392">
        <f>SUM(AI8:AI76)</f>
        <v>1644278388</v>
      </c>
      <c r="AJ77" s="392">
        <f>SUM(AJ8:AJ76)</f>
        <v>78125864792</v>
      </c>
      <c r="AK77" s="392">
        <f>SUM(AK8:AK76)</f>
        <v>82977212324.5</v>
      </c>
      <c r="AL77" s="989">
        <f>(AK77-AJ77)/AJ77</f>
        <v>6.2096561048201958E-2</v>
      </c>
      <c r="AM77" s="392">
        <f>SUM(AM8:AM76)</f>
        <v>81720840432.400009</v>
      </c>
      <c r="AN77" s="397">
        <f>ROUND(AG77/$AK77,4)</f>
        <v>1.9300000000000001E-2</v>
      </c>
      <c r="AO77" s="397">
        <f>ROUND(AH77/$AK77,4)</f>
        <v>5.0000000000000001E-4</v>
      </c>
      <c r="AP77" s="427">
        <f>SUM(AP8:AP76)</f>
        <v>38141997.5</v>
      </c>
      <c r="AQ77" s="160">
        <f>SUM(AQ8:AQ76)</f>
        <v>2990718502.5</v>
      </c>
      <c r="AR77" s="160">
        <f>ROUND(AQ77/'Table 3 Levels 1&amp;2'!C77,2)</f>
        <v>4418.71</v>
      </c>
    </row>
    <row r="78" spans="1:44" ht="2.25" hidden="1" customHeight="1" thickTop="1">
      <c r="I78" s="75"/>
      <c r="AF78" s="158"/>
      <c r="AG78" s="449"/>
      <c r="AH78" s="449"/>
      <c r="AI78" s="618" t="s">
        <v>550</v>
      </c>
    </row>
    <row r="79" spans="1:44" hidden="1">
      <c r="D79" s="302"/>
      <c r="J79" s="812"/>
      <c r="L79" s="812"/>
      <c r="Q79" s="59">
        <f>J77+L77+P77</f>
        <v>1073002711</v>
      </c>
      <c r="S79" s="812" t="s">
        <v>996</v>
      </c>
      <c r="W79" s="812" t="s">
        <v>997</v>
      </c>
      <c r="X79" s="59">
        <f>S77+W77</f>
        <v>235295406</v>
      </c>
      <c r="AF79" s="292"/>
      <c r="AG79" s="814" t="s">
        <v>696</v>
      </c>
      <c r="AH79" s="449"/>
      <c r="AI79" s="619" t="s">
        <v>549</v>
      </c>
      <c r="AO79" s="449"/>
    </row>
    <row r="80" spans="1:44" hidden="1">
      <c r="E80" s="59"/>
      <c r="J80" s="813" t="s">
        <v>998</v>
      </c>
      <c r="L80" s="812" t="s">
        <v>999</v>
      </c>
      <c r="AD80" s="347"/>
      <c r="AF80" s="292"/>
      <c r="AG80" s="449"/>
      <c r="AH80" s="449"/>
      <c r="AI80" s="467" t="s">
        <v>275</v>
      </c>
      <c r="AJ80" s="165"/>
      <c r="AK80" s="165"/>
      <c r="AL80" s="165"/>
      <c r="AM80" s="165"/>
      <c r="AQ80" s="165"/>
    </row>
    <row r="81" spans="1:45" s="75" customFormat="1" hidden="1">
      <c r="A81" s="459"/>
      <c r="B81" s="172"/>
      <c r="C81"/>
      <c r="D81"/>
      <c r="E81"/>
      <c r="F81"/>
      <c r="G81"/>
      <c r="H81"/>
      <c r="I81"/>
      <c r="J81" s="812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 s="35"/>
      <c r="AF81" s="253"/>
      <c r="AG81" s="770"/>
      <c r="AH81" s="206"/>
      <c r="AI81" s="444">
        <f>AG77+AH77</f>
        <v>1643520270</v>
      </c>
      <c r="AJ81" s="237"/>
      <c r="AK81" s="237"/>
      <c r="AL81" s="253"/>
      <c r="AM81" s="237"/>
      <c r="AN81" s="206"/>
      <c r="AO81" s="206"/>
      <c r="AP81" s="237"/>
      <c r="AQ81" s="237"/>
      <c r="AR81" s="237"/>
      <c r="AS81" s="180"/>
    </row>
    <row r="82" spans="1:45" hidden="1">
      <c r="AE82" s="35"/>
      <c r="AF82" s="35"/>
      <c r="AG82" s="445"/>
      <c r="AH82" s="35"/>
      <c r="AI82" s="445">
        <f>AI77-AI81</f>
        <v>758118</v>
      </c>
      <c r="AJ82" s="35"/>
      <c r="AK82" s="35"/>
      <c r="AL82" s="35"/>
      <c r="AM82" s="446"/>
      <c r="AN82" s="35"/>
      <c r="AO82" s="35"/>
      <c r="AP82" s="35"/>
      <c r="AQ82" s="35"/>
      <c r="AR82" s="35"/>
      <c r="AS82" s="35"/>
    </row>
    <row r="83" spans="1:45" hidden="1">
      <c r="AE83" s="35"/>
      <c r="AF83" s="35"/>
      <c r="AG83" s="445"/>
      <c r="AH83" s="35"/>
      <c r="AI83" s="445"/>
      <c r="AJ83" s="35"/>
      <c r="AK83" s="35"/>
      <c r="AL83" s="35"/>
      <c r="AM83" s="447"/>
      <c r="AN83" s="35"/>
      <c r="AO83" s="35"/>
      <c r="AP83" s="35"/>
      <c r="AQ83" s="35"/>
      <c r="AR83" s="35"/>
      <c r="AS83" s="35"/>
    </row>
    <row r="84" spans="1:45" ht="13.5" thickTop="1"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</sheetData>
  <mergeCells count="50">
    <mergeCell ref="X3:X5"/>
    <mergeCell ref="Y3:AD3"/>
    <mergeCell ref="AJ3:AO3"/>
    <mergeCell ref="AC4:AC5"/>
    <mergeCell ref="AD4:AD5"/>
    <mergeCell ref="AL4:AL5"/>
    <mergeCell ref="AN4:AN5"/>
    <mergeCell ref="Y4:Y5"/>
    <mergeCell ref="Z4:Z5"/>
    <mergeCell ref="AA4:AA5"/>
    <mergeCell ref="AB4:AB5"/>
    <mergeCell ref="A3:A5"/>
    <mergeCell ref="B3:B5"/>
    <mergeCell ref="C4:C5"/>
    <mergeCell ref="D4:D5"/>
    <mergeCell ref="F4:F5"/>
    <mergeCell ref="E4:E5"/>
    <mergeCell ref="W4:W5"/>
    <mergeCell ref="C2:D2"/>
    <mergeCell ref="I3:J3"/>
    <mergeCell ref="K3:P3"/>
    <mergeCell ref="C3:H3"/>
    <mergeCell ref="P4:P5"/>
    <mergeCell ref="R4:R5"/>
    <mergeCell ref="Q3:Q5"/>
    <mergeCell ref="R3:W3"/>
    <mergeCell ref="T4:T5"/>
    <mergeCell ref="U4:U5"/>
    <mergeCell ref="K4:K5"/>
    <mergeCell ref="L4:L5"/>
    <mergeCell ref="G4:G5"/>
    <mergeCell ref="I4:I5"/>
    <mergeCell ref="O4:O5"/>
    <mergeCell ref="J4:J5"/>
    <mergeCell ref="S4:S5"/>
    <mergeCell ref="M4:M5"/>
    <mergeCell ref="N4:N5"/>
    <mergeCell ref="V4:V5"/>
    <mergeCell ref="AR3:AR5"/>
    <mergeCell ref="AQ3:AQ5"/>
    <mergeCell ref="AI3:AI5"/>
    <mergeCell ref="AE3:AE5"/>
    <mergeCell ref="AJ4:AJ5"/>
    <mergeCell ref="AK4:AK5"/>
    <mergeCell ref="AF4:AF5"/>
    <mergeCell ref="AG4:AG5"/>
    <mergeCell ref="AH4:AH5"/>
    <mergeCell ref="AO4:AO5"/>
    <mergeCell ref="AP3:AP5"/>
    <mergeCell ref="AF3:AH3"/>
  </mergeCells>
  <phoneticPr fontId="0" type="noConversion"/>
  <printOptions horizontalCentered="1"/>
  <pageMargins left="0.19" right="0.19" top="1.02" bottom="0.35" header="0.35" footer="0.27"/>
  <pageSetup paperSize="5" scale="85" firstPageNumber="97" fitToWidth="0" orientation="portrait" useFirstPageNumber="1" r:id="rId1"/>
  <headerFooter alignWithMargins="0">
    <oddHeader xml:space="preserve">&amp;L&amp;"Arial,Bold"&amp;18Table 7: FY2012-13 Budget Letter &amp;20
&amp;18FY2010-2011 Local Property and Sales Tax Revenues </oddHeader>
    <oddFooter>&amp;R&amp;12&amp;P</oddFooter>
  </headerFooter>
  <colBreaks count="5" manualBreakCount="5">
    <brk id="8" min="2" max="76" man="1"/>
    <brk id="17" min="2" max="76" man="1"/>
    <brk id="24" min="2" max="76" man="1"/>
    <brk id="31" min="2" max="76" man="1"/>
    <brk id="35" min="2" max="76" man="1"/>
  </colBreaks>
</worksheet>
</file>

<file path=xl/worksheets/sheet39.xml><?xml version="1.0" encoding="utf-8"?>
<worksheet xmlns="http://schemas.openxmlformats.org/spreadsheetml/2006/main" xmlns:r="http://schemas.openxmlformats.org/officeDocument/2006/relationships">
  <dimension ref="A1:BX78"/>
  <sheetViews>
    <sheetView view="pageBreakPreview" zoomScale="80" zoomScaleNormal="80" zoomScaleSheetLayoutView="80" workbookViewId="0">
      <pane xSplit="6" ySplit="3" topLeftCell="G4" activePane="bottomRight" state="frozen"/>
      <selection activeCell="A8" sqref="A8:A9"/>
      <selection pane="topRight" activeCell="A8" sqref="A8:A9"/>
      <selection pane="bottomLeft" activeCell="A8" sqref="A8:A9"/>
      <selection pane="bottomRight" activeCell="K80" sqref="K80"/>
    </sheetView>
  </sheetViews>
  <sheetFormatPr defaultRowHeight="12.75"/>
  <cols>
    <col min="1" max="1" width="0.28515625" customWidth="1"/>
    <col min="2" max="2" width="6.85546875" hidden="1" customWidth="1"/>
    <col min="3" max="3" width="5.42578125" hidden="1" customWidth="1"/>
    <col min="4" max="4" width="11.140625" hidden="1" customWidth="1"/>
    <col min="5" max="5" width="9.140625" style="47"/>
    <col min="6" max="6" width="31" bestFit="1" customWidth="1"/>
    <col min="7" max="7" width="12.85546875" customWidth="1"/>
    <col min="20" max="20" width="10.85546875" customWidth="1"/>
    <col min="22" max="22" width="11.28515625" customWidth="1"/>
    <col min="23" max="23" width="11.140625" customWidth="1"/>
    <col min="24" max="24" width="11.7109375" customWidth="1"/>
    <col min="25" max="25" width="11.85546875" customWidth="1"/>
    <col min="26" max="26" width="10.140625" customWidth="1"/>
    <col min="27" max="27" width="6.85546875" customWidth="1"/>
    <col min="28" max="28" width="9.5703125" customWidth="1"/>
    <col min="29" max="29" width="8.7109375" bestFit="1" customWidth="1"/>
    <col min="30" max="30" width="14.5703125" customWidth="1"/>
    <col min="31" max="31" width="0.28515625" customWidth="1"/>
    <col min="32" max="32" width="12.42578125" style="35" hidden="1" customWidth="1"/>
    <col min="33" max="33" width="11.85546875" style="35" customWidth="1"/>
    <col min="34" max="34" width="10.28515625" style="35" customWidth="1"/>
    <col min="35" max="35" width="10.140625" style="35" customWidth="1"/>
    <col min="36" max="36" width="10.28515625" style="35" customWidth="1"/>
    <col min="37" max="38" width="9.140625" style="35"/>
    <col min="39" max="39" width="12" style="35" customWidth="1"/>
    <col min="40" max="40" width="10.85546875" style="35" customWidth="1"/>
    <col min="41" max="41" width="9.85546875" style="35" customWidth="1"/>
    <col min="42" max="42" width="11.7109375" style="35" customWidth="1"/>
    <col min="43" max="43" width="12" style="35" customWidth="1"/>
    <col min="44" max="44" width="10.7109375" style="35" customWidth="1"/>
    <col min="45" max="45" width="12" style="35" customWidth="1"/>
    <col min="46" max="46" width="11" style="35" customWidth="1"/>
    <col min="47" max="47" width="11.85546875" style="35" customWidth="1"/>
    <col min="48" max="48" width="11.140625" style="35" customWidth="1"/>
    <col min="49" max="49" width="11.28515625" style="35" customWidth="1"/>
    <col min="50" max="50" width="11.7109375" style="35" customWidth="1"/>
    <col min="51" max="51" width="11.42578125" style="35" customWidth="1"/>
    <col min="52" max="52" width="12.140625" style="35" customWidth="1"/>
    <col min="53" max="53" width="11.5703125" style="35" customWidth="1"/>
    <col min="54" max="54" width="11.28515625" style="35" customWidth="1"/>
    <col min="55" max="55" width="11.42578125" style="35" customWidth="1"/>
    <col min="56" max="56" width="11.5703125" style="35" customWidth="1"/>
    <col min="57" max="57" width="10.5703125" style="35" customWidth="1"/>
    <col min="58" max="58" width="11.5703125" style="35" customWidth="1"/>
    <col min="59" max="59" width="9.140625" style="35"/>
    <col min="60" max="60" width="11.7109375" style="35" customWidth="1"/>
    <col min="61" max="61" width="11.5703125" style="35" customWidth="1"/>
    <col min="62" max="62" width="12.28515625" style="35" customWidth="1"/>
    <col min="63" max="76" width="9.140625" style="35"/>
  </cols>
  <sheetData>
    <row r="1" spans="1:62" hidden="1">
      <c r="E1" s="154" t="s">
        <v>1315</v>
      </c>
    </row>
    <row r="2" spans="1:62" ht="13.5" hidden="1" thickTop="1">
      <c r="B2" t="s">
        <v>1273</v>
      </c>
      <c r="K2" s="1397"/>
      <c r="L2" s="1398"/>
      <c r="M2" s="1398"/>
      <c r="N2" s="1398"/>
      <c r="O2" s="1398"/>
      <c r="P2" s="1398"/>
      <c r="Q2" s="1398"/>
      <c r="R2" s="1398"/>
      <c r="S2" s="1398"/>
      <c r="T2" s="1398"/>
      <c r="U2" s="1398"/>
      <c r="V2" s="1398"/>
      <c r="W2" s="1398"/>
      <c r="X2" s="1398"/>
      <c r="Y2" s="1398"/>
      <c r="Z2" s="1399"/>
      <c r="AA2" s="35"/>
      <c r="AB2" s="35"/>
      <c r="AC2" s="35"/>
      <c r="AD2" s="35"/>
    </row>
    <row r="3" spans="1:62" ht="92.25" customHeight="1">
      <c r="A3" s="1400" t="s">
        <v>1274</v>
      </c>
      <c r="B3" s="1400" t="s">
        <v>1275</v>
      </c>
      <c r="C3" s="1400" t="s">
        <v>1276</v>
      </c>
      <c r="D3" s="1534" t="s">
        <v>1277</v>
      </c>
      <c r="E3" s="1568" t="s">
        <v>203</v>
      </c>
      <c r="F3" s="1575" t="s">
        <v>1278</v>
      </c>
      <c r="G3" s="1401" t="s">
        <v>1279</v>
      </c>
      <c r="H3" s="1401" t="s">
        <v>1280</v>
      </c>
      <c r="I3" s="1401" t="s">
        <v>1281</v>
      </c>
      <c r="J3" s="1401" t="s">
        <v>1282</v>
      </c>
      <c r="K3" s="1402" t="s">
        <v>975</v>
      </c>
      <c r="L3" s="1402" t="s">
        <v>976</v>
      </c>
      <c r="M3" s="1402" t="s">
        <v>977</v>
      </c>
      <c r="N3" s="1402" t="s">
        <v>978</v>
      </c>
      <c r="O3" s="1402" t="s">
        <v>979</v>
      </c>
      <c r="P3" s="1402" t="s">
        <v>980</v>
      </c>
      <c r="Q3" s="1402" t="s">
        <v>981</v>
      </c>
      <c r="R3" s="1402" t="s">
        <v>982</v>
      </c>
      <c r="S3" s="1402" t="s">
        <v>983</v>
      </c>
      <c r="T3" s="1402" t="s">
        <v>984</v>
      </c>
      <c r="U3" s="1402" t="s">
        <v>985</v>
      </c>
      <c r="V3" s="1402" t="s">
        <v>1283</v>
      </c>
      <c r="W3" s="1402" t="s">
        <v>986</v>
      </c>
      <c r="X3" s="1402" t="s">
        <v>987</v>
      </c>
      <c r="Y3" s="1402" t="s">
        <v>988</v>
      </c>
      <c r="Z3" s="1402" t="s">
        <v>1284</v>
      </c>
      <c r="AA3" s="1402" t="s">
        <v>821</v>
      </c>
      <c r="AB3" s="1402" t="s">
        <v>989</v>
      </c>
      <c r="AC3" s="1402" t="s">
        <v>1285</v>
      </c>
      <c r="AD3" s="1567" t="s">
        <v>1316</v>
      </c>
      <c r="AE3" s="1612"/>
      <c r="AF3" s="1614"/>
      <c r="AG3" s="1614"/>
      <c r="AH3" s="1614"/>
      <c r="AI3" s="1614"/>
      <c r="AJ3" s="1614"/>
      <c r="AK3" s="1614"/>
      <c r="AL3" s="1614"/>
      <c r="AM3" s="1614"/>
      <c r="AN3" s="1614"/>
      <c r="AO3" s="1614"/>
      <c r="AP3" s="1614"/>
      <c r="AQ3" s="1614"/>
      <c r="AR3" s="1614"/>
      <c r="AS3" s="1614"/>
      <c r="AT3" s="1614"/>
      <c r="AU3" s="1614"/>
      <c r="AV3" s="1614"/>
      <c r="AW3" s="1614"/>
      <c r="AX3" s="1614"/>
      <c r="AY3" s="1614"/>
      <c r="AZ3" s="1614"/>
      <c r="BA3" s="1614"/>
      <c r="BB3" s="1614"/>
      <c r="BC3" s="1614"/>
      <c r="BD3" s="1614"/>
      <c r="BE3" s="1614"/>
      <c r="BF3" s="1614"/>
      <c r="BG3" s="1614"/>
      <c r="BH3" s="1614"/>
      <c r="BI3" s="1614"/>
      <c r="BJ3" s="1614"/>
    </row>
    <row r="4" spans="1:62" ht="14.1" customHeight="1">
      <c r="A4" s="1538" t="s">
        <v>1286</v>
      </c>
      <c r="B4" s="1538" t="s">
        <v>1287</v>
      </c>
      <c r="C4" s="1538" t="s">
        <v>1288</v>
      </c>
      <c r="D4" s="1569">
        <v>40940</v>
      </c>
      <c r="E4" s="1584" t="s">
        <v>339</v>
      </c>
      <c r="F4" s="1576" t="s">
        <v>340</v>
      </c>
      <c r="G4" s="1539">
        <v>9313</v>
      </c>
      <c r="H4" s="1536"/>
      <c r="I4" s="1536"/>
      <c r="J4" s="1536"/>
      <c r="K4" s="1536"/>
      <c r="L4" s="1536"/>
      <c r="M4" s="1536"/>
      <c r="N4" s="1536"/>
      <c r="O4" s="1536"/>
      <c r="P4" s="1536"/>
      <c r="Q4" s="1536"/>
      <c r="R4" s="1536"/>
      <c r="S4" s="1536"/>
      <c r="T4" s="1536"/>
      <c r="U4" s="1539">
        <v>23</v>
      </c>
      <c r="V4" s="1536"/>
      <c r="W4" s="1539">
        <v>10</v>
      </c>
      <c r="X4" s="1536"/>
      <c r="Y4" s="1536"/>
      <c r="Z4" s="1536"/>
      <c r="AA4" s="1536">
        <f>'[11]Table 5A5_SSD'!C5</f>
        <v>2</v>
      </c>
      <c r="AB4" s="1540">
        <v>3</v>
      </c>
      <c r="AC4" s="1536"/>
      <c r="AD4" s="1536">
        <f>SUM(G4:AC4)</f>
        <v>9351</v>
      </c>
      <c r="AE4" s="1405"/>
      <c r="AF4" s="1615"/>
      <c r="AG4" s="1615"/>
      <c r="AH4" s="1615"/>
      <c r="AI4" s="1615"/>
      <c r="AJ4" s="1615"/>
      <c r="AK4" s="1616"/>
      <c r="AL4" s="1615"/>
      <c r="AM4" s="1615"/>
      <c r="AN4" s="1615"/>
      <c r="AO4" s="1615"/>
      <c r="AP4" s="1615"/>
      <c r="AQ4" s="1615"/>
      <c r="AR4" s="1615"/>
      <c r="AS4" s="1616"/>
      <c r="AT4" s="1615"/>
      <c r="AU4" s="1615"/>
      <c r="AV4" s="1615"/>
      <c r="AW4" s="1615"/>
      <c r="AX4" s="1615"/>
      <c r="AY4" s="1615"/>
      <c r="AZ4" s="1615"/>
      <c r="BA4" s="1615"/>
      <c r="BB4" s="1615"/>
      <c r="BC4" s="1615"/>
      <c r="BD4" s="1615"/>
      <c r="BE4" s="1615"/>
      <c r="BF4" s="1615"/>
      <c r="BG4" s="1615"/>
      <c r="BH4" s="1615"/>
      <c r="BI4" s="1616"/>
      <c r="BJ4" s="1615"/>
    </row>
    <row r="5" spans="1:62" ht="14.1" customHeight="1">
      <c r="A5" s="1403" t="s">
        <v>1286</v>
      </c>
      <c r="B5" s="1403" t="s">
        <v>1287</v>
      </c>
      <c r="C5" s="1403" t="s">
        <v>1288</v>
      </c>
      <c r="D5" s="1570">
        <v>40940</v>
      </c>
      <c r="E5" s="1585" t="s">
        <v>341</v>
      </c>
      <c r="F5" s="1577" t="s">
        <v>342</v>
      </c>
      <c r="G5" s="1535">
        <v>4016</v>
      </c>
      <c r="H5" s="1542"/>
      <c r="I5" s="1542"/>
      <c r="J5" s="1542"/>
      <c r="K5" s="1542"/>
      <c r="L5" s="1542"/>
      <c r="M5" s="1542"/>
      <c r="N5" s="1542"/>
      <c r="O5" s="1542"/>
      <c r="P5" s="1542"/>
      <c r="Q5" s="1542"/>
      <c r="R5" s="1542"/>
      <c r="S5" s="1542"/>
      <c r="T5" s="1542"/>
      <c r="U5" s="1535">
        <v>9</v>
      </c>
      <c r="V5" s="1542"/>
      <c r="W5" s="1535">
        <v>2</v>
      </c>
      <c r="X5" s="1542"/>
      <c r="Y5" s="1542"/>
      <c r="Z5" s="1542"/>
      <c r="AA5" s="1542">
        <f>'[11]Table 5A5_SSD'!C6</f>
        <v>1</v>
      </c>
      <c r="AB5" s="1537"/>
      <c r="AC5" s="1542"/>
      <c r="AD5" s="1542">
        <f t="shared" ref="AD5:AD68" si="0">SUM(G5:AC5)</f>
        <v>4028</v>
      </c>
      <c r="AE5" s="140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  <c r="AV5" s="1615"/>
      <c r="AW5" s="1615"/>
      <c r="AX5" s="1615"/>
      <c r="AY5" s="1615"/>
      <c r="AZ5" s="1615"/>
      <c r="BA5" s="1616"/>
      <c r="BB5" s="1615"/>
      <c r="BC5" s="1615"/>
      <c r="BD5" s="1615"/>
      <c r="BE5" s="1615"/>
      <c r="BF5" s="1615"/>
      <c r="BG5" s="1615"/>
      <c r="BH5" s="1615"/>
      <c r="BI5" s="1615"/>
      <c r="BJ5" s="1615"/>
    </row>
    <row r="6" spans="1:62" ht="14.1" customHeight="1">
      <c r="A6" s="1403" t="s">
        <v>1286</v>
      </c>
      <c r="B6" s="1403" t="s">
        <v>1287</v>
      </c>
      <c r="C6" s="1403" t="s">
        <v>1288</v>
      </c>
      <c r="D6" s="1570">
        <v>40940</v>
      </c>
      <c r="E6" s="1585" t="s">
        <v>343</v>
      </c>
      <c r="F6" s="1577" t="s">
        <v>344</v>
      </c>
      <c r="G6" s="1535">
        <v>20083</v>
      </c>
      <c r="H6" s="1542"/>
      <c r="I6" s="1542"/>
      <c r="J6" s="1542"/>
      <c r="K6" s="1542"/>
      <c r="L6" s="1542"/>
      <c r="M6" s="1542"/>
      <c r="N6" s="1542"/>
      <c r="O6" s="1542"/>
      <c r="P6" s="1542"/>
      <c r="Q6" s="1542"/>
      <c r="R6" s="1542"/>
      <c r="S6" s="1542"/>
      <c r="T6" s="1542"/>
      <c r="U6" s="1535">
        <v>33</v>
      </c>
      <c r="V6" s="1542"/>
      <c r="W6" s="1535">
        <v>11</v>
      </c>
      <c r="X6" s="1542"/>
      <c r="Y6" s="1542"/>
      <c r="Z6" s="1542"/>
      <c r="AA6" s="1542">
        <f>'[11]Table 5A5_SSD'!C7</f>
        <v>6</v>
      </c>
      <c r="AB6" s="1537">
        <v>10</v>
      </c>
      <c r="AC6" s="1542"/>
      <c r="AD6" s="1542">
        <f t="shared" si="0"/>
        <v>20143</v>
      </c>
      <c r="AE6" s="1405"/>
      <c r="AF6" s="1615"/>
      <c r="AG6" s="1615"/>
      <c r="AH6" s="1615"/>
      <c r="AI6" s="1615"/>
      <c r="AJ6" s="1615"/>
      <c r="AK6" s="1615"/>
      <c r="AL6" s="1616"/>
      <c r="AM6" s="1615"/>
      <c r="AN6" s="1615"/>
      <c r="AO6" s="1615"/>
      <c r="AP6" s="1615"/>
      <c r="AQ6" s="1615"/>
      <c r="AR6" s="1616"/>
      <c r="AS6" s="1616"/>
      <c r="AT6" s="1615"/>
      <c r="AU6" s="1615"/>
      <c r="AV6" s="1615"/>
      <c r="AW6" s="1615"/>
      <c r="AX6" s="1615"/>
      <c r="AY6" s="1615"/>
      <c r="AZ6" s="1615"/>
      <c r="BA6" s="1615"/>
      <c r="BB6" s="1615"/>
      <c r="BC6" s="1615"/>
      <c r="BD6" s="1615"/>
      <c r="BE6" s="1615"/>
      <c r="BF6" s="1615"/>
      <c r="BG6" s="1615"/>
      <c r="BH6" s="1615"/>
      <c r="BI6" s="1615"/>
      <c r="BJ6" s="1615"/>
    </row>
    <row r="7" spans="1:62" ht="14.1" customHeight="1">
      <c r="A7" s="1403" t="s">
        <v>1286</v>
      </c>
      <c r="B7" s="1403" t="s">
        <v>1287</v>
      </c>
      <c r="C7" s="1403" t="s">
        <v>1288</v>
      </c>
      <c r="D7" s="1570">
        <v>40940</v>
      </c>
      <c r="E7" s="1585" t="s">
        <v>345</v>
      </c>
      <c r="F7" s="1577" t="s">
        <v>346</v>
      </c>
      <c r="G7" s="1535">
        <v>3563</v>
      </c>
      <c r="H7" s="1542"/>
      <c r="I7" s="1542"/>
      <c r="J7" s="1542"/>
      <c r="K7" s="1542"/>
      <c r="L7" s="1542"/>
      <c r="M7" s="1542"/>
      <c r="N7" s="1542"/>
      <c r="O7" s="1542"/>
      <c r="P7" s="1542"/>
      <c r="Q7" s="1542"/>
      <c r="R7" s="1535">
        <v>2</v>
      </c>
      <c r="S7" s="1542"/>
      <c r="T7" s="1542"/>
      <c r="U7" s="1535">
        <v>3</v>
      </c>
      <c r="V7" s="1542"/>
      <c r="W7" s="1535">
        <v>5</v>
      </c>
      <c r="X7" s="1542"/>
      <c r="Y7" s="1542"/>
      <c r="Z7" s="1542"/>
      <c r="AA7" s="1542">
        <f>'[11]Table 5A5_SSD'!C8</f>
        <v>3</v>
      </c>
      <c r="AB7" s="1537">
        <v>1</v>
      </c>
      <c r="AC7" s="1542"/>
      <c r="AD7" s="1542">
        <f t="shared" si="0"/>
        <v>3577</v>
      </c>
      <c r="AE7" s="1405"/>
      <c r="AF7" s="1615"/>
      <c r="AG7" s="1615"/>
      <c r="AH7" s="1615"/>
      <c r="AI7" s="1615"/>
      <c r="AJ7" s="1615"/>
      <c r="AK7" s="1615"/>
      <c r="AL7" s="1615"/>
      <c r="AM7" s="1615"/>
      <c r="AN7" s="1615"/>
      <c r="AO7" s="1615"/>
      <c r="AP7" s="1615"/>
      <c r="AQ7" s="1615"/>
      <c r="AR7" s="1615"/>
      <c r="AS7" s="1615"/>
      <c r="AT7" s="1615"/>
      <c r="AU7" s="1615"/>
      <c r="AV7" s="1615"/>
      <c r="AW7" s="1615"/>
      <c r="AX7" s="1615"/>
      <c r="AY7" s="1615"/>
      <c r="AZ7" s="1615"/>
      <c r="BA7" s="1615"/>
      <c r="BB7" s="1615"/>
      <c r="BC7" s="1615"/>
      <c r="BD7" s="1615"/>
      <c r="BE7" s="1615"/>
      <c r="BF7" s="1615"/>
      <c r="BG7" s="1615"/>
      <c r="BH7" s="1615"/>
      <c r="BI7" s="1615"/>
      <c r="BJ7" s="1616"/>
    </row>
    <row r="8" spans="1:62" ht="14.1" customHeight="1">
      <c r="A8" s="1546" t="s">
        <v>1286</v>
      </c>
      <c r="B8" s="1546" t="s">
        <v>1287</v>
      </c>
      <c r="C8" s="1546" t="s">
        <v>1288</v>
      </c>
      <c r="D8" s="1571">
        <v>40940</v>
      </c>
      <c r="E8" s="1586" t="s">
        <v>347</v>
      </c>
      <c r="F8" s="1578" t="s">
        <v>348</v>
      </c>
      <c r="G8" s="1547">
        <v>5731</v>
      </c>
      <c r="H8" s="1548"/>
      <c r="I8" s="1548"/>
      <c r="J8" s="1548"/>
      <c r="K8" s="1548"/>
      <c r="L8" s="1548"/>
      <c r="M8" s="1548"/>
      <c r="N8" s="1547">
        <v>671</v>
      </c>
      <c r="O8" s="1548"/>
      <c r="P8" s="1548"/>
      <c r="Q8" s="1548"/>
      <c r="R8" s="1548"/>
      <c r="S8" s="1548"/>
      <c r="T8" s="1548"/>
      <c r="U8" s="1547">
        <v>23</v>
      </c>
      <c r="V8" s="1548"/>
      <c r="W8" s="1547">
        <v>4</v>
      </c>
      <c r="X8" s="1548"/>
      <c r="Y8" s="1548"/>
      <c r="Z8" s="1548"/>
      <c r="AA8" s="1548">
        <f>'[11]Table 5A5_SSD'!C9</f>
        <v>4</v>
      </c>
      <c r="AB8" s="1549">
        <v>4</v>
      </c>
      <c r="AC8" s="1548"/>
      <c r="AD8" s="1548">
        <f t="shared" si="0"/>
        <v>6437</v>
      </c>
      <c r="AE8" s="1405"/>
      <c r="AF8" s="1615"/>
      <c r="AG8" s="1615"/>
      <c r="AH8" s="1615"/>
      <c r="AI8" s="1615"/>
      <c r="AJ8" s="1615"/>
      <c r="AK8" s="1615"/>
      <c r="AL8" s="1615"/>
      <c r="AM8" s="1615"/>
      <c r="AN8" s="1615"/>
      <c r="AO8" s="1615"/>
      <c r="AP8" s="1615"/>
      <c r="AQ8" s="1615"/>
      <c r="AR8" s="1615"/>
      <c r="AS8" s="1615"/>
      <c r="AT8" s="1615"/>
      <c r="AU8" s="1615"/>
      <c r="AV8" s="1615"/>
      <c r="AW8" s="1615"/>
      <c r="AX8" s="1616"/>
      <c r="AY8" s="1615"/>
      <c r="AZ8" s="1615"/>
      <c r="BA8" s="1615"/>
      <c r="BB8" s="1615"/>
      <c r="BC8" s="1615"/>
      <c r="BD8" s="1615"/>
      <c r="BE8" s="1615"/>
      <c r="BF8" s="1615"/>
      <c r="BG8" s="1615"/>
      <c r="BH8" s="1616"/>
      <c r="BI8" s="1616"/>
      <c r="BJ8" s="1615"/>
    </row>
    <row r="9" spans="1:62" ht="14.1" customHeight="1">
      <c r="A9" s="1541" t="s">
        <v>1286</v>
      </c>
      <c r="B9" s="1541" t="s">
        <v>1287</v>
      </c>
      <c r="C9" s="1541" t="s">
        <v>1288</v>
      </c>
      <c r="D9" s="1572">
        <v>40940</v>
      </c>
      <c r="E9" s="1587" t="s">
        <v>349</v>
      </c>
      <c r="F9" s="1579" t="s">
        <v>350</v>
      </c>
      <c r="G9" s="1543">
        <v>6020</v>
      </c>
      <c r="H9" s="1544"/>
      <c r="I9" s="1544"/>
      <c r="J9" s="1544"/>
      <c r="K9" s="1544"/>
      <c r="L9" s="1544"/>
      <c r="M9" s="1544"/>
      <c r="N9" s="1544"/>
      <c r="O9" s="1544"/>
      <c r="P9" s="1544"/>
      <c r="Q9" s="1544"/>
      <c r="R9" s="1544"/>
      <c r="S9" s="1544"/>
      <c r="T9" s="1544"/>
      <c r="U9" s="1543">
        <v>15</v>
      </c>
      <c r="V9" s="1544"/>
      <c r="W9" s="1543">
        <v>4</v>
      </c>
      <c r="X9" s="1544"/>
      <c r="Y9" s="1544"/>
      <c r="Z9" s="1544"/>
      <c r="AA9" s="1544">
        <f>'[11]Table 5A5_SSD'!C10</f>
        <v>2</v>
      </c>
      <c r="AB9" s="1545">
        <v>1</v>
      </c>
      <c r="AC9" s="1544"/>
      <c r="AD9" s="1544">
        <f t="shared" si="0"/>
        <v>6042</v>
      </c>
      <c r="AE9" s="1405"/>
      <c r="AF9" s="1615"/>
      <c r="AG9" s="1615"/>
      <c r="AH9" s="1615"/>
      <c r="AI9" s="1615"/>
      <c r="AJ9" s="1615"/>
      <c r="AK9" s="1615"/>
      <c r="AL9" s="1616"/>
      <c r="AM9" s="1616"/>
      <c r="AN9" s="1615"/>
      <c r="AO9" s="1615"/>
      <c r="AP9" s="1615"/>
      <c r="AQ9" s="1615"/>
      <c r="AR9" s="1616"/>
      <c r="AS9" s="1615"/>
      <c r="AT9" s="1615"/>
      <c r="AU9" s="1615"/>
      <c r="AV9" s="1615"/>
      <c r="AW9" s="1615"/>
      <c r="AX9" s="1615"/>
      <c r="AY9" s="1615"/>
      <c r="AZ9" s="1615"/>
      <c r="BA9" s="1615"/>
      <c r="BB9" s="1615"/>
      <c r="BC9" s="1615"/>
      <c r="BD9" s="1615"/>
      <c r="BE9" s="1615"/>
      <c r="BF9" s="1615"/>
      <c r="BG9" s="1615"/>
      <c r="BH9" s="1615"/>
      <c r="BI9" s="1615"/>
      <c r="BJ9" s="1615"/>
    </row>
    <row r="10" spans="1:62" ht="14.1" customHeight="1">
      <c r="A10" s="1403" t="s">
        <v>1286</v>
      </c>
      <c r="B10" s="1403" t="s">
        <v>1287</v>
      </c>
      <c r="C10" s="1403" t="s">
        <v>1288</v>
      </c>
      <c r="D10" s="1570">
        <v>40940</v>
      </c>
      <c r="E10" s="1585" t="s">
        <v>351</v>
      </c>
      <c r="F10" s="1577" t="s">
        <v>352</v>
      </c>
      <c r="G10" s="1535">
        <v>2207</v>
      </c>
      <c r="H10" s="1542"/>
      <c r="I10" s="1542"/>
      <c r="J10" s="1542"/>
      <c r="K10" s="1542"/>
      <c r="L10" s="1542"/>
      <c r="M10" s="1542"/>
      <c r="N10" s="1542"/>
      <c r="O10" s="1542"/>
      <c r="P10" s="1542"/>
      <c r="Q10" s="1542"/>
      <c r="R10" s="1542"/>
      <c r="S10" s="1542"/>
      <c r="T10" s="1542"/>
      <c r="U10" s="1535">
        <v>5</v>
      </c>
      <c r="V10" s="1542"/>
      <c r="W10" s="1535">
        <v>6</v>
      </c>
      <c r="X10" s="1542"/>
      <c r="Y10" s="1542"/>
      <c r="Z10" s="1542"/>
      <c r="AA10" s="1542">
        <f>'[11]Table 5A5_SSD'!C11</f>
        <v>0</v>
      </c>
      <c r="AB10" s="1537"/>
      <c r="AC10" s="1542"/>
      <c r="AD10" s="1542">
        <f t="shared" si="0"/>
        <v>2218</v>
      </c>
      <c r="AE10" s="1405"/>
      <c r="AF10" s="1615"/>
      <c r="AG10" s="1615"/>
      <c r="AH10" s="1615"/>
      <c r="AI10" s="1615"/>
      <c r="AJ10" s="1615"/>
      <c r="AK10" s="1615"/>
      <c r="AL10" s="1615"/>
      <c r="AM10" s="1615"/>
      <c r="AN10" s="1615"/>
      <c r="AO10" s="1615"/>
      <c r="AP10" s="1615"/>
      <c r="AQ10" s="1615"/>
      <c r="AR10" s="1615"/>
      <c r="AS10" s="1615"/>
      <c r="AT10" s="1615"/>
      <c r="AU10" s="1615"/>
      <c r="AV10" s="1615"/>
      <c r="AW10" s="1615"/>
      <c r="AX10" s="1615"/>
      <c r="AY10" s="1615"/>
      <c r="AZ10" s="1615"/>
      <c r="BA10" s="1615"/>
      <c r="BB10" s="1615"/>
      <c r="BC10" s="1615"/>
      <c r="BD10" s="1615"/>
      <c r="BE10" s="1615"/>
      <c r="BF10" s="1615"/>
      <c r="BG10" s="1615"/>
      <c r="BH10" s="1615"/>
      <c r="BI10" s="1615"/>
      <c r="BJ10" s="1615"/>
    </row>
    <row r="11" spans="1:62" ht="14.1" customHeight="1">
      <c r="A11" s="1403" t="s">
        <v>1286</v>
      </c>
      <c r="B11" s="1403" t="s">
        <v>1287</v>
      </c>
      <c r="C11" s="1403" t="s">
        <v>1288</v>
      </c>
      <c r="D11" s="1570">
        <v>40940</v>
      </c>
      <c r="E11" s="1585" t="s">
        <v>353</v>
      </c>
      <c r="F11" s="1577" t="s">
        <v>354</v>
      </c>
      <c r="G11" s="1535">
        <v>20718</v>
      </c>
      <c r="H11" s="1542"/>
      <c r="I11" s="1542"/>
      <c r="J11" s="1542"/>
      <c r="K11" s="1542"/>
      <c r="L11" s="1542"/>
      <c r="M11" s="1542"/>
      <c r="N11" s="1542"/>
      <c r="O11" s="1542"/>
      <c r="P11" s="1542"/>
      <c r="Q11" s="1542"/>
      <c r="R11" s="1542"/>
      <c r="S11" s="1542"/>
      <c r="T11" s="1542"/>
      <c r="U11" s="1535">
        <v>45</v>
      </c>
      <c r="V11" s="1542"/>
      <c r="W11" s="1535">
        <v>22</v>
      </c>
      <c r="X11" s="1542"/>
      <c r="Y11" s="1542"/>
      <c r="Z11" s="1542"/>
      <c r="AA11" s="1542">
        <f>'[11]Table 5A5_SSD'!C12</f>
        <v>2</v>
      </c>
      <c r="AB11" s="1537">
        <v>2</v>
      </c>
      <c r="AC11" s="1542"/>
      <c r="AD11" s="1542">
        <f t="shared" si="0"/>
        <v>20789</v>
      </c>
      <c r="AE11" s="1405"/>
      <c r="AF11" s="1615"/>
      <c r="AG11" s="1615"/>
      <c r="AH11" s="1615"/>
      <c r="AI11" s="1615"/>
      <c r="AJ11" s="1616"/>
      <c r="AK11" s="1615"/>
      <c r="AL11" s="1615"/>
      <c r="AM11" s="1615"/>
      <c r="AN11" s="1615"/>
      <c r="AO11" s="1615"/>
      <c r="AP11" s="1615"/>
      <c r="AQ11" s="1615"/>
      <c r="AR11" s="1615"/>
      <c r="AS11" s="1616"/>
      <c r="AT11" s="1615"/>
      <c r="AU11" s="1615"/>
      <c r="AV11" s="1615"/>
      <c r="AW11" s="1615"/>
      <c r="AX11" s="1615"/>
      <c r="AY11" s="1615"/>
      <c r="AZ11" s="1615"/>
      <c r="BA11" s="1615"/>
      <c r="BB11" s="1615"/>
      <c r="BC11" s="1615"/>
      <c r="BD11" s="1615"/>
      <c r="BE11" s="1615"/>
      <c r="BF11" s="1615"/>
      <c r="BG11" s="1615"/>
      <c r="BH11" s="1615"/>
      <c r="BI11" s="1615"/>
      <c r="BJ11" s="1616"/>
    </row>
    <row r="12" spans="1:62" ht="14.1" customHeight="1">
      <c r="A12" s="1403" t="s">
        <v>1286</v>
      </c>
      <c r="B12" s="1403" t="s">
        <v>1287</v>
      </c>
      <c r="C12" s="1403" t="s">
        <v>1288</v>
      </c>
      <c r="D12" s="1570">
        <v>40940</v>
      </c>
      <c r="E12" s="1585" t="s">
        <v>355</v>
      </c>
      <c r="F12" s="1577" t="s">
        <v>356</v>
      </c>
      <c r="G12" s="1535">
        <v>40653</v>
      </c>
      <c r="H12" s="1535">
        <v>478</v>
      </c>
      <c r="I12" s="1542"/>
      <c r="J12" s="1535">
        <v>166</v>
      </c>
      <c r="K12" s="1542"/>
      <c r="L12" s="1542"/>
      <c r="M12" s="1542"/>
      <c r="N12" s="1542"/>
      <c r="O12" s="1542"/>
      <c r="P12" s="1542"/>
      <c r="Q12" s="1542"/>
      <c r="R12" s="1542"/>
      <c r="S12" s="1542"/>
      <c r="T12" s="1542"/>
      <c r="U12" s="1535">
        <v>93</v>
      </c>
      <c r="V12" s="1542"/>
      <c r="W12" s="1535">
        <v>38</v>
      </c>
      <c r="X12" s="1535">
        <v>1</v>
      </c>
      <c r="Y12" s="1542"/>
      <c r="Z12" s="1542"/>
      <c r="AA12" s="1542">
        <f>'[11]Table 5A5_SSD'!C13</f>
        <v>7</v>
      </c>
      <c r="AB12" s="1537">
        <v>8</v>
      </c>
      <c r="AC12" s="1542"/>
      <c r="AD12" s="1542">
        <f t="shared" si="0"/>
        <v>41444</v>
      </c>
      <c r="AE12" s="1405"/>
      <c r="AF12" s="1615"/>
      <c r="AG12" s="1615"/>
      <c r="AH12" s="1615"/>
      <c r="AI12" s="1615"/>
      <c r="AJ12" s="1616"/>
      <c r="AK12" s="1616"/>
      <c r="AL12" s="1616"/>
      <c r="AM12" s="1615"/>
      <c r="AN12" s="1615"/>
      <c r="AO12" s="1615"/>
      <c r="AP12" s="1615"/>
      <c r="AQ12" s="1615"/>
      <c r="AR12" s="1616"/>
      <c r="AS12" s="1616"/>
      <c r="AT12" s="1615"/>
      <c r="AU12" s="1616"/>
      <c r="AV12" s="1615"/>
      <c r="AW12" s="1615"/>
      <c r="AX12" s="1615"/>
      <c r="AY12" s="1615"/>
      <c r="AZ12" s="1615"/>
      <c r="BA12" s="1615"/>
      <c r="BB12" s="1615"/>
      <c r="BC12" s="1615"/>
      <c r="BD12" s="1615"/>
      <c r="BE12" s="1615"/>
      <c r="BF12" s="1615"/>
      <c r="BG12" s="1615"/>
      <c r="BH12" s="1615"/>
      <c r="BI12" s="1615"/>
      <c r="BJ12" s="1616"/>
    </row>
    <row r="13" spans="1:62" ht="14.1" customHeight="1">
      <c r="A13" s="1546" t="s">
        <v>1286</v>
      </c>
      <c r="B13" s="1546" t="s">
        <v>1287</v>
      </c>
      <c r="C13" s="1546" t="s">
        <v>1288</v>
      </c>
      <c r="D13" s="1571">
        <v>40940</v>
      </c>
      <c r="E13" s="1586" t="s">
        <v>357</v>
      </c>
      <c r="F13" s="1578" t="s">
        <v>358</v>
      </c>
      <c r="G13" s="1547">
        <v>30976</v>
      </c>
      <c r="H13" s="1548"/>
      <c r="I13" s="1548"/>
      <c r="J13" s="1548"/>
      <c r="K13" s="1548"/>
      <c r="L13" s="1548"/>
      <c r="M13" s="1548"/>
      <c r="N13" s="1547"/>
      <c r="O13" s="1548"/>
      <c r="P13" s="1548"/>
      <c r="Q13" s="1548"/>
      <c r="R13" s="1548"/>
      <c r="S13" s="1548"/>
      <c r="T13" s="1548"/>
      <c r="U13" s="1547">
        <v>62</v>
      </c>
      <c r="V13" s="1548"/>
      <c r="W13" s="1547">
        <v>24</v>
      </c>
      <c r="X13" s="1548">
        <v>635</v>
      </c>
      <c r="Y13" s="1548"/>
      <c r="Z13" s="1548"/>
      <c r="AA13" s="1548">
        <f>'[11]Table 5A5_SSD'!C14</f>
        <v>7</v>
      </c>
      <c r="AB13" s="1549">
        <v>9</v>
      </c>
      <c r="AC13" s="1548"/>
      <c r="AD13" s="1548">
        <f t="shared" si="0"/>
        <v>31713</v>
      </c>
      <c r="AE13" s="1405"/>
      <c r="AF13" s="1615"/>
      <c r="AG13" s="1615"/>
      <c r="AH13" s="1615"/>
      <c r="AI13" s="1615"/>
      <c r="AJ13" s="1615"/>
      <c r="AK13" s="1615"/>
      <c r="AL13" s="1615"/>
      <c r="AM13" s="1615"/>
      <c r="AN13" s="1615"/>
      <c r="AO13" s="1615"/>
      <c r="AP13" s="1615"/>
      <c r="AQ13" s="1615"/>
      <c r="AR13" s="1615"/>
      <c r="AS13" s="1615"/>
      <c r="AT13" s="1615"/>
      <c r="AU13" s="1615"/>
      <c r="AV13" s="1615"/>
      <c r="AW13" s="1615"/>
      <c r="AX13" s="1616"/>
      <c r="AY13" s="1615"/>
      <c r="AZ13" s="1615"/>
      <c r="BA13" s="1615"/>
      <c r="BB13" s="1615"/>
      <c r="BC13" s="1615"/>
      <c r="BD13" s="1615"/>
      <c r="BE13" s="1615"/>
      <c r="BF13" s="1615"/>
      <c r="BG13" s="1615"/>
      <c r="BH13" s="1616"/>
      <c r="BI13" s="1616"/>
      <c r="BJ13" s="1615"/>
    </row>
    <row r="14" spans="1:62" ht="14.1" customHeight="1">
      <c r="A14" s="1403" t="s">
        <v>1286</v>
      </c>
      <c r="B14" s="1403" t="s">
        <v>1287</v>
      </c>
      <c r="C14" s="1403" t="s">
        <v>1288</v>
      </c>
      <c r="D14" s="1570">
        <v>40940</v>
      </c>
      <c r="E14" s="1585" t="s">
        <v>359</v>
      </c>
      <c r="F14" s="1577" t="s">
        <v>360</v>
      </c>
      <c r="G14" s="1535">
        <v>1572</v>
      </c>
      <c r="H14" s="1542"/>
      <c r="I14" s="1542"/>
      <c r="J14" s="1542"/>
      <c r="K14" s="1535">
        <v>2</v>
      </c>
      <c r="L14" s="1542"/>
      <c r="M14" s="1542"/>
      <c r="N14" s="1542"/>
      <c r="O14" s="1542"/>
      <c r="P14" s="1542"/>
      <c r="Q14" s="1542"/>
      <c r="R14" s="1542"/>
      <c r="S14" s="1542"/>
      <c r="T14" s="1542"/>
      <c r="U14" s="1535">
        <v>3</v>
      </c>
      <c r="V14" s="1542"/>
      <c r="W14" s="1542"/>
      <c r="X14" s="1542"/>
      <c r="Y14" s="1542"/>
      <c r="Z14" s="1542"/>
      <c r="AA14" s="1542">
        <f>'[11]Table 5A5_SSD'!C15</f>
        <v>0</v>
      </c>
      <c r="AB14" s="1537"/>
      <c r="AC14" s="1542"/>
      <c r="AD14" s="1542">
        <f t="shared" si="0"/>
        <v>1577</v>
      </c>
      <c r="AE14" s="1405"/>
      <c r="AF14" s="1615"/>
      <c r="AG14" s="1615"/>
      <c r="AH14" s="1615"/>
      <c r="AI14" s="1615"/>
      <c r="AJ14" s="1615"/>
      <c r="AK14" s="1615"/>
      <c r="AL14" s="1615"/>
      <c r="AM14" s="1615"/>
      <c r="AN14" s="1615"/>
      <c r="AO14" s="1615"/>
      <c r="AP14" s="1615"/>
      <c r="AQ14" s="1615"/>
      <c r="AR14" s="1615"/>
      <c r="AS14" s="1615"/>
      <c r="AT14" s="1615"/>
      <c r="AU14" s="1615"/>
      <c r="AV14" s="1615"/>
      <c r="AW14" s="1615"/>
      <c r="AX14" s="1615"/>
      <c r="AY14" s="1615"/>
      <c r="AZ14" s="1615"/>
      <c r="BA14" s="1615"/>
      <c r="BB14" s="1615"/>
      <c r="BC14" s="1615"/>
      <c r="BD14" s="1615"/>
      <c r="BE14" s="1615"/>
      <c r="BF14" s="1615"/>
      <c r="BG14" s="1615"/>
      <c r="BH14" s="1615"/>
      <c r="BI14" s="1615"/>
      <c r="BJ14" s="1615"/>
    </row>
    <row r="15" spans="1:62" ht="14.1" customHeight="1">
      <c r="A15" s="1403" t="s">
        <v>1286</v>
      </c>
      <c r="B15" s="1403" t="s">
        <v>1287</v>
      </c>
      <c r="C15" s="1403" t="s">
        <v>1288</v>
      </c>
      <c r="D15" s="1570">
        <v>40940</v>
      </c>
      <c r="E15" s="1585" t="s">
        <v>361</v>
      </c>
      <c r="F15" s="1577" t="s">
        <v>362</v>
      </c>
      <c r="G15" s="1535">
        <v>1223</v>
      </c>
      <c r="H15" s="1542"/>
      <c r="I15" s="1542"/>
      <c r="J15" s="1542"/>
      <c r="K15" s="1542"/>
      <c r="L15" s="1542"/>
      <c r="M15" s="1542"/>
      <c r="N15" s="1542"/>
      <c r="O15" s="1542"/>
      <c r="P15" s="1542"/>
      <c r="Q15" s="1542"/>
      <c r="R15" s="1542"/>
      <c r="S15" s="1542"/>
      <c r="T15" s="1542"/>
      <c r="U15" s="1542"/>
      <c r="V15" s="1542"/>
      <c r="W15" s="1535">
        <v>2</v>
      </c>
      <c r="X15" s="1542"/>
      <c r="Y15" s="1542"/>
      <c r="Z15" s="1542"/>
      <c r="AA15" s="1542">
        <f>'[11]Table 5A5_SSD'!C16</f>
        <v>0</v>
      </c>
      <c r="AB15" s="1537"/>
      <c r="AC15" s="1542"/>
      <c r="AD15" s="1542">
        <f t="shared" si="0"/>
        <v>1225</v>
      </c>
      <c r="AE15" s="1405"/>
      <c r="AF15" s="1615"/>
      <c r="AG15" s="1615"/>
      <c r="AH15" s="1615"/>
      <c r="AI15" s="1615"/>
      <c r="AJ15" s="1615"/>
      <c r="AK15" s="1615"/>
      <c r="AL15" s="1615"/>
      <c r="AM15" s="1615"/>
      <c r="AN15" s="1615"/>
      <c r="AO15" s="1615"/>
      <c r="AP15" s="1615"/>
      <c r="AQ15" s="1615"/>
      <c r="AR15" s="1615"/>
      <c r="AS15" s="1615"/>
      <c r="AT15" s="1615"/>
      <c r="AU15" s="1615"/>
      <c r="AV15" s="1615"/>
      <c r="AW15" s="1615"/>
      <c r="AX15" s="1615"/>
      <c r="AY15" s="1615"/>
      <c r="AZ15" s="1615"/>
      <c r="BA15" s="1615"/>
      <c r="BB15" s="1615"/>
      <c r="BC15" s="1615"/>
      <c r="BD15" s="1615"/>
      <c r="BE15" s="1615"/>
      <c r="BF15" s="1615"/>
      <c r="BG15" s="1615"/>
      <c r="BH15" s="1615"/>
      <c r="BI15" s="1615"/>
      <c r="BJ15" s="1615"/>
    </row>
    <row r="16" spans="1:62" ht="14.1" customHeight="1">
      <c r="A16" s="1403" t="s">
        <v>1286</v>
      </c>
      <c r="B16" s="1403" t="s">
        <v>1287</v>
      </c>
      <c r="C16" s="1403" t="s">
        <v>1288</v>
      </c>
      <c r="D16" s="1570">
        <v>40940</v>
      </c>
      <c r="E16" s="1585" t="s">
        <v>363</v>
      </c>
      <c r="F16" s="1577" t="s">
        <v>364</v>
      </c>
      <c r="G16" s="1535">
        <v>1508</v>
      </c>
      <c r="H16" s="1542"/>
      <c r="I16" s="1542"/>
      <c r="J16" s="1542"/>
      <c r="K16" s="1542"/>
      <c r="L16" s="1542"/>
      <c r="M16" s="1542"/>
      <c r="N16" s="1542"/>
      <c r="O16" s="1542"/>
      <c r="P16" s="1542"/>
      <c r="Q16" s="1542"/>
      <c r="R16" s="1542"/>
      <c r="S16" s="1542"/>
      <c r="T16" s="1542"/>
      <c r="U16" s="1535">
        <v>6</v>
      </c>
      <c r="V16" s="1542"/>
      <c r="W16" s="1535">
        <v>5</v>
      </c>
      <c r="X16" s="1542"/>
      <c r="Y16" s="1542"/>
      <c r="Z16" s="1542"/>
      <c r="AA16" s="1542">
        <f>'[11]Table 5A5_SSD'!C17</f>
        <v>0</v>
      </c>
      <c r="AB16" s="1537"/>
      <c r="AC16" s="1542"/>
      <c r="AD16" s="1542">
        <f t="shared" si="0"/>
        <v>1519</v>
      </c>
      <c r="AE16" s="1405"/>
      <c r="AF16" s="1615"/>
      <c r="AG16" s="1615"/>
      <c r="AH16" s="1615"/>
      <c r="AI16" s="1615"/>
      <c r="AJ16" s="1615"/>
      <c r="AK16" s="1615"/>
      <c r="AL16" s="1615"/>
      <c r="AM16" s="1615"/>
      <c r="AN16" s="1615"/>
      <c r="AO16" s="1615"/>
      <c r="AP16" s="1615"/>
      <c r="AQ16" s="1615"/>
      <c r="AR16" s="1615"/>
      <c r="AS16" s="1615"/>
      <c r="AT16" s="1615"/>
      <c r="AU16" s="1615"/>
      <c r="AV16" s="1615"/>
      <c r="AW16" s="1615"/>
      <c r="AX16" s="1615"/>
      <c r="AY16" s="1615"/>
      <c r="AZ16" s="1615"/>
      <c r="BA16" s="1615"/>
      <c r="BB16" s="1615"/>
      <c r="BC16" s="1615"/>
      <c r="BD16" s="1615"/>
      <c r="BE16" s="1615"/>
      <c r="BF16" s="1615"/>
      <c r="BG16" s="1615"/>
      <c r="BH16" s="1615"/>
      <c r="BI16" s="1615"/>
      <c r="BJ16" s="1615"/>
    </row>
    <row r="17" spans="1:62" ht="14.1" customHeight="1">
      <c r="A17" s="1403" t="s">
        <v>1286</v>
      </c>
      <c r="B17" s="1403" t="s">
        <v>1287</v>
      </c>
      <c r="C17" s="1403" t="s">
        <v>1288</v>
      </c>
      <c r="D17" s="1570">
        <v>40940</v>
      </c>
      <c r="E17" s="1585" t="s">
        <v>365</v>
      </c>
      <c r="F17" s="1577" t="s">
        <v>366</v>
      </c>
      <c r="G17" s="1535">
        <v>1945</v>
      </c>
      <c r="H17" s="1542"/>
      <c r="I17" s="1542"/>
      <c r="J17" s="1542"/>
      <c r="K17" s="1542"/>
      <c r="L17" s="1542"/>
      <c r="M17" s="1542"/>
      <c r="N17" s="1542"/>
      <c r="O17" s="1542"/>
      <c r="P17" s="1542"/>
      <c r="Q17" s="1542"/>
      <c r="R17" s="1542"/>
      <c r="S17" s="1535">
        <v>3</v>
      </c>
      <c r="T17" s="1542"/>
      <c r="U17" s="1535">
        <v>3</v>
      </c>
      <c r="V17" s="1542"/>
      <c r="W17" s="1535">
        <v>7</v>
      </c>
      <c r="X17" s="1542"/>
      <c r="Y17" s="1542"/>
      <c r="Z17" s="1542"/>
      <c r="AA17" s="1542">
        <f>'[11]Table 5A5_SSD'!C18</f>
        <v>0</v>
      </c>
      <c r="AB17" s="1537"/>
      <c r="AC17" s="1542"/>
      <c r="AD17" s="1542">
        <f t="shared" si="0"/>
        <v>1958</v>
      </c>
      <c r="AE17" s="1405"/>
      <c r="AF17" s="1615"/>
      <c r="AG17" s="1615"/>
      <c r="AH17" s="1615"/>
      <c r="AI17" s="1615"/>
      <c r="AJ17" s="1615"/>
      <c r="AK17" s="1615"/>
      <c r="AL17" s="1615"/>
      <c r="AM17" s="1615"/>
      <c r="AN17" s="1616"/>
      <c r="AO17" s="1615"/>
      <c r="AP17" s="1615"/>
      <c r="AQ17" s="1615"/>
      <c r="AR17" s="1615"/>
      <c r="AS17" s="1615"/>
      <c r="AT17" s="1615"/>
      <c r="AU17" s="1615"/>
      <c r="AV17" s="1615"/>
      <c r="AW17" s="1615"/>
      <c r="AX17" s="1615"/>
      <c r="AY17" s="1615"/>
      <c r="AZ17" s="1615"/>
      <c r="BA17" s="1615"/>
      <c r="BB17" s="1615"/>
      <c r="BC17" s="1615"/>
      <c r="BD17" s="1615"/>
      <c r="BE17" s="1615"/>
      <c r="BF17" s="1615"/>
      <c r="BG17" s="1615"/>
      <c r="BH17" s="1615"/>
      <c r="BI17" s="1615"/>
      <c r="BJ17" s="1615"/>
    </row>
    <row r="18" spans="1:62" ht="14.1" customHeight="1">
      <c r="A18" s="1546" t="s">
        <v>1286</v>
      </c>
      <c r="B18" s="1546" t="s">
        <v>1287</v>
      </c>
      <c r="C18" s="1546" t="s">
        <v>1288</v>
      </c>
      <c r="D18" s="1571">
        <v>40940</v>
      </c>
      <c r="E18" s="1586" t="s">
        <v>367</v>
      </c>
      <c r="F18" s="1578" t="s">
        <v>368</v>
      </c>
      <c r="G18" s="1547">
        <v>3621</v>
      </c>
      <c r="H18" s="1548"/>
      <c r="I18" s="1548"/>
      <c r="J18" s="1548"/>
      <c r="K18" s="1548"/>
      <c r="L18" s="1548"/>
      <c r="M18" s="1548"/>
      <c r="N18" s="1547"/>
      <c r="O18" s="1548"/>
      <c r="P18" s="1548"/>
      <c r="Q18" s="1548"/>
      <c r="R18" s="1548"/>
      <c r="S18" s="1548"/>
      <c r="T18" s="1548"/>
      <c r="U18" s="1547">
        <v>4</v>
      </c>
      <c r="V18" s="1548"/>
      <c r="W18" s="1547">
        <v>2</v>
      </c>
      <c r="X18" s="1548"/>
      <c r="Y18" s="1548"/>
      <c r="Z18" s="1548"/>
      <c r="AA18" s="1548">
        <f>'[11]Table 5A5_SSD'!C19</f>
        <v>2</v>
      </c>
      <c r="AB18" s="1549"/>
      <c r="AC18" s="1548"/>
      <c r="AD18" s="1548">
        <f t="shared" si="0"/>
        <v>3629</v>
      </c>
      <c r="AE18" s="1405"/>
      <c r="AF18" s="1615"/>
      <c r="AG18" s="1615"/>
      <c r="AH18" s="1615"/>
      <c r="AI18" s="1615"/>
      <c r="AJ18" s="1615"/>
      <c r="AK18" s="1615"/>
      <c r="AL18" s="1615"/>
      <c r="AM18" s="1615"/>
      <c r="AN18" s="1615"/>
      <c r="AO18" s="1615"/>
      <c r="AP18" s="1615"/>
      <c r="AQ18" s="1615"/>
      <c r="AR18" s="1615"/>
      <c r="AS18" s="1615"/>
      <c r="AT18" s="1615"/>
      <c r="AU18" s="1615"/>
      <c r="AV18" s="1615"/>
      <c r="AW18" s="1615"/>
      <c r="AX18" s="1616"/>
      <c r="AY18" s="1615"/>
      <c r="AZ18" s="1615"/>
      <c r="BA18" s="1615"/>
      <c r="BB18" s="1615"/>
      <c r="BC18" s="1615"/>
      <c r="BD18" s="1615"/>
      <c r="BE18" s="1615"/>
      <c r="BF18" s="1615"/>
      <c r="BG18" s="1615"/>
      <c r="BH18" s="1616"/>
      <c r="BI18" s="1616"/>
      <c r="BJ18" s="1615"/>
    </row>
    <row r="19" spans="1:62" ht="14.1" customHeight="1">
      <c r="A19" s="1403" t="s">
        <v>1286</v>
      </c>
      <c r="B19" s="1403" t="s">
        <v>1287</v>
      </c>
      <c r="C19" s="1403" t="s">
        <v>1288</v>
      </c>
      <c r="D19" s="1570">
        <v>40940</v>
      </c>
      <c r="E19" s="1585" t="s">
        <v>369</v>
      </c>
      <c r="F19" s="1577" t="s">
        <v>370</v>
      </c>
      <c r="G19" s="1535">
        <v>4773</v>
      </c>
      <c r="H19" s="1542"/>
      <c r="I19" s="1542"/>
      <c r="J19" s="1542"/>
      <c r="K19" s="1542"/>
      <c r="L19" s="1542"/>
      <c r="M19" s="1542"/>
      <c r="N19" s="1542"/>
      <c r="O19" s="1542"/>
      <c r="P19" s="1542"/>
      <c r="Q19" s="1542"/>
      <c r="R19" s="1542"/>
      <c r="S19" s="1542"/>
      <c r="T19" s="1542"/>
      <c r="U19" s="1535">
        <v>13</v>
      </c>
      <c r="V19" s="1542"/>
      <c r="W19" s="1535">
        <v>1</v>
      </c>
      <c r="X19" s="1542"/>
      <c r="Y19" s="1542"/>
      <c r="Z19" s="1542"/>
      <c r="AA19" s="1542">
        <f>'[11]Table 5A5_SSD'!C20</f>
        <v>0</v>
      </c>
      <c r="AB19" s="1537"/>
      <c r="AC19" s="1542"/>
      <c r="AD19" s="1542">
        <f t="shared" si="0"/>
        <v>4787</v>
      </c>
      <c r="AE19" s="1405"/>
      <c r="AF19" s="1615"/>
      <c r="AG19" s="1615"/>
      <c r="AH19" s="1615"/>
      <c r="AI19" s="1615"/>
      <c r="AJ19" s="1615"/>
      <c r="AK19" s="1615"/>
      <c r="AL19" s="1615"/>
      <c r="AM19" s="1615"/>
      <c r="AN19" s="1615"/>
      <c r="AO19" s="1615"/>
      <c r="AP19" s="1615"/>
      <c r="AQ19" s="1615"/>
      <c r="AR19" s="1615"/>
      <c r="AS19" s="1616"/>
      <c r="AT19" s="1615"/>
      <c r="AU19" s="1615"/>
      <c r="AV19" s="1615"/>
      <c r="AW19" s="1615"/>
      <c r="AX19" s="1615"/>
      <c r="AY19" s="1615"/>
      <c r="AZ19" s="1615"/>
      <c r="BA19" s="1615"/>
      <c r="BB19" s="1615"/>
      <c r="BC19" s="1615"/>
      <c r="BD19" s="1615"/>
      <c r="BE19" s="1615"/>
      <c r="BF19" s="1615"/>
      <c r="BG19" s="1615"/>
      <c r="BH19" s="1615"/>
      <c r="BI19" s="1615"/>
      <c r="BJ19" s="1615"/>
    </row>
    <row r="20" spans="1:62" ht="14.1" customHeight="1">
      <c r="A20" s="1403" t="s">
        <v>1286</v>
      </c>
      <c r="B20" s="1403" t="s">
        <v>1287</v>
      </c>
      <c r="C20" s="1403" t="s">
        <v>1288</v>
      </c>
      <c r="D20" s="1570">
        <v>40940</v>
      </c>
      <c r="E20" s="1585" t="s">
        <v>371</v>
      </c>
      <c r="F20" s="1577" t="s">
        <v>372</v>
      </c>
      <c r="G20" s="1535">
        <v>41009</v>
      </c>
      <c r="H20" s="1535">
        <v>2117</v>
      </c>
      <c r="I20" s="1542"/>
      <c r="J20" s="1535">
        <v>253</v>
      </c>
      <c r="K20" s="1542"/>
      <c r="L20" s="1542"/>
      <c r="M20" s="1542"/>
      <c r="N20" s="1542"/>
      <c r="O20" s="1542"/>
      <c r="P20" s="1542"/>
      <c r="Q20" s="1542"/>
      <c r="R20" s="1542"/>
      <c r="S20" s="1542"/>
      <c r="T20" s="1535">
        <v>189</v>
      </c>
      <c r="U20" s="1535">
        <v>77</v>
      </c>
      <c r="V20" s="1542"/>
      <c r="W20" s="1535">
        <v>40</v>
      </c>
      <c r="X20" s="1542"/>
      <c r="Y20" s="1542"/>
      <c r="Z20" s="1542"/>
      <c r="AA20" s="1542">
        <f>'[11]Table 5A5_SSD'!C21</f>
        <v>17</v>
      </c>
      <c r="AB20" s="1537">
        <v>48</v>
      </c>
      <c r="AC20" s="1542"/>
      <c r="AD20" s="1542">
        <f t="shared" si="0"/>
        <v>43750</v>
      </c>
      <c r="AE20" s="1613"/>
      <c r="AF20" s="1616"/>
      <c r="AG20" s="1615"/>
      <c r="AH20" s="1616"/>
      <c r="AI20" s="1615"/>
      <c r="AJ20" s="1615"/>
      <c r="AK20" s="1615"/>
      <c r="AL20" s="1616"/>
      <c r="AM20" s="1615"/>
      <c r="AN20" s="1615"/>
      <c r="AO20" s="1616"/>
      <c r="AP20" s="1615"/>
      <c r="AQ20" s="1615"/>
      <c r="AR20" s="1616"/>
      <c r="AS20" s="1616"/>
      <c r="AT20" s="1615"/>
      <c r="AU20" s="1615"/>
      <c r="AV20" s="1615"/>
      <c r="AW20" s="1615"/>
      <c r="AX20" s="1615"/>
      <c r="AY20" s="1615"/>
      <c r="AZ20" s="1615"/>
      <c r="BA20" s="1615"/>
      <c r="BB20" s="1615"/>
      <c r="BC20" s="1615"/>
      <c r="BD20" s="1616"/>
      <c r="BE20" s="1616"/>
      <c r="BF20" s="1615"/>
      <c r="BG20" s="1615"/>
      <c r="BH20" s="1616"/>
      <c r="BI20" s="1616"/>
      <c r="BJ20" s="1616"/>
    </row>
    <row r="21" spans="1:62" ht="14.1" customHeight="1">
      <c r="A21" s="1403" t="s">
        <v>1286</v>
      </c>
      <c r="B21" s="1403" t="s">
        <v>1287</v>
      </c>
      <c r="C21" s="1403" t="s">
        <v>1288</v>
      </c>
      <c r="D21" s="1570">
        <v>40940</v>
      </c>
      <c r="E21" s="1585" t="s">
        <v>373</v>
      </c>
      <c r="F21" s="1577" t="s">
        <v>374</v>
      </c>
      <c r="G21" s="1535">
        <v>1134</v>
      </c>
      <c r="H21" s="1542"/>
      <c r="I21" s="1542"/>
      <c r="J21" s="1542"/>
      <c r="K21" s="1542"/>
      <c r="L21" s="1542"/>
      <c r="M21" s="1542"/>
      <c r="N21" s="1542"/>
      <c r="O21" s="1535">
        <v>10</v>
      </c>
      <c r="P21" s="1542"/>
      <c r="Q21" s="1542"/>
      <c r="R21" s="1542"/>
      <c r="S21" s="1542"/>
      <c r="T21" s="1542"/>
      <c r="U21" s="1535">
        <v>1</v>
      </c>
      <c r="V21" s="1542"/>
      <c r="W21" s="1542"/>
      <c r="X21" s="1542"/>
      <c r="Y21" s="1542"/>
      <c r="Z21" s="1542"/>
      <c r="AA21" s="1542">
        <f>'[11]Table 5A5_SSD'!C22</f>
        <v>0</v>
      </c>
      <c r="AB21" s="1537"/>
      <c r="AC21" s="1542"/>
      <c r="AD21" s="1542">
        <f t="shared" si="0"/>
        <v>1145</v>
      </c>
      <c r="AE21" s="1405"/>
      <c r="AF21" s="1615"/>
      <c r="AG21" s="1615"/>
      <c r="AH21" s="1615"/>
      <c r="AI21" s="1615"/>
      <c r="AJ21" s="1615"/>
      <c r="AK21" s="1615"/>
      <c r="AL21" s="1615"/>
      <c r="AM21" s="1615"/>
      <c r="AN21" s="1615"/>
      <c r="AO21" s="1615"/>
      <c r="AP21" s="1615"/>
      <c r="AQ21" s="1615"/>
      <c r="AR21" s="1615"/>
      <c r="AS21" s="1615"/>
      <c r="AT21" s="1615"/>
      <c r="AU21" s="1615"/>
      <c r="AV21" s="1615"/>
      <c r="AW21" s="1615"/>
      <c r="AX21" s="1615"/>
      <c r="AY21" s="1615"/>
      <c r="AZ21" s="1615"/>
      <c r="BA21" s="1615"/>
      <c r="BB21" s="1615"/>
      <c r="BC21" s="1615"/>
      <c r="BD21" s="1615"/>
      <c r="BE21" s="1615"/>
      <c r="BF21" s="1615"/>
      <c r="BG21" s="1615"/>
      <c r="BH21" s="1615"/>
      <c r="BI21" s="1615"/>
      <c r="BJ21" s="1616"/>
    </row>
    <row r="22" spans="1:62" ht="14.1" customHeight="1">
      <c r="A22" s="1403" t="s">
        <v>1286</v>
      </c>
      <c r="B22" s="1403" t="s">
        <v>1287</v>
      </c>
      <c r="C22" s="1403" t="s">
        <v>1288</v>
      </c>
      <c r="D22" s="1570">
        <v>40940</v>
      </c>
      <c r="E22" s="1585" t="s">
        <v>375</v>
      </c>
      <c r="F22" s="1577" t="s">
        <v>376</v>
      </c>
      <c r="G22" s="1535">
        <v>1929</v>
      </c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35">
        <v>8</v>
      </c>
      <c r="V22" s="1542"/>
      <c r="W22" s="1535">
        <v>1</v>
      </c>
      <c r="X22" s="1542"/>
      <c r="Y22" s="1542"/>
      <c r="Z22" s="1542"/>
      <c r="AA22" s="1542">
        <f>'[11]Table 5A5_SSD'!C23</f>
        <v>14</v>
      </c>
      <c r="AB22" s="1537">
        <v>4</v>
      </c>
      <c r="AC22" s="1542"/>
      <c r="AD22" s="1542">
        <f t="shared" si="0"/>
        <v>1956</v>
      </c>
      <c r="AE22" s="1405"/>
      <c r="AF22" s="1615"/>
      <c r="AG22" s="1616"/>
      <c r="AH22" s="1615"/>
      <c r="AI22" s="1615"/>
      <c r="AJ22" s="1615"/>
      <c r="AK22" s="1615"/>
      <c r="AL22" s="1615"/>
      <c r="AM22" s="1615"/>
      <c r="AN22" s="1615"/>
      <c r="AO22" s="1615"/>
      <c r="AP22" s="1615"/>
      <c r="AQ22" s="1615"/>
      <c r="AR22" s="1615"/>
      <c r="AS22" s="1615"/>
      <c r="AT22" s="1615"/>
      <c r="AU22" s="1615"/>
      <c r="AV22" s="1616"/>
      <c r="AW22" s="1615"/>
      <c r="AX22" s="1615"/>
      <c r="AY22" s="1615"/>
      <c r="AZ22" s="1615"/>
      <c r="BA22" s="1615"/>
      <c r="BB22" s="1615"/>
      <c r="BC22" s="1615"/>
      <c r="BD22" s="1615"/>
      <c r="BE22" s="1615"/>
      <c r="BF22" s="1615"/>
      <c r="BG22" s="1615"/>
      <c r="BH22" s="1615"/>
      <c r="BI22" s="1616"/>
      <c r="BJ22" s="1615"/>
    </row>
    <row r="23" spans="1:62" ht="14.1" customHeight="1">
      <c r="A23" s="1546" t="s">
        <v>1286</v>
      </c>
      <c r="B23" s="1546" t="s">
        <v>1287</v>
      </c>
      <c r="C23" s="1546" t="s">
        <v>1288</v>
      </c>
      <c r="D23" s="1571">
        <v>40940</v>
      </c>
      <c r="E23" s="1586" t="s">
        <v>377</v>
      </c>
      <c r="F23" s="1578" t="s">
        <v>378</v>
      </c>
      <c r="G23" s="1547">
        <v>5802</v>
      </c>
      <c r="H23" s="1548"/>
      <c r="I23" s="1548"/>
      <c r="J23" s="1548"/>
      <c r="K23" s="1548"/>
      <c r="L23" s="1548"/>
      <c r="M23" s="1548"/>
      <c r="N23" s="1547"/>
      <c r="O23" s="1548"/>
      <c r="P23" s="1548"/>
      <c r="Q23" s="1548"/>
      <c r="R23" s="1548"/>
      <c r="S23" s="1548"/>
      <c r="T23" s="1548"/>
      <c r="U23" s="1547">
        <v>8</v>
      </c>
      <c r="V23" s="1548"/>
      <c r="W23" s="1547">
        <v>1</v>
      </c>
      <c r="X23" s="1548"/>
      <c r="Y23" s="1548"/>
      <c r="Z23" s="1548"/>
      <c r="AA23" s="1548">
        <f>'[11]Table 5A5_SSD'!C24</f>
        <v>4</v>
      </c>
      <c r="AB23" s="1549">
        <v>4</v>
      </c>
      <c r="AC23" s="1548"/>
      <c r="AD23" s="1548">
        <f t="shared" si="0"/>
        <v>5819</v>
      </c>
      <c r="AE23" s="1405"/>
      <c r="AF23" s="1615"/>
      <c r="AG23" s="1615"/>
      <c r="AH23" s="1615"/>
      <c r="AI23" s="1615"/>
      <c r="AJ23" s="1615"/>
      <c r="AK23" s="1615"/>
      <c r="AL23" s="1615"/>
      <c r="AM23" s="1615"/>
      <c r="AN23" s="1615"/>
      <c r="AO23" s="1615"/>
      <c r="AP23" s="1615"/>
      <c r="AQ23" s="1615"/>
      <c r="AR23" s="1615"/>
      <c r="AS23" s="1615"/>
      <c r="AT23" s="1615"/>
      <c r="AU23" s="1615"/>
      <c r="AV23" s="1615"/>
      <c r="AW23" s="1615"/>
      <c r="AX23" s="1616"/>
      <c r="AY23" s="1615"/>
      <c r="AZ23" s="1615"/>
      <c r="BA23" s="1615"/>
      <c r="BB23" s="1615"/>
      <c r="BC23" s="1615"/>
      <c r="BD23" s="1615"/>
      <c r="BE23" s="1615"/>
      <c r="BF23" s="1615"/>
      <c r="BG23" s="1615"/>
      <c r="BH23" s="1616"/>
      <c r="BI23" s="1616"/>
      <c r="BJ23" s="1615"/>
    </row>
    <row r="24" spans="1:62" ht="14.1" customHeight="1">
      <c r="A24" s="1403" t="s">
        <v>1286</v>
      </c>
      <c r="B24" s="1403" t="s">
        <v>1287</v>
      </c>
      <c r="C24" s="1403" t="s">
        <v>1288</v>
      </c>
      <c r="D24" s="1570">
        <v>40940</v>
      </c>
      <c r="E24" s="1585" t="s">
        <v>379</v>
      </c>
      <c r="F24" s="1577" t="s">
        <v>380</v>
      </c>
      <c r="G24" s="1535">
        <v>2938</v>
      </c>
      <c r="H24" s="1542"/>
      <c r="I24" s="1542"/>
      <c r="J24" s="1542"/>
      <c r="K24" s="1542"/>
      <c r="L24" s="1542"/>
      <c r="M24" s="1542"/>
      <c r="N24" s="1542"/>
      <c r="O24" s="1535">
        <v>87</v>
      </c>
      <c r="P24" s="1542"/>
      <c r="Q24" s="1542"/>
      <c r="R24" s="1542"/>
      <c r="S24" s="1542"/>
      <c r="T24" s="1542"/>
      <c r="U24" s="1535">
        <v>3</v>
      </c>
      <c r="V24" s="1542"/>
      <c r="W24" s="1535">
        <v>9</v>
      </c>
      <c r="X24" s="1542"/>
      <c r="Y24" s="1542"/>
      <c r="Z24" s="1542"/>
      <c r="AA24" s="1542">
        <f>'[11]Table 5A5_SSD'!C25</f>
        <v>1</v>
      </c>
      <c r="AB24" s="1537"/>
      <c r="AC24" s="1542"/>
      <c r="AD24" s="1542">
        <f t="shared" si="0"/>
        <v>3038</v>
      </c>
      <c r="AE24" s="1405"/>
      <c r="AF24" s="1615"/>
      <c r="AG24" s="1615"/>
      <c r="AH24" s="1615"/>
      <c r="AI24" s="1615"/>
      <c r="AJ24" s="1615"/>
      <c r="AK24" s="1615"/>
      <c r="AL24" s="1615"/>
      <c r="AM24" s="1615"/>
      <c r="AN24" s="1615"/>
      <c r="AO24" s="1615"/>
      <c r="AP24" s="1615"/>
      <c r="AQ24" s="1615"/>
      <c r="AR24" s="1615"/>
      <c r="AS24" s="1615"/>
      <c r="AT24" s="1615"/>
      <c r="AU24" s="1615"/>
      <c r="AV24" s="1615"/>
      <c r="AW24" s="1615"/>
      <c r="AX24" s="1615"/>
      <c r="AY24" s="1615"/>
      <c r="AZ24" s="1615"/>
      <c r="BA24" s="1615"/>
      <c r="BB24" s="1615"/>
      <c r="BC24" s="1615"/>
      <c r="BD24" s="1615"/>
      <c r="BE24" s="1615"/>
      <c r="BF24" s="1615"/>
      <c r="BG24" s="1615"/>
      <c r="BH24" s="1615"/>
      <c r="BI24" s="1615"/>
      <c r="BJ24" s="1616"/>
    </row>
    <row r="25" spans="1:62" ht="14.1" customHeight="1">
      <c r="A25" s="1403" t="s">
        <v>1286</v>
      </c>
      <c r="B25" s="1403" t="s">
        <v>1287</v>
      </c>
      <c r="C25" s="1403" t="s">
        <v>1288</v>
      </c>
      <c r="D25" s="1570">
        <v>40940</v>
      </c>
      <c r="E25" s="1585" t="s">
        <v>381</v>
      </c>
      <c r="F25" s="1577" t="s">
        <v>382</v>
      </c>
      <c r="G25" s="1535">
        <v>3267</v>
      </c>
      <c r="H25" s="1542"/>
      <c r="I25" s="1542"/>
      <c r="J25" s="1542"/>
      <c r="K25" s="1542"/>
      <c r="L25" s="1542"/>
      <c r="M25" s="1542"/>
      <c r="N25" s="1542"/>
      <c r="O25" s="1542"/>
      <c r="P25" s="1542"/>
      <c r="Q25" s="1542"/>
      <c r="R25" s="1542"/>
      <c r="S25" s="1542"/>
      <c r="T25" s="1542"/>
      <c r="U25" s="1535">
        <v>2</v>
      </c>
      <c r="V25" s="1542"/>
      <c r="W25" s="1535">
        <v>8</v>
      </c>
      <c r="X25" s="1542"/>
      <c r="Y25" s="1542"/>
      <c r="Z25" s="1542"/>
      <c r="AA25" s="1542">
        <f>'[11]Table 5A5_SSD'!C26</f>
        <v>4</v>
      </c>
      <c r="AB25" s="1537"/>
      <c r="AC25" s="1542"/>
      <c r="AD25" s="1542">
        <f t="shared" si="0"/>
        <v>3281</v>
      </c>
      <c r="AE25" s="1405"/>
      <c r="AF25" s="1615"/>
      <c r="AG25" s="1615"/>
      <c r="AH25" s="1615"/>
      <c r="AI25" s="1615"/>
      <c r="AJ25" s="1615"/>
      <c r="AK25" s="1615"/>
      <c r="AL25" s="1615"/>
      <c r="AM25" s="1615"/>
      <c r="AN25" s="1615"/>
      <c r="AO25" s="1615"/>
      <c r="AP25" s="1615"/>
      <c r="AQ25" s="1615"/>
      <c r="AR25" s="1615"/>
      <c r="AS25" s="1616"/>
      <c r="AT25" s="1615"/>
      <c r="AU25" s="1615"/>
      <c r="AV25" s="1615"/>
      <c r="AW25" s="1615"/>
      <c r="AX25" s="1615"/>
      <c r="AY25" s="1615"/>
      <c r="AZ25" s="1615"/>
      <c r="BA25" s="1615"/>
      <c r="BB25" s="1615"/>
      <c r="BC25" s="1615"/>
      <c r="BD25" s="1615"/>
      <c r="BE25" s="1615"/>
      <c r="BF25" s="1615"/>
      <c r="BG25" s="1615"/>
      <c r="BH25" s="1615"/>
      <c r="BI25" s="1615"/>
      <c r="BJ25" s="1615"/>
    </row>
    <row r="26" spans="1:62" ht="14.1" customHeight="1">
      <c r="A26" s="1403" t="s">
        <v>1286</v>
      </c>
      <c r="B26" s="1403" t="s">
        <v>1287</v>
      </c>
      <c r="C26" s="1403" t="s">
        <v>1288</v>
      </c>
      <c r="D26" s="1570">
        <v>40940</v>
      </c>
      <c r="E26" s="1585" t="s">
        <v>383</v>
      </c>
      <c r="F26" s="1577" t="s">
        <v>384</v>
      </c>
      <c r="G26" s="1535">
        <v>13259</v>
      </c>
      <c r="H26" s="1542"/>
      <c r="I26" s="1542"/>
      <c r="J26" s="1542"/>
      <c r="K26" s="1542"/>
      <c r="L26" s="1535">
        <v>78</v>
      </c>
      <c r="M26" s="1542"/>
      <c r="N26" s="1542"/>
      <c r="O26" s="1542"/>
      <c r="P26" s="1542"/>
      <c r="Q26" s="1542"/>
      <c r="R26" s="1542"/>
      <c r="S26" s="1542"/>
      <c r="T26" s="1542"/>
      <c r="U26" s="1535">
        <v>10</v>
      </c>
      <c r="V26" s="1542"/>
      <c r="W26" s="1535">
        <v>11</v>
      </c>
      <c r="X26" s="1542"/>
      <c r="Y26" s="1542"/>
      <c r="Z26" s="1542"/>
      <c r="AA26" s="1542">
        <f>'[11]Table 5A5_SSD'!C27</f>
        <v>7</v>
      </c>
      <c r="AB26" s="1537">
        <v>2</v>
      </c>
      <c r="AC26" s="1542"/>
      <c r="AD26" s="1542">
        <f t="shared" si="0"/>
        <v>13367</v>
      </c>
      <c r="AE26" s="1405"/>
      <c r="AF26" s="1615"/>
      <c r="AG26" s="1615"/>
      <c r="AH26" s="1615"/>
      <c r="AI26" s="1615"/>
      <c r="AJ26" s="1615"/>
      <c r="AK26" s="1615"/>
      <c r="AL26" s="1615"/>
      <c r="AM26" s="1615"/>
      <c r="AN26" s="1615"/>
      <c r="AO26" s="1616"/>
      <c r="AP26" s="1615"/>
      <c r="AQ26" s="1615"/>
      <c r="AR26" s="1616"/>
      <c r="AS26" s="1615"/>
      <c r="AT26" s="1615"/>
      <c r="AU26" s="1615"/>
      <c r="AV26" s="1615"/>
      <c r="AW26" s="1615"/>
      <c r="AX26" s="1615"/>
      <c r="AY26" s="1615"/>
      <c r="AZ26" s="1615"/>
      <c r="BA26" s="1615"/>
      <c r="BB26" s="1615"/>
      <c r="BC26" s="1615"/>
      <c r="BD26" s="1615"/>
      <c r="BE26" s="1615"/>
      <c r="BF26" s="1615"/>
      <c r="BG26" s="1615"/>
      <c r="BH26" s="1615"/>
      <c r="BI26" s="1616"/>
      <c r="BJ26" s="1616"/>
    </row>
    <row r="27" spans="1:62" ht="14.1" customHeight="1">
      <c r="A27" s="1403" t="s">
        <v>1286</v>
      </c>
      <c r="B27" s="1403" t="s">
        <v>1287</v>
      </c>
      <c r="C27" s="1403" t="s">
        <v>1288</v>
      </c>
      <c r="D27" s="1570">
        <v>40940</v>
      </c>
      <c r="E27" s="1585" t="s">
        <v>385</v>
      </c>
      <c r="F27" s="1577" t="s">
        <v>386</v>
      </c>
      <c r="G27" s="1535">
        <v>4461</v>
      </c>
      <c r="H27" s="1542"/>
      <c r="I27" s="1542"/>
      <c r="J27" s="1542"/>
      <c r="K27" s="1542"/>
      <c r="L27" s="1542"/>
      <c r="M27" s="1542"/>
      <c r="N27" s="1542"/>
      <c r="O27" s="1542"/>
      <c r="P27" s="1542"/>
      <c r="Q27" s="1542"/>
      <c r="R27" s="1542"/>
      <c r="S27" s="1542"/>
      <c r="T27" s="1542"/>
      <c r="U27" s="1535">
        <v>9</v>
      </c>
      <c r="V27" s="1542"/>
      <c r="W27" s="1535">
        <v>1</v>
      </c>
      <c r="X27" s="1542"/>
      <c r="Y27" s="1542"/>
      <c r="Z27" s="1542"/>
      <c r="AA27" s="1542">
        <f>'[11]Table 5A5_SSD'!C28</f>
        <v>1</v>
      </c>
      <c r="AB27" s="1537">
        <v>7</v>
      </c>
      <c r="AC27" s="1542"/>
      <c r="AD27" s="1542">
        <f t="shared" si="0"/>
        <v>4479</v>
      </c>
      <c r="AE27" s="1405"/>
      <c r="AF27" s="1615"/>
      <c r="AG27" s="1615"/>
      <c r="AH27" s="1615"/>
      <c r="AI27" s="1615"/>
      <c r="AJ27" s="1615"/>
      <c r="AK27" s="1615"/>
      <c r="AL27" s="1615"/>
      <c r="AM27" s="1615"/>
      <c r="AN27" s="1615"/>
      <c r="AO27" s="1615"/>
      <c r="AP27" s="1616"/>
      <c r="AQ27" s="1616"/>
      <c r="AR27" s="1616"/>
      <c r="AS27" s="1615"/>
      <c r="AT27" s="1615"/>
      <c r="AU27" s="1615"/>
      <c r="AV27" s="1615"/>
      <c r="AW27" s="1615"/>
      <c r="AX27" s="1615"/>
      <c r="AY27" s="1615"/>
      <c r="AZ27" s="1615"/>
      <c r="BA27" s="1615"/>
      <c r="BB27" s="1615"/>
      <c r="BC27" s="1615"/>
      <c r="BD27" s="1615"/>
      <c r="BE27" s="1615"/>
      <c r="BF27" s="1615"/>
      <c r="BG27" s="1615"/>
      <c r="BH27" s="1615"/>
      <c r="BI27" s="1615"/>
      <c r="BJ27" s="1615"/>
    </row>
    <row r="28" spans="1:62" ht="14.1" customHeight="1">
      <c r="A28" s="1546" t="s">
        <v>1286</v>
      </c>
      <c r="B28" s="1546" t="s">
        <v>1287</v>
      </c>
      <c r="C28" s="1546" t="s">
        <v>1288</v>
      </c>
      <c r="D28" s="1571">
        <v>40940</v>
      </c>
      <c r="E28" s="1586" t="s">
        <v>387</v>
      </c>
      <c r="F28" s="1578" t="s">
        <v>388</v>
      </c>
      <c r="G28" s="1547">
        <v>2224</v>
      </c>
      <c r="H28" s="1548"/>
      <c r="I28" s="1548"/>
      <c r="J28" s="1548"/>
      <c r="K28" s="1548"/>
      <c r="L28" s="1548"/>
      <c r="M28" s="1548"/>
      <c r="N28" s="1547"/>
      <c r="O28" s="1548"/>
      <c r="P28" s="1548"/>
      <c r="Q28" s="1548"/>
      <c r="R28" s="1548"/>
      <c r="S28" s="1548"/>
      <c r="T28" s="1548"/>
      <c r="U28" s="1547">
        <v>2</v>
      </c>
      <c r="V28" s="1548"/>
      <c r="W28" s="1547"/>
      <c r="X28" s="1548"/>
      <c r="Y28" s="1548"/>
      <c r="Z28" s="1548"/>
      <c r="AA28" s="1548">
        <f>'[11]Table 5A5_SSD'!C29</f>
        <v>0</v>
      </c>
      <c r="AB28" s="1549"/>
      <c r="AC28" s="1548"/>
      <c r="AD28" s="1548">
        <f t="shared" si="0"/>
        <v>2226</v>
      </c>
      <c r="AE28" s="1405"/>
      <c r="AF28" s="1615"/>
      <c r="AG28" s="1615"/>
      <c r="AH28" s="1615"/>
      <c r="AI28" s="1615"/>
      <c r="AJ28" s="1615"/>
      <c r="AK28" s="1615"/>
      <c r="AL28" s="1615"/>
      <c r="AM28" s="1615"/>
      <c r="AN28" s="1615"/>
      <c r="AO28" s="1615"/>
      <c r="AP28" s="1615"/>
      <c r="AQ28" s="1615"/>
      <c r="AR28" s="1615"/>
      <c r="AS28" s="1615"/>
      <c r="AT28" s="1615"/>
      <c r="AU28" s="1615"/>
      <c r="AV28" s="1615"/>
      <c r="AW28" s="1615"/>
      <c r="AX28" s="1616"/>
      <c r="AY28" s="1615"/>
      <c r="AZ28" s="1615"/>
      <c r="BA28" s="1615"/>
      <c r="BB28" s="1615"/>
      <c r="BC28" s="1615"/>
      <c r="BD28" s="1615"/>
      <c r="BE28" s="1615"/>
      <c r="BF28" s="1615"/>
      <c r="BG28" s="1615"/>
      <c r="BH28" s="1616"/>
      <c r="BI28" s="1616"/>
      <c r="BJ28" s="1615"/>
    </row>
    <row r="29" spans="1:62" ht="14.1" customHeight="1">
      <c r="A29" s="1403" t="s">
        <v>1286</v>
      </c>
      <c r="B29" s="1403" t="s">
        <v>1287</v>
      </c>
      <c r="C29" s="1403" t="s">
        <v>1288</v>
      </c>
      <c r="D29" s="1570">
        <v>40940</v>
      </c>
      <c r="E29" s="1585" t="s">
        <v>389</v>
      </c>
      <c r="F29" s="1577" t="s">
        <v>390</v>
      </c>
      <c r="G29" s="1535">
        <v>43581</v>
      </c>
      <c r="H29" s="1542"/>
      <c r="I29" s="1542"/>
      <c r="J29" s="1542"/>
      <c r="K29" s="1542"/>
      <c r="L29" s="1542"/>
      <c r="M29" s="1535">
        <v>193</v>
      </c>
      <c r="N29" s="1542"/>
      <c r="O29" s="1542"/>
      <c r="P29" s="1535">
        <v>248</v>
      </c>
      <c r="Q29" s="1535">
        <v>67</v>
      </c>
      <c r="R29" s="1542"/>
      <c r="S29" s="1542"/>
      <c r="T29" s="1542"/>
      <c r="U29" s="1535">
        <v>102</v>
      </c>
      <c r="V29" s="1535">
        <v>28</v>
      </c>
      <c r="W29" s="1535">
        <v>39</v>
      </c>
      <c r="X29" s="1542"/>
      <c r="Y29" s="1535">
        <v>12</v>
      </c>
      <c r="Z29" s="1535">
        <v>44</v>
      </c>
      <c r="AA29" s="1535">
        <f>'[11]Table 5A5_SSD'!C30</f>
        <v>27</v>
      </c>
      <c r="AB29" s="1535">
        <v>6</v>
      </c>
      <c r="AC29" s="1535"/>
      <c r="AD29" s="1535">
        <f t="shared" si="0"/>
        <v>44347</v>
      </c>
      <c r="AE29" s="1405"/>
      <c r="AF29" s="1615"/>
      <c r="AG29" s="1616"/>
      <c r="AH29" s="1616"/>
      <c r="AI29" s="1615"/>
      <c r="AJ29" s="1615"/>
      <c r="AK29" s="1616"/>
      <c r="AL29" s="1616"/>
      <c r="AM29" s="1615"/>
      <c r="AN29" s="1615"/>
      <c r="AO29" s="1615"/>
      <c r="AP29" s="1615"/>
      <c r="AQ29" s="1615"/>
      <c r="AR29" s="1616"/>
      <c r="AS29" s="1616"/>
      <c r="AT29" s="1616"/>
      <c r="AU29" s="1615"/>
      <c r="AV29" s="1615"/>
      <c r="AW29" s="1615"/>
      <c r="AX29" s="1615"/>
      <c r="AY29" s="1615"/>
      <c r="AZ29" s="1615"/>
      <c r="BA29" s="1615"/>
      <c r="BB29" s="1615"/>
      <c r="BC29" s="1615"/>
      <c r="BD29" s="1615"/>
      <c r="BE29" s="1615"/>
      <c r="BF29" s="1615"/>
      <c r="BG29" s="1615"/>
      <c r="BH29" s="1616"/>
      <c r="BI29" s="1616"/>
      <c r="BJ29" s="1616"/>
    </row>
    <row r="30" spans="1:62" ht="14.1" customHeight="1">
      <c r="A30" s="1403" t="s">
        <v>1286</v>
      </c>
      <c r="B30" s="1403" t="s">
        <v>1287</v>
      </c>
      <c r="C30" s="1403" t="s">
        <v>1288</v>
      </c>
      <c r="D30" s="1570">
        <v>40940</v>
      </c>
      <c r="E30" s="1585" t="s">
        <v>391</v>
      </c>
      <c r="F30" s="1577" t="s">
        <v>392</v>
      </c>
      <c r="G30" s="1535">
        <v>5597</v>
      </c>
      <c r="H30" s="1542"/>
      <c r="I30" s="1542"/>
      <c r="J30" s="1542"/>
      <c r="K30" s="1542"/>
      <c r="L30" s="1542"/>
      <c r="M30" s="1542"/>
      <c r="N30" s="1542"/>
      <c r="O30" s="1542"/>
      <c r="P30" s="1542"/>
      <c r="Q30" s="1542"/>
      <c r="R30" s="1542"/>
      <c r="S30" s="1542"/>
      <c r="T30" s="1542"/>
      <c r="U30" s="1535">
        <v>8</v>
      </c>
      <c r="V30" s="1542"/>
      <c r="W30" s="1535">
        <v>3</v>
      </c>
      <c r="X30" s="1535">
        <v>4</v>
      </c>
      <c r="Y30" s="1542"/>
      <c r="Z30" s="1542"/>
      <c r="AA30" s="1542">
        <f>'[11]Table 5A5_SSD'!C31</f>
        <v>1</v>
      </c>
      <c r="AB30" s="1537">
        <v>1</v>
      </c>
      <c r="AC30" s="1542"/>
      <c r="AD30" s="1542">
        <f t="shared" si="0"/>
        <v>5614</v>
      </c>
      <c r="AE30" s="1405"/>
      <c r="AF30" s="1615"/>
      <c r="AG30" s="1615"/>
      <c r="AH30" s="1615"/>
      <c r="AI30" s="1615"/>
      <c r="AJ30" s="1615"/>
      <c r="AK30" s="1615"/>
      <c r="AL30" s="1615"/>
      <c r="AM30" s="1615"/>
      <c r="AN30" s="1615"/>
      <c r="AO30" s="1615"/>
      <c r="AP30" s="1615"/>
      <c r="AQ30" s="1615"/>
      <c r="AR30" s="1615"/>
      <c r="AS30" s="1616"/>
      <c r="AT30" s="1615"/>
      <c r="AU30" s="1615"/>
      <c r="AV30" s="1615"/>
      <c r="AW30" s="1615"/>
      <c r="AX30" s="1615"/>
      <c r="AY30" s="1615"/>
      <c r="AZ30" s="1615"/>
      <c r="BA30" s="1615"/>
      <c r="BB30" s="1615"/>
      <c r="BC30" s="1615"/>
      <c r="BD30" s="1615"/>
      <c r="BE30" s="1615"/>
      <c r="BF30" s="1615"/>
      <c r="BG30" s="1615"/>
      <c r="BH30" s="1615"/>
      <c r="BI30" s="1615"/>
      <c r="BJ30" s="1615"/>
    </row>
    <row r="31" spans="1:62" ht="14.1" customHeight="1">
      <c r="A31" s="1403" t="s">
        <v>1286</v>
      </c>
      <c r="B31" s="1403" t="s">
        <v>1287</v>
      </c>
      <c r="C31" s="1403" t="s">
        <v>1288</v>
      </c>
      <c r="D31" s="1570">
        <v>40940</v>
      </c>
      <c r="E31" s="1585" t="s">
        <v>393</v>
      </c>
      <c r="F31" s="1577" t="s">
        <v>394</v>
      </c>
      <c r="G31" s="1535">
        <v>29564</v>
      </c>
      <c r="H31" s="1542"/>
      <c r="I31" s="1542"/>
      <c r="J31" s="1542"/>
      <c r="K31" s="1542"/>
      <c r="L31" s="1535">
        <v>1</v>
      </c>
      <c r="M31" s="1542"/>
      <c r="N31" s="1542"/>
      <c r="O31" s="1542"/>
      <c r="P31" s="1542"/>
      <c r="Q31" s="1542"/>
      <c r="R31" s="1542"/>
      <c r="S31" s="1542"/>
      <c r="T31" s="1542"/>
      <c r="U31" s="1535">
        <v>53</v>
      </c>
      <c r="V31" s="1542"/>
      <c r="W31" s="1535">
        <v>23</v>
      </c>
      <c r="X31" s="1542"/>
      <c r="Y31" s="1542"/>
      <c r="Z31" s="1542"/>
      <c r="AA31" s="1542">
        <f>'[11]Table 5A5_SSD'!C32</f>
        <v>7</v>
      </c>
      <c r="AB31" s="1537">
        <v>1</v>
      </c>
      <c r="AC31" s="1542"/>
      <c r="AD31" s="1542">
        <f t="shared" si="0"/>
        <v>29649</v>
      </c>
      <c r="AE31" s="1405"/>
      <c r="AF31" s="1615"/>
      <c r="AG31" s="1615"/>
      <c r="AH31" s="1615"/>
      <c r="AI31" s="1615"/>
      <c r="AJ31" s="1615"/>
      <c r="AK31" s="1616"/>
      <c r="AL31" s="1615"/>
      <c r="AM31" s="1615"/>
      <c r="AN31" s="1615"/>
      <c r="AO31" s="1616"/>
      <c r="AP31" s="1615"/>
      <c r="AQ31" s="1615"/>
      <c r="AR31" s="1615"/>
      <c r="AS31" s="1616"/>
      <c r="AT31" s="1615"/>
      <c r="AU31" s="1615"/>
      <c r="AV31" s="1615"/>
      <c r="AW31" s="1615"/>
      <c r="AX31" s="1615"/>
      <c r="AY31" s="1615"/>
      <c r="AZ31" s="1615"/>
      <c r="BA31" s="1615"/>
      <c r="BB31" s="1615"/>
      <c r="BC31" s="1615"/>
      <c r="BD31" s="1615"/>
      <c r="BE31" s="1615"/>
      <c r="BF31" s="1615"/>
      <c r="BG31" s="1615"/>
      <c r="BH31" s="1616"/>
      <c r="BI31" s="1616"/>
      <c r="BJ31" s="1615"/>
    </row>
    <row r="32" spans="1:62" ht="14.1" customHeight="1">
      <c r="A32" s="1403" t="s">
        <v>1286</v>
      </c>
      <c r="B32" s="1403" t="s">
        <v>1287</v>
      </c>
      <c r="C32" s="1403" t="s">
        <v>1288</v>
      </c>
      <c r="D32" s="1570">
        <v>40940</v>
      </c>
      <c r="E32" s="1585" t="s">
        <v>395</v>
      </c>
      <c r="F32" s="1577" t="s">
        <v>396</v>
      </c>
      <c r="G32" s="1535">
        <v>13508</v>
      </c>
      <c r="H32" s="1542"/>
      <c r="I32" s="1542"/>
      <c r="J32" s="1542"/>
      <c r="K32" s="1542"/>
      <c r="L32" s="1542"/>
      <c r="M32" s="1542"/>
      <c r="N32" s="1542"/>
      <c r="O32" s="1542"/>
      <c r="P32" s="1542"/>
      <c r="Q32" s="1542"/>
      <c r="R32" s="1535">
        <v>52</v>
      </c>
      <c r="S32" s="1542"/>
      <c r="T32" s="1542"/>
      <c r="U32" s="1535">
        <v>18</v>
      </c>
      <c r="V32" s="1542"/>
      <c r="W32" s="1535">
        <v>5</v>
      </c>
      <c r="X32" s="1542"/>
      <c r="Y32" s="1542"/>
      <c r="Z32" s="1542"/>
      <c r="AA32" s="1542">
        <f>'[11]Table 5A5_SSD'!C33</f>
        <v>3</v>
      </c>
      <c r="AB32" s="1537"/>
      <c r="AC32" s="1542"/>
      <c r="AD32" s="1542">
        <f t="shared" si="0"/>
        <v>13586</v>
      </c>
      <c r="AE32" s="1405"/>
      <c r="AF32" s="1615"/>
      <c r="AG32" s="1615"/>
      <c r="AH32" s="1616"/>
      <c r="AI32" s="1615"/>
      <c r="AJ32" s="1615"/>
      <c r="AK32" s="1615"/>
      <c r="AL32" s="1615"/>
      <c r="AM32" s="1615"/>
      <c r="AN32" s="1615"/>
      <c r="AO32" s="1615"/>
      <c r="AP32" s="1615"/>
      <c r="AQ32" s="1615"/>
      <c r="AR32" s="1616"/>
      <c r="AS32" s="1616"/>
      <c r="AT32" s="1615"/>
      <c r="AU32" s="1615"/>
      <c r="AV32" s="1615"/>
      <c r="AW32" s="1615"/>
      <c r="AX32" s="1615"/>
      <c r="AY32" s="1615"/>
      <c r="AZ32" s="1615"/>
      <c r="BA32" s="1615"/>
      <c r="BB32" s="1615"/>
      <c r="BC32" s="1615"/>
      <c r="BD32" s="1615"/>
      <c r="BE32" s="1615"/>
      <c r="BF32" s="1615"/>
      <c r="BG32" s="1615"/>
      <c r="BH32" s="1615"/>
      <c r="BI32" s="1616"/>
      <c r="BJ32" s="1616"/>
    </row>
    <row r="33" spans="1:62" ht="14.1" customHeight="1">
      <c r="A33" s="1546" t="s">
        <v>1286</v>
      </c>
      <c r="B33" s="1546" t="s">
        <v>1287</v>
      </c>
      <c r="C33" s="1546" t="s">
        <v>1288</v>
      </c>
      <c r="D33" s="1571">
        <v>40940</v>
      </c>
      <c r="E33" s="1586" t="s">
        <v>397</v>
      </c>
      <c r="F33" s="1578" t="s">
        <v>398</v>
      </c>
      <c r="G33" s="1547">
        <v>2431</v>
      </c>
      <c r="H33" s="1548"/>
      <c r="I33" s="1548"/>
      <c r="J33" s="1548"/>
      <c r="K33" s="1548"/>
      <c r="L33" s="1548"/>
      <c r="M33" s="1548"/>
      <c r="N33" s="1547"/>
      <c r="O33" s="1548"/>
      <c r="P33" s="1548"/>
      <c r="Q33" s="1548"/>
      <c r="R33" s="1548"/>
      <c r="S33" s="1548"/>
      <c r="T33" s="1548"/>
      <c r="U33" s="1547">
        <v>1</v>
      </c>
      <c r="V33" s="1548"/>
      <c r="W33" s="1547">
        <v>3</v>
      </c>
      <c r="X33" s="1548"/>
      <c r="Y33" s="1548"/>
      <c r="Z33" s="1548"/>
      <c r="AA33" s="1548">
        <f>'[11]Table 5A5_SSD'!C34</f>
        <v>1</v>
      </c>
      <c r="AB33" s="1549"/>
      <c r="AC33" s="1548"/>
      <c r="AD33" s="1548">
        <f t="shared" si="0"/>
        <v>2436</v>
      </c>
      <c r="AE33" s="1405"/>
      <c r="AF33" s="1615"/>
      <c r="AG33" s="1615"/>
      <c r="AH33" s="1615"/>
      <c r="AI33" s="1615"/>
      <c r="AJ33" s="1615"/>
      <c r="AK33" s="1615"/>
      <c r="AL33" s="1615"/>
      <c r="AM33" s="1615"/>
      <c r="AN33" s="1615"/>
      <c r="AO33" s="1615"/>
      <c r="AP33" s="1615"/>
      <c r="AQ33" s="1615"/>
      <c r="AR33" s="1615"/>
      <c r="AS33" s="1615"/>
      <c r="AT33" s="1615"/>
      <c r="AU33" s="1615"/>
      <c r="AV33" s="1615"/>
      <c r="AW33" s="1615"/>
      <c r="AX33" s="1616"/>
      <c r="AY33" s="1615"/>
      <c r="AZ33" s="1615"/>
      <c r="BA33" s="1615"/>
      <c r="BB33" s="1615"/>
      <c r="BC33" s="1615"/>
      <c r="BD33" s="1615"/>
      <c r="BE33" s="1615"/>
      <c r="BF33" s="1615"/>
      <c r="BG33" s="1615"/>
      <c r="BH33" s="1616"/>
      <c r="BI33" s="1616"/>
      <c r="BJ33" s="1615"/>
    </row>
    <row r="34" spans="1:62" ht="14.1" customHeight="1">
      <c r="A34" s="1403" t="s">
        <v>1286</v>
      </c>
      <c r="B34" s="1403" t="s">
        <v>1287</v>
      </c>
      <c r="C34" s="1403" t="s">
        <v>1288</v>
      </c>
      <c r="D34" s="1570">
        <v>40940</v>
      </c>
      <c r="E34" s="1585" t="s">
        <v>399</v>
      </c>
      <c r="F34" s="1577" t="s">
        <v>400</v>
      </c>
      <c r="G34" s="1535">
        <v>6451</v>
      </c>
      <c r="H34" s="1542"/>
      <c r="I34" s="1542"/>
      <c r="J34" s="1542"/>
      <c r="K34" s="1542"/>
      <c r="L34" s="1542"/>
      <c r="M34" s="1542"/>
      <c r="N34" s="1542"/>
      <c r="O34" s="1542"/>
      <c r="P34" s="1542"/>
      <c r="Q34" s="1542"/>
      <c r="R34" s="1542"/>
      <c r="S34" s="1535">
        <v>2</v>
      </c>
      <c r="T34" s="1542"/>
      <c r="U34" s="1535">
        <v>2</v>
      </c>
      <c r="V34" s="1542"/>
      <c r="W34" s="1535">
        <v>1</v>
      </c>
      <c r="X34" s="1542"/>
      <c r="Y34" s="1542"/>
      <c r="Z34" s="1542"/>
      <c r="AA34" s="1542">
        <f>'[11]Table 5A5_SSD'!C35</f>
        <v>5</v>
      </c>
      <c r="AB34" s="1537">
        <v>3</v>
      </c>
      <c r="AC34" s="1542"/>
      <c r="AD34" s="1542">
        <f t="shared" si="0"/>
        <v>6464</v>
      </c>
      <c r="AE34" s="1405"/>
      <c r="AF34" s="1615"/>
      <c r="AG34" s="1615"/>
      <c r="AH34" s="1615"/>
      <c r="AI34" s="1615"/>
      <c r="AJ34" s="1615"/>
      <c r="AK34" s="1615"/>
      <c r="AL34" s="1616"/>
      <c r="AM34" s="1615"/>
      <c r="AN34" s="1615"/>
      <c r="AO34" s="1615"/>
      <c r="AP34" s="1615"/>
      <c r="AQ34" s="1615"/>
      <c r="AR34" s="1615"/>
      <c r="AS34" s="1616"/>
      <c r="AT34" s="1615"/>
      <c r="AU34" s="1615"/>
      <c r="AV34" s="1615"/>
      <c r="AW34" s="1615"/>
      <c r="AX34" s="1615"/>
      <c r="AY34" s="1615"/>
      <c r="AZ34" s="1615"/>
      <c r="BA34" s="1615"/>
      <c r="BB34" s="1615"/>
      <c r="BC34" s="1615"/>
      <c r="BD34" s="1615"/>
      <c r="BE34" s="1615"/>
      <c r="BF34" s="1615"/>
      <c r="BG34" s="1615"/>
      <c r="BH34" s="1615"/>
      <c r="BI34" s="1615"/>
      <c r="BJ34" s="1615"/>
    </row>
    <row r="35" spans="1:62" ht="14.1" customHeight="1">
      <c r="A35" s="1403" t="s">
        <v>1286</v>
      </c>
      <c r="B35" s="1403" t="s">
        <v>1287</v>
      </c>
      <c r="C35" s="1403" t="s">
        <v>1288</v>
      </c>
      <c r="D35" s="1570">
        <v>40940</v>
      </c>
      <c r="E35" s="1585" t="s">
        <v>401</v>
      </c>
      <c r="F35" s="1577" t="s">
        <v>402</v>
      </c>
      <c r="G35" s="1535">
        <v>24352</v>
      </c>
      <c r="H35" s="1542"/>
      <c r="I35" s="1542"/>
      <c r="J35" s="1542"/>
      <c r="K35" s="1542"/>
      <c r="L35" s="1542"/>
      <c r="M35" s="1542"/>
      <c r="N35" s="1542"/>
      <c r="O35" s="1542"/>
      <c r="P35" s="1542"/>
      <c r="Q35" s="1542"/>
      <c r="R35" s="1542"/>
      <c r="S35" s="1542"/>
      <c r="T35" s="1535">
        <v>1</v>
      </c>
      <c r="U35" s="1535">
        <v>35</v>
      </c>
      <c r="V35" s="1542"/>
      <c r="W35" s="1535">
        <v>36</v>
      </c>
      <c r="X35" s="1542"/>
      <c r="Y35" s="1542"/>
      <c r="Z35" s="1542"/>
      <c r="AA35" s="1542">
        <f>'[11]Table 5A5_SSD'!C36</f>
        <v>13</v>
      </c>
      <c r="AB35" s="1537">
        <v>16</v>
      </c>
      <c r="AC35" s="1542"/>
      <c r="AD35" s="1542">
        <f t="shared" si="0"/>
        <v>24453</v>
      </c>
      <c r="AE35" s="1405"/>
      <c r="AF35" s="1615"/>
      <c r="AG35" s="1615"/>
      <c r="AH35" s="1616"/>
      <c r="AI35" s="1616"/>
      <c r="AJ35" s="1615"/>
      <c r="AK35" s="1616"/>
      <c r="AL35" s="1616"/>
      <c r="AM35" s="1615"/>
      <c r="AN35" s="1615"/>
      <c r="AO35" s="1615"/>
      <c r="AP35" s="1615"/>
      <c r="AQ35" s="1615"/>
      <c r="AR35" s="1615"/>
      <c r="AS35" s="1616"/>
      <c r="AT35" s="1615"/>
      <c r="AU35" s="1615"/>
      <c r="AV35" s="1615"/>
      <c r="AW35" s="1615"/>
      <c r="AX35" s="1615"/>
      <c r="AY35" s="1615"/>
      <c r="AZ35" s="1615"/>
      <c r="BA35" s="1615"/>
      <c r="BB35" s="1615"/>
      <c r="BC35" s="1615"/>
      <c r="BD35" s="1615"/>
      <c r="BE35" s="1615"/>
      <c r="BF35" s="1615"/>
      <c r="BG35" s="1615"/>
      <c r="BH35" s="1616"/>
      <c r="BI35" s="1615"/>
      <c r="BJ35" s="1616"/>
    </row>
    <row r="36" spans="1:62" ht="14.1" customHeight="1">
      <c r="A36" s="1403" t="s">
        <v>1286</v>
      </c>
      <c r="B36" s="1403" t="s">
        <v>1287</v>
      </c>
      <c r="C36" s="1403" t="s">
        <v>1288</v>
      </c>
      <c r="D36" s="1570">
        <v>40940</v>
      </c>
      <c r="E36" s="1585" t="s">
        <v>403</v>
      </c>
      <c r="F36" s="1577" t="s">
        <v>404</v>
      </c>
      <c r="G36" s="1535">
        <v>1861</v>
      </c>
      <c r="H36" s="1542"/>
      <c r="I36" s="1542"/>
      <c r="J36" s="1542"/>
      <c r="K36" s="1542"/>
      <c r="L36" s="1542"/>
      <c r="M36" s="1542"/>
      <c r="N36" s="1542"/>
      <c r="O36" s="1535">
        <v>128</v>
      </c>
      <c r="P36" s="1542"/>
      <c r="Q36" s="1542"/>
      <c r="R36" s="1542"/>
      <c r="S36" s="1542"/>
      <c r="T36" s="1542"/>
      <c r="U36" s="1535">
        <v>3</v>
      </c>
      <c r="V36" s="1542"/>
      <c r="W36" s="1535">
        <v>2</v>
      </c>
      <c r="X36" s="1542"/>
      <c r="Y36" s="1542"/>
      <c r="Z36" s="1542"/>
      <c r="AA36" s="1542">
        <f>'[11]Table 5A5_SSD'!C37</f>
        <v>2</v>
      </c>
      <c r="AB36" s="1537">
        <v>3</v>
      </c>
      <c r="AC36" s="1542"/>
      <c r="AD36" s="1542">
        <f t="shared" si="0"/>
        <v>1999</v>
      </c>
      <c r="AE36" s="1405"/>
      <c r="AF36" s="1615"/>
      <c r="AG36" s="1615"/>
      <c r="AH36" s="1615"/>
      <c r="AI36" s="1615"/>
      <c r="AJ36" s="1615"/>
      <c r="AK36" s="1615"/>
      <c r="AL36" s="1615"/>
      <c r="AM36" s="1615"/>
      <c r="AN36" s="1615"/>
      <c r="AO36" s="1615"/>
      <c r="AP36" s="1615"/>
      <c r="AQ36" s="1615"/>
      <c r="AR36" s="1615"/>
      <c r="AS36" s="1616"/>
      <c r="AT36" s="1615"/>
      <c r="AU36" s="1615"/>
      <c r="AV36" s="1615"/>
      <c r="AW36" s="1615"/>
      <c r="AX36" s="1615"/>
      <c r="AY36" s="1615"/>
      <c r="AZ36" s="1615"/>
      <c r="BA36" s="1615"/>
      <c r="BB36" s="1615"/>
      <c r="BC36" s="1615"/>
      <c r="BD36" s="1615"/>
      <c r="BE36" s="1615"/>
      <c r="BF36" s="1615"/>
      <c r="BG36" s="1615"/>
      <c r="BH36" s="1615"/>
      <c r="BI36" s="1615"/>
      <c r="BJ36" s="1616"/>
    </row>
    <row r="37" spans="1:62" ht="14.1" customHeight="1">
      <c r="A37" s="1403" t="s">
        <v>1286</v>
      </c>
      <c r="B37" s="1403" t="s">
        <v>1287</v>
      </c>
      <c r="C37" s="1403" t="s">
        <v>1288</v>
      </c>
      <c r="D37" s="1570">
        <v>40940</v>
      </c>
      <c r="E37" s="1585" t="s">
        <v>405</v>
      </c>
      <c r="F37" s="1577" t="s">
        <v>406</v>
      </c>
      <c r="G37" s="1535">
        <v>4312</v>
      </c>
      <c r="H37" s="1542"/>
      <c r="I37" s="1542"/>
      <c r="J37" s="1542"/>
      <c r="K37" s="1535">
        <v>8</v>
      </c>
      <c r="L37" s="1542"/>
      <c r="M37" s="1542"/>
      <c r="N37" s="1542"/>
      <c r="O37" s="1542"/>
      <c r="P37" s="1542"/>
      <c r="Q37" s="1542"/>
      <c r="R37" s="1542"/>
      <c r="S37" s="1542"/>
      <c r="T37" s="1542"/>
      <c r="U37" s="1535">
        <v>12</v>
      </c>
      <c r="V37" s="1542"/>
      <c r="W37" s="1535">
        <v>2</v>
      </c>
      <c r="X37" s="1542"/>
      <c r="Y37" s="1542"/>
      <c r="Z37" s="1542"/>
      <c r="AA37" s="1542">
        <f>'[11]Table 5A5_SSD'!C38</f>
        <v>0</v>
      </c>
      <c r="AB37" s="1537"/>
      <c r="AC37" s="1542"/>
      <c r="AD37" s="1542">
        <f t="shared" si="0"/>
        <v>4334</v>
      </c>
      <c r="AE37" s="1405"/>
      <c r="AF37" s="1615"/>
      <c r="AG37" s="1615"/>
      <c r="AH37" s="1615"/>
      <c r="AI37" s="1615"/>
      <c r="AJ37" s="1615"/>
      <c r="AK37" s="1615"/>
      <c r="AL37" s="1615"/>
      <c r="AM37" s="1615"/>
      <c r="AN37" s="1615"/>
      <c r="AO37" s="1615"/>
      <c r="AP37" s="1615"/>
      <c r="AQ37" s="1615"/>
      <c r="AR37" s="1615"/>
      <c r="AS37" s="1616"/>
      <c r="AT37" s="1615"/>
      <c r="AU37" s="1615"/>
      <c r="AV37" s="1615"/>
      <c r="AW37" s="1615"/>
      <c r="AX37" s="1615"/>
      <c r="AY37" s="1615"/>
      <c r="AZ37" s="1615"/>
      <c r="BA37" s="1615"/>
      <c r="BB37" s="1615"/>
      <c r="BC37" s="1615"/>
      <c r="BD37" s="1615"/>
      <c r="BE37" s="1615"/>
      <c r="BF37" s="1615"/>
      <c r="BG37" s="1615"/>
      <c r="BH37" s="1615"/>
      <c r="BI37" s="1615"/>
      <c r="BJ37" s="1616"/>
    </row>
    <row r="38" spans="1:62" ht="14.1" customHeight="1">
      <c r="A38" s="1546" t="s">
        <v>1286</v>
      </c>
      <c r="B38" s="1546" t="s">
        <v>1287</v>
      </c>
      <c r="C38" s="1546" t="s">
        <v>1288</v>
      </c>
      <c r="D38" s="1571">
        <v>40940</v>
      </c>
      <c r="E38" s="1586" t="s">
        <v>407</v>
      </c>
      <c r="F38" s="1578" t="s">
        <v>408</v>
      </c>
      <c r="G38" s="1547">
        <v>6437</v>
      </c>
      <c r="H38" s="1548"/>
      <c r="I38" s="1548"/>
      <c r="J38" s="1548"/>
      <c r="K38" s="1548"/>
      <c r="L38" s="1548"/>
      <c r="M38" s="1548"/>
      <c r="N38" s="1547"/>
      <c r="O38" s="1548"/>
      <c r="P38" s="1548"/>
      <c r="Q38" s="1548"/>
      <c r="R38" s="1548"/>
      <c r="S38" s="1548"/>
      <c r="T38" s="1548"/>
      <c r="U38" s="1547">
        <v>11</v>
      </c>
      <c r="V38" s="1548"/>
      <c r="W38" s="1547">
        <v>10</v>
      </c>
      <c r="X38" s="1548"/>
      <c r="Y38" s="1548"/>
      <c r="Z38" s="1548"/>
      <c r="AA38" s="1548">
        <f>'[11]Table 5A5_SSD'!C39</f>
        <v>1</v>
      </c>
      <c r="AB38" s="1549">
        <v>3</v>
      </c>
      <c r="AC38" s="1548"/>
      <c r="AD38" s="1548">
        <f t="shared" si="0"/>
        <v>6462</v>
      </c>
      <c r="AE38" s="1405"/>
      <c r="AF38" s="1615"/>
      <c r="AG38" s="1615"/>
      <c r="AH38" s="1615"/>
      <c r="AI38" s="1615"/>
      <c r="AJ38" s="1615"/>
      <c r="AK38" s="1615"/>
      <c r="AL38" s="1615"/>
      <c r="AM38" s="1615"/>
      <c r="AN38" s="1615"/>
      <c r="AO38" s="1615"/>
      <c r="AP38" s="1615"/>
      <c r="AQ38" s="1615"/>
      <c r="AR38" s="1615"/>
      <c r="AS38" s="1615"/>
      <c r="AT38" s="1615"/>
      <c r="AU38" s="1615"/>
      <c r="AV38" s="1615"/>
      <c r="AW38" s="1615"/>
      <c r="AX38" s="1616"/>
      <c r="AY38" s="1615"/>
      <c r="AZ38" s="1615"/>
      <c r="BA38" s="1615"/>
      <c r="BB38" s="1615"/>
      <c r="BC38" s="1615"/>
      <c r="BD38" s="1615"/>
      <c r="BE38" s="1615"/>
      <c r="BF38" s="1615"/>
      <c r="BG38" s="1615"/>
      <c r="BH38" s="1616"/>
      <c r="BI38" s="1616"/>
      <c r="BJ38" s="1615"/>
    </row>
    <row r="39" spans="1:62" ht="14.1" customHeight="1">
      <c r="A39" s="1403" t="s">
        <v>1286</v>
      </c>
      <c r="B39" s="1403" t="s">
        <v>1287</v>
      </c>
      <c r="C39" s="1403" t="s">
        <v>1288</v>
      </c>
      <c r="D39" s="1570">
        <v>40940</v>
      </c>
      <c r="E39" s="1585" t="s">
        <v>409</v>
      </c>
      <c r="F39" s="1577" t="s">
        <v>410</v>
      </c>
      <c r="G39" s="1535">
        <v>10644</v>
      </c>
      <c r="H39" s="1542"/>
      <c r="I39" s="1535">
        <v>22270</v>
      </c>
      <c r="J39" s="1535">
        <v>6114</v>
      </c>
      <c r="K39" s="1542"/>
      <c r="L39" s="1542"/>
      <c r="M39" s="1535">
        <v>396</v>
      </c>
      <c r="N39" s="1542"/>
      <c r="O39" s="1542"/>
      <c r="P39" s="1535">
        <v>194</v>
      </c>
      <c r="Q39" s="1535">
        <v>329</v>
      </c>
      <c r="R39" s="1542"/>
      <c r="S39" s="1542"/>
      <c r="T39" s="1542"/>
      <c r="U39" s="1535">
        <v>76</v>
      </c>
      <c r="V39" s="1535">
        <v>275</v>
      </c>
      <c r="W39" s="1535">
        <v>14</v>
      </c>
      <c r="X39" s="1542"/>
      <c r="Y39" s="1535">
        <v>43</v>
      </c>
      <c r="Z39" s="1535">
        <v>52</v>
      </c>
      <c r="AA39" s="1535">
        <f>'[11]Table 5A5_SSD'!C40</f>
        <v>39</v>
      </c>
      <c r="AB39" s="1535">
        <v>9</v>
      </c>
      <c r="AC39" s="1535">
        <v>2250</v>
      </c>
      <c r="AD39" s="1535">
        <f t="shared" si="0"/>
        <v>42705</v>
      </c>
      <c r="AE39" s="1405"/>
      <c r="AF39" s="1615"/>
      <c r="AG39" s="1616"/>
      <c r="AH39" s="1615"/>
      <c r="AI39" s="1615"/>
      <c r="AJ39" s="1615"/>
      <c r="AK39" s="1616"/>
      <c r="AL39" s="1616"/>
      <c r="AM39" s="1616"/>
      <c r="AN39" s="1615"/>
      <c r="AO39" s="1616"/>
      <c r="AP39" s="1615"/>
      <c r="AQ39" s="1615"/>
      <c r="AR39" s="1616"/>
      <c r="AS39" s="1616"/>
      <c r="AT39" s="1616"/>
      <c r="AU39" s="1615"/>
      <c r="AV39" s="1615"/>
      <c r="AW39" s="1615"/>
      <c r="AX39" s="1615"/>
      <c r="AY39" s="1615"/>
      <c r="AZ39" s="1615"/>
      <c r="BA39" s="1616"/>
      <c r="BB39" s="1615"/>
      <c r="BC39" s="1615"/>
      <c r="BD39" s="1615"/>
      <c r="BE39" s="1615"/>
      <c r="BF39" s="1615"/>
      <c r="BG39" s="1616"/>
      <c r="BH39" s="1616"/>
      <c r="BI39" s="1616"/>
      <c r="BJ39" s="1616"/>
    </row>
    <row r="40" spans="1:62" ht="14.1" customHeight="1">
      <c r="A40" s="1403" t="s">
        <v>1286</v>
      </c>
      <c r="B40" s="1403" t="s">
        <v>1287</v>
      </c>
      <c r="C40" s="1403" t="s">
        <v>1288</v>
      </c>
      <c r="D40" s="1570">
        <v>40940</v>
      </c>
      <c r="E40" s="1585" t="s">
        <v>411</v>
      </c>
      <c r="F40" s="1577" t="s">
        <v>412</v>
      </c>
      <c r="G40" s="1535">
        <v>19222</v>
      </c>
      <c r="H40" s="1542"/>
      <c r="I40" s="1542"/>
      <c r="J40" s="1542"/>
      <c r="K40" s="1535">
        <v>141</v>
      </c>
      <c r="L40" s="1542"/>
      <c r="M40" s="1542"/>
      <c r="N40" s="1542"/>
      <c r="O40" s="1542"/>
      <c r="P40" s="1542"/>
      <c r="Q40" s="1542"/>
      <c r="R40" s="1542"/>
      <c r="S40" s="1535">
        <v>6</v>
      </c>
      <c r="T40" s="1542"/>
      <c r="U40" s="1535">
        <v>23</v>
      </c>
      <c r="V40" s="1542"/>
      <c r="W40" s="1535">
        <v>10</v>
      </c>
      <c r="X40" s="1542"/>
      <c r="Y40" s="1542"/>
      <c r="Z40" s="1542"/>
      <c r="AA40" s="1542">
        <f>'[11]Table 5A5_SSD'!C41</f>
        <v>7</v>
      </c>
      <c r="AB40" s="1537">
        <v>3</v>
      </c>
      <c r="AC40" s="1542"/>
      <c r="AD40" s="1542">
        <f t="shared" si="0"/>
        <v>19412</v>
      </c>
      <c r="AE40" s="1405"/>
      <c r="AF40" s="1615"/>
      <c r="AG40" s="1616"/>
      <c r="AH40" s="1615"/>
      <c r="AI40" s="1615"/>
      <c r="AJ40" s="1615"/>
      <c r="AK40" s="1615"/>
      <c r="AL40" s="1616"/>
      <c r="AM40" s="1615"/>
      <c r="AN40" s="1615"/>
      <c r="AO40" s="1615"/>
      <c r="AP40" s="1615"/>
      <c r="AQ40" s="1615"/>
      <c r="AR40" s="1615"/>
      <c r="AS40" s="1615"/>
      <c r="AT40" s="1615"/>
      <c r="AU40" s="1615"/>
      <c r="AV40" s="1615"/>
      <c r="AW40" s="1615"/>
      <c r="AX40" s="1615"/>
      <c r="AY40" s="1615"/>
      <c r="AZ40" s="1615"/>
      <c r="BA40" s="1615"/>
      <c r="BB40" s="1615"/>
      <c r="BC40" s="1615"/>
      <c r="BD40" s="1615"/>
      <c r="BE40" s="1615"/>
      <c r="BF40" s="1615"/>
      <c r="BG40" s="1615"/>
      <c r="BH40" s="1615"/>
      <c r="BI40" s="1615"/>
      <c r="BJ40" s="1616"/>
    </row>
    <row r="41" spans="1:62" ht="14.1" customHeight="1">
      <c r="A41" s="1403" t="s">
        <v>1286</v>
      </c>
      <c r="B41" s="1403" t="s">
        <v>1287</v>
      </c>
      <c r="C41" s="1403" t="s">
        <v>1288</v>
      </c>
      <c r="D41" s="1570">
        <v>40940</v>
      </c>
      <c r="E41" s="1585" t="s">
        <v>413</v>
      </c>
      <c r="F41" s="1577" t="s">
        <v>414</v>
      </c>
      <c r="G41" s="1535">
        <v>3750</v>
      </c>
      <c r="H41" s="1542"/>
      <c r="I41" s="1542"/>
      <c r="J41" s="1542"/>
      <c r="K41" s="1542"/>
      <c r="L41" s="1542"/>
      <c r="M41" s="1535">
        <v>1</v>
      </c>
      <c r="N41" s="1542"/>
      <c r="O41" s="1542"/>
      <c r="P41" s="1535">
        <v>464</v>
      </c>
      <c r="Q41" s="1542"/>
      <c r="R41" s="1542"/>
      <c r="S41" s="1542"/>
      <c r="T41" s="1542"/>
      <c r="U41" s="1535">
        <v>4</v>
      </c>
      <c r="V41" s="1542"/>
      <c r="W41" s="1542"/>
      <c r="X41" s="1542"/>
      <c r="Y41" s="1542"/>
      <c r="Z41" s="1535">
        <v>5</v>
      </c>
      <c r="AA41" s="1535">
        <f>'[11]Table 5A5_SSD'!C42</f>
        <v>0</v>
      </c>
      <c r="AB41" s="1537"/>
      <c r="AC41" s="1535"/>
      <c r="AD41" s="1535">
        <f t="shared" si="0"/>
        <v>4224</v>
      </c>
      <c r="AE41" s="1405"/>
      <c r="AF41" s="1615"/>
      <c r="AG41" s="1615"/>
      <c r="AH41" s="1615"/>
      <c r="AI41" s="1615"/>
      <c r="AJ41" s="1615"/>
      <c r="AK41" s="1615"/>
      <c r="AL41" s="1615"/>
      <c r="AM41" s="1615"/>
      <c r="AN41" s="1615"/>
      <c r="AO41" s="1615"/>
      <c r="AP41" s="1615"/>
      <c r="AQ41" s="1615"/>
      <c r="AR41" s="1615"/>
      <c r="AS41" s="1615"/>
      <c r="AT41" s="1615"/>
      <c r="AU41" s="1615"/>
      <c r="AV41" s="1615"/>
      <c r="AW41" s="1615"/>
      <c r="AX41" s="1615"/>
      <c r="AY41" s="1615"/>
      <c r="AZ41" s="1615"/>
      <c r="BA41" s="1615"/>
      <c r="BB41" s="1615"/>
      <c r="BC41" s="1615"/>
      <c r="BD41" s="1615"/>
      <c r="BE41" s="1615"/>
      <c r="BF41" s="1615"/>
      <c r="BG41" s="1615"/>
      <c r="BH41" s="1615"/>
      <c r="BI41" s="1615"/>
      <c r="BJ41" s="1615"/>
    </row>
    <row r="42" spans="1:62" ht="14.1" customHeight="1">
      <c r="A42" s="1403" t="s">
        <v>1286</v>
      </c>
      <c r="B42" s="1403" t="s">
        <v>1287</v>
      </c>
      <c r="C42" s="1403" t="s">
        <v>1288</v>
      </c>
      <c r="D42" s="1570">
        <v>40940</v>
      </c>
      <c r="E42" s="1585" t="s">
        <v>415</v>
      </c>
      <c r="F42" s="1577" t="s">
        <v>416</v>
      </c>
      <c r="G42" s="1535">
        <v>2582</v>
      </c>
      <c r="H42" s="1535">
        <v>277</v>
      </c>
      <c r="I42" s="1542"/>
      <c r="J42" s="1542"/>
      <c r="K42" s="1542"/>
      <c r="L42" s="1542"/>
      <c r="M42" s="1542"/>
      <c r="N42" s="1535">
        <v>2</v>
      </c>
      <c r="O42" s="1542"/>
      <c r="P42" s="1542"/>
      <c r="Q42" s="1542"/>
      <c r="R42" s="1542"/>
      <c r="S42" s="1542"/>
      <c r="T42" s="1542"/>
      <c r="U42" s="1535">
        <v>7</v>
      </c>
      <c r="V42" s="1542"/>
      <c r="W42" s="1535">
        <v>6</v>
      </c>
      <c r="X42" s="1542"/>
      <c r="Y42" s="1542"/>
      <c r="Z42" s="1542"/>
      <c r="AA42" s="1542">
        <f>'[11]Table 5A5_SSD'!C43</f>
        <v>1</v>
      </c>
      <c r="AB42" s="1537">
        <v>7</v>
      </c>
      <c r="AC42" s="1542"/>
      <c r="AD42" s="1542">
        <f t="shared" si="0"/>
        <v>2882</v>
      </c>
      <c r="AE42" s="1405"/>
      <c r="AF42" s="1615"/>
      <c r="AG42" s="1615"/>
      <c r="AH42" s="1615"/>
      <c r="AI42" s="1615"/>
      <c r="AJ42" s="1615"/>
      <c r="AK42" s="1615"/>
      <c r="AL42" s="1615"/>
      <c r="AM42" s="1615"/>
      <c r="AN42" s="1615"/>
      <c r="AO42" s="1616"/>
      <c r="AP42" s="1615"/>
      <c r="AQ42" s="1615"/>
      <c r="AR42" s="1615"/>
      <c r="AS42" s="1615"/>
      <c r="AT42" s="1615"/>
      <c r="AU42" s="1615"/>
      <c r="AV42" s="1615"/>
      <c r="AW42" s="1615"/>
      <c r="AX42" s="1615"/>
      <c r="AY42" s="1615"/>
      <c r="AZ42" s="1615"/>
      <c r="BA42" s="1615"/>
      <c r="BB42" s="1615"/>
      <c r="BC42" s="1615"/>
      <c r="BD42" s="1615"/>
      <c r="BE42" s="1615"/>
      <c r="BF42" s="1615"/>
      <c r="BG42" s="1615"/>
      <c r="BH42" s="1616"/>
      <c r="BI42" s="1615"/>
      <c r="BJ42" s="1616"/>
    </row>
    <row r="43" spans="1:62" ht="14.1" customHeight="1">
      <c r="A43" s="1546" t="s">
        <v>1286</v>
      </c>
      <c r="B43" s="1546" t="s">
        <v>1287</v>
      </c>
      <c r="C43" s="1546" t="s">
        <v>1288</v>
      </c>
      <c r="D43" s="1571">
        <v>40940</v>
      </c>
      <c r="E43" s="1586" t="s">
        <v>417</v>
      </c>
      <c r="F43" s="1578" t="s">
        <v>418</v>
      </c>
      <c r="G43" s="1547">
        <v>22934</v>
      </c>
      <c r="H43" s="1548"/>
      <c r="I43" s="1548"/>
      <c r="J43" s="1548"/>
      <c r="K43" s="1548"/>
      <c r="L43" s="1548"/>
      <c r="M43" s="1548"/>
      <c r="N43" s="1547">
        <v>4</v>
      </c>
      <c r="O43" s="1548"/>
      <c r="P43" s="1548"/>
      <c r="Q43" s="1548"/>
      <c r="R43" s="1548"/>
      <c r="S43" s="1548"/>
      <c r="T43" s="1548"/>
      <c r="U43" s="1547">
        <v>31</v>
      </c>
      <c r="V43" s="1548"/>
      <c r="W43" s="1547">
        <v>24</v>
      </c>
      <c r="X43" s="1548"/>
      <c r="Y43" s="1548"/>
      <c r="Z43" s="1548"/>
      <c r="AA43" s="1548">
        <f>'[11]Table 5A5_SSD'!C44</f>
        <v>24</v>
      </c>
      <c r="AB43" s="1549">
        <v>4</v>
      </c>
      <c r="AC43" s="1548"/>
      <c r="AD43" s="1548">
        <f t="shared" si="0"/>
        <v>23021</v>
      </c>
      <c r="AE43" s="1405"/>
      <c r="AF43" s="1615"/>
      <c r="AG43" s="1615"/>
      <c r="AH43" s="1615"/>
      <c r="AI43" s="1615"/>
      <c r="AJ43" s="1615"/>
      <c r="AK43" s="1615"/>
      <c r="AL43" s="1615"/>
      <c r="AM43" s="1615"/>
      <c r="AN43" s="1615"/>
      <c r="AO43" s="1615"/>
      <c r="AP43" s="1615"/>
      <c r="AQ43" s="1615"/>
      <c r="AR43" s="1615"/>
      <c r="AS43" s="1615"/>
      <c r="AT43" s="1615"/>
      <c r="AU43" s="1615"/>
      <c r="AV43" s="1615"/>
      <c r="AW43" s="1615"/>
      <c r="AX43" s="1616"/>
      <c r="AY43" s="1615"/>
      <c r="AZ43" s="1615"/>
      <c r="BA43" s="1615"/>
      <c r="BB43" s="1615"/>
      <c r="BC43" s="1615"/>
      <c r="BD43" s="1615"/>
      <c r="BE43" s="1615"/>
      <c r="BF43" s="1615"/>
      <c r="BG43" s="1615"/>
      <c r="BH43" s="1616"/>
      <c r="BI43" s="1616"/>
      <c r="BJ43" s="1615"/>
    </row>
    <row r="44" spans="1:62" ht="14.1" customHeight="1">
      <c r="A44" s="1403" t="s">
        <v>1286</v>
      </c>
      <c r="B44" s="1403" t="s">
        <v>1287</v>
      </c>
      <c r="C44" s="1403" t="s">
        <v>1288</v>
      </c>
      <c r="D44" s="1570">
        <v>40940</v>
      </c>
      <c r="E44" s="1585" t="s">
        <v>419</v>
      </c>
      <c r="F44" s="1577" t="s">
        <v>420</v>
      </c>
      <c r="G44" s="1535">
        <v>1401</v>
      </c>
      <c r="H44" s="1542"/>
      <c r="I44" s="1542"/>
      <c r="J44" s="1542"/>
      <c r="K44" s="1542"/>
      <c r="L44" s="1542"/>
      <c r="M44" s="1542"/>
      <c r="N44" s="1542"/>
      <c r="O44" s="1542"/>
      <c r="P44" s="1542"/>
      <c r="Q44" s="1542"/>
      <c r="R44" s="1542"/>
      <c r="S44" s="1542"/>
      <c r="T44" s="1542"/>
      <c r="U44" s="1535">
        <v>2</v>
      </c>
      <c r="V44" s="1542"/>
      <c r="W44" s="1535">
        <v>1</v>
      </c>
      <c r="X44" s="1542"/>
      <c r="Y44" s="1542"/>
      <c r="Z44" s="1542"/>
      <c r="AA44" s="1542">
        <f>'[11]Table 5A5_SSD'!C45</f>
        <v>2</v>
      </c>
      <c r="AB44" s="1537">
        <v>1</v>
      </c>
      <c r="AC44" s="1542"/>
      <c r="AD44" s="1542">
        <f t="shared" si="0"/>
        <v>1407</v>
      </c>
      <c r="AE44" s="1405"/>
      <c r="AF44" s="1615"/>
      <c r="AG44" s="1615"/>
      <c r="AH44" s="1615"/>
      <c r="AI44" s="1615"/>
      <c r="AJ44" s="1616"/>
      <c r="AK44" s="1615"/>
      <c r="AL44" s="1615"/>
      <c r="AM44" s="1615"/>
      <c r="AN44" s="1615"/>
      <c r="AO44" s="1615"/>
      <c r="AP44" s="1615"/>
      <c r="AQ44" s="1615"/>
      <c r="AR44" s="1615"/>
      <c r="AS44" s="1615"/>
      <c r="AT44" s="1615"/>
      <c r="AU44" s="1615"/>
      <c r="AV44" s="1615"/>
      <c r="AW44" s="1615"/>
      <c r="AX44" s="1615"/>
      <c r="AY44" s="1615"/>
      <c r="AZ44" s="1615"/>
      <c r="BA44" s="1615"/>
      <c r="BB44" s="1615"/>
      <c r="BC44" s="1615"/>
      <c r="BD44" s="1615"/>
      <c r="BE44" s="1615"/>
      <c r="BF44" s="1615"/>
      <c r="BG44" s="1615"/>
      <c r="BH44" s="1615"/>
      <c r="BI44" s="1615"/>
      <c r="BJ44" s="1615"/>
    </row>
    <row r="45" spans="1:62" ht="14.1" customHeight="1">
      <c r="A45" s="1403" t="s">
        <v>1286</v>
      </c>
      <c r="B45" s="1403" t="s">
        <v>1287</v>
      </c>
      <c r="C45" s="1403" t="s">
        <v>1288</v>
      </c>
      <c r="D45" s="1570">
        <v>40940</v>
      </c>
      <c r="E45" s="1585" t="s">
        <v>421</v>
      </c>
      <c r="F45" s="1577" t="s">
        <v>422</v>
      </c>
      <c r="G45" s="1535">
        <v>3424</v>
      </c>
      <c r="H45" s="1542"/>
      <c r="I45" s="1542"/>
      <c r="J45" s="1542"/>
      <c r="K45" s="1535">
        <v>2</v>
      </c>
      <c r="L45" s="1542"/>
      <c r="M45" s="1542"/>
      <c r="N45" s="1542"/>
      <c r="O45" s="1535">
        <v>394</v>
      </c>
      <c r="P45" s="1542"/>
      <c r="Q45" s="1542"/>
      <c r="R45" s="1542"/>
      <c r="S45" s="1542"/>
      <c r="T45" s="1542"/>
      <c r="U45" s="1535">
        <v>11</v>
      </c>
      <c r="V45" s="1542"/>
      <c r="W45" s="1542"/>
      <c r="X45" s="1542"/>
      <c r="Y45" s="1542"/>
      <c r="Z45" s="1542"/>
      <c r="AA45" s="1542">
        <f>'[11]Table 5A5_SSD'!C46</f>
        <v>1</v>
      </c>
      <c r="AB45" s="1537"/>
      <c r="AC45" s="1542"/>
      <c r="AD45" s="1542">
        <f t="shared" si="0"/>
        <v>3832</v>
      </c>
      <c r="AE45" s="1405"/>
      <c r="AF45" s="1615"/>
      <c r="AG45" s="1615"/>
      <c r="AH45" s="1615"/>
      <c r="AI45" s="1615"/>
      <c r="AJ45" s="1615"/>
      <c r="AK45" s="1615"/>
      <c r="AL45" s="1615"/>
      <c r="AM45" s="1615"/>
      <c r="AN45" s="1615"/>
      <c r="AO45" s="1615"/>
      <c r="AP45" s="1615"/>
      <c r="AQ45" s="1615"/>
      <c r="AR45" s="1615"/>
      <c r="AS45" s="1615"/>
      <c r="AT45" s="1615"/>
      <c r="AU45" s="1615"/>
      <c r="AV45" s="1615"/>
      <c r="AW45" s="1615"/>
      <c r="AX45" s="1615"/>
      <c r="AY45" s="1615"/>
      <c r="AZ45" s="1615"/>
      <c r="BA45" s="1615"/>
      <c r="BB45" s="1615"/>
      <c r="BC45" s="1615"/>
      <c r="BD45" s="1615"/>
      <c r="BE45" s="1615"/>
      <c r="BF45" s="1615"/>
      <c r="BG45" s="1615"/>
      <c r="BH45" s="1615"/>
      <c r="BI45" s="1615"/>
      <c r="BJ45" s="1616"/>
    </row>
    <row r="46" spans="1:62" ht="14.1" customHeight="1">
      <c r="A46" s="1403" t="s">
        <v>1286</v>
      </c>
      <c r="B46" s="1403" t="s">
        <v>1287</v>
      </c>
      <c r="C46" s="1403" t="s">
        <v>1288</v>
      </c>
      <c r="D46" s="1570">
        <v>40940</v>
      </c>
      <c r="E46" s="1585" t="s">
        <v>423</v>
      </c>
      <c r="F46" s="1577" t="s">
        <v>424</v>
      </c>
      <c r="G46" s="1535">
        <v>3965</v>
      </c>
      <c r="H46" s="1542"/>
      <c r="I46" s="1542"/>
      <c r="J46" s="1542"/>
      <c r="K46" s="1542"/>
      <c r="L46" s="1542"/>
      <c r="M46" s="1542"/>
      <c r="N46" s="1542"/>
      <c r="O46" s="1542"/>
      <c r="P46" s="1542"/>
      <c r="Q46" s="1542"/>
      <c r="R46" s="1542"/>
      <c r="S46" s="1542"/>
      <c r="T46" s="1542"/>
      <c r="U46" s="1535">
        <v>15</v>
      </c>
      <c r="V46" s="1542"/>
      <c r="W46" s="1535">
        <v>6</v>
      </c>
      <c r="X46" s="1542"/>
      <c r="Y46" s="1542"/>
      <c r="Z46" s="1542"/>
      <c r="AA46" s="1542">
        <f>'[11]Table 5A5_SSD'!C47</f>
        <v>0</v>
      </c>
      <c r="AB46" s="1537">
        <v>1</v>
      </c>
      <c r="AC46" s="1542"/>
      <c r="AD46" s="1542">
        <f t="shared" si="0"/>
        <v>3987</v>
      </c>
      <c r="AE46" s="1405"/>
      <c r="AF46" s="1615"/>
      <c r="AG46" s="1615"/>
      <c r="AH46" s="1615"/>
      <c r="AI46" s="1615"/>
      <c r="AJ46" s="1615"/>
      <c r="AK46" s="1615"/>
      <c r="AL46" s="1615"/>
      <c r="AM46" s="1615"/>
      <c r="AN46" s="1615"/>
      <c r="AO46" s="1615"/>
      <c r="AP46" s="1615"/>
      <c r="AQ46" s="1615"/>
      <c r="AR46" s="1615"/>
      <c r="AS46" s="1615"/>
      <c r="AT46" s="1615"/>
      <c r="AU46" s="1615"/>
      <c r="AV46" s="1615"/>
      <c r="AW46" s="1615"/>
      <c r="AX46" s="1615"/>
      <c r="AY46" s="1615"/>
      <c r="AZ46" s="1615"/>
      <c r="BA46" s="1615"/>
      <c r="BB46" s="1615"/>
      <c r="BC46" s="1615"/>
      <c r="BD46" s="1615"/>
      <c r="BE46" s="1615"/>
      <c r="BF46" s="1615"/>
      <c r="BG46" s="1615"/>
      <c r="BH46" s="1615"/>
      <c r="BI46" s="1615"/>
      <c r="BJ46" s="1615"/>
    </row>
    <row r="47" spans="1:62" ht="14.1" customHeight="1">
      <c r="A47" s="1403" t="s">
        <v>1286</v>
      </c>
      <c r="B47" s="1403" t="s">
        <v>1287</v>
      </c>
      <c r="C47" s="1403" t="s">
        <v>1288</v>
      </c>
      <c r="D47" s="1570">
        <v>40940</v>
      </c>
      <c r="E47" s="1585" t="s">
        <v>425</v>
      </c>
      <c r="F47" s="1577" t="s">
        <v>426</v>
      </c>
      <c r="G47" s="1535">
        <v>5846</v>
      </c>
      <c r="H47" s="1542"/>
      <c r="I47" s="1542"/>
      <c r="J47" s="1542"/>
      <c r="K47" s="1542"/>
      <c r="L47" s="1542"/>
      <c r="M47" s="1535">
        <v>12</v>
      </c>
      <c r="N47" s="1542"/>
      <c r="O47" s="1542"/>
      <c r="P47" s="1542"/>
      <c r="Q47" s="1535">
        <v>1</v>
      </c>
      <c r="R47" s="1542"/>
      <c r="S47" s="1542"/>
      <c r="T47" s="1542"/>
      <c r="U47" s="1535">
        <v>5</v>
      </c>
      <c r="V47" s="1535">
        <v>1</v>
      </c>
      <c r="W47" s="1535">
        <v>4</v>
      </c>
      <c r="X47" s="1542"/>
      <c r="Y47" s="1542"/>
      <c r="Z47" s="1542"/>
      <c r="AA47" s="1542">
        <f>'[11]Table 5A5_SSD'!C48</f>
        <v>2</v>
      </c>
      <c r="AB47" s="1537">
        <v>5</v>
      </c>
      <c r="AC47" s="1542"/>
      <c r="AD47" s="1542">
        <f t="shared" si="0"/>
        <v>5876</v>
      </c>
      <c r="AE47" s="1405"/>
      <c r="AF47" s="1615"/>
      <c r="AG47" s="1615"/>
      <c r="AH47" s="1615"/>
      <c r="AI47" s="1615"/>
      <c r="AJ47" s="1615"/>
      <c r="AK47" s="1616"/>
      <c r="AL47" s="1616"/>
      <c r="AM47" s="1615"/>
      <c r="AN47" s="1615"/>
      <c r="AO47" s="1615"/>
      <c r="AP47" s="1615"/>
      <c r="AQ47" s="1615"/>
      <c r="AR47" s="1615"/>
      <c r="AS47" s="1615"/>
      <c r="AT47" s="1615"/>
      <c r="AU47" s="1615"/>
      <c r="AV47" s="1615"/>
      <c r="AW47" s="1615"/>
      <c r="AX47" s="1615"/>
      <c r="AY47" s="1615"/>
      <c r="AZ47" s="1615"/>
      <c r="BA47" s="1615"/>
      <c r="BB47" s="1615"/>
      <c r="BC47" s="1615"/>
      <c r="BD47" s="1615"/>
      <c r="BE47" s="1615"/>
      <c r="BF47" s="1615"/>
      <c r="BG47" s="1615"/>
      <c r="BH47" s="1615"/>
      <c r="BI47" s="1615"/>
      <c r="BJ47" s="1615"/>
    </row>
    <row r="48" spans="1:62" ht="14.1" customHeight="1">
      <c r="A48" s="1546" t="s">
        <v>1286</v>
      </c>
      <c r="B48" s="1546" t="s">
        <v>1287</v>
      </c>
      <c r="C48" s="1546" t="s">
        <v>1288</v>
      </c>
      <c r="D48" s="1571">
        <v>40940</v>
      </c>
      <c r="E48" s="1586" t="s">
        <v>427</v>
      </c>
      <c r="F48" s="1578" t="s">
        <v>428</v>
      </c>
      <c r="G48" s="1547">
        <v>9402</v>
      </c>
      <c r="H48" s="1548"/>
      <c r="I48" s="1548"/>
      <c r="J48" s="1548"/>
      <c r="K48" s="1548"/>
      <c r="L48" s="1548"/>
      <c r="M48" s="1548">
        <v>5</v>
      </c>
      <c r="N48" s="1547"/>
      <c r="O48" s="1548"/>
      <c r="P48" s="1548">
        <v>1</v>
      </c>
      <c r="Q48" s="1548"/>
      <c r="R48" s="1548">
        <v>4</v>
      </c>
      <c r="S48" s="1548"/>
      <c r="T48" s="1548"/>
      <c r="U48" s="1547">
        <v>2</v>
      </c>
      <c r="V48" s="1548">
        <v>2</v>
      </c>
      <c r="W48" s="1547">
        <v>6</v>
      </c>
      <c r="X48" s="1548"/>
      <c r="Y48" s="1548"/>
      <c r="Z48" s="1548">
        <v>1</v>
      </c>
      <c r="AA48" s="1548">
        <f>'[11]Table 5A5_SSD'!C49</f>
        <v>4</v>
      </c>
      <c r="AB48" s="1549"/>
      <c r="AC48" s="1548"/>
      <c r="AD48" s="1548">
        <f t="shared" si="0"/>
        <v>9427</v>
      </c>
      <c r="AE48" s="1405"/>
      <c r="AF48" s="1615"/>
      <c r="AG48" s="1615"/>
      <c r="AH48" s="1615"/>
      <c r="AI48" s="1615"/>
      <c r="AJ48" s="1615"/>
      <c r="AK48" s="1615"/>
      <c r="AL48" s="1615"/>
      <c r="AM48" s="1615"/>
      <c r="AN48" s="1615"/>
      <c r="AO48" s="1615"/>
      <c r="AP48" s="1615"/>
      <c r="AQ48" s="1615"/>
      <c r="AR48" s="1615"/>
      <c r="AS48" s="1615"/>
      <c r="AT48" s="1615"/>
      <c r="AU48" s="1615"/>
      <c r="AV48" s="1615"/>
      <c r="AW48" s="1615"/>
      <c r="AX48" s="1616"/>
      <c r="AY48" s="1615"/>
      <c r="AZ48" s="1615"/>
      <c r="BA48" s="1615"/>
      <c r="BB48" s="1615"/>
      <c r="BC48" s="1615"/>
      <c r="BD48" s="1615"/>
      <c r="BE48" s="1615"/>
      <c r="BF48" s="1615"/>
      <c r="BG48" s="1615"/>
      <c r="BH48" s="1616"/>
      <c r="BI48" s="1616"/>
      <c r="BJ48" s="1615"/>
    </row>
    <row r="49" spans="1:62" ht="14.1" customHeight="1">
      <c r="A49" s="1403" t="s">
        <v>1286</v>
      </c>
      <c r="B49" s="1403" t="s">
        <v>1287</v>
      </c>
      <c r="C49" s="1403" t="s">
        <v>1288</v>
      </c>
      <c r="D49" s="1570">
        <v>40940</v>
      </c>
      <c r="E49" s="1585" t="s">
        <v>429</v>
      </c>
      <c r="F49" s="1577" t="s">
        <v>430</v>
      </c>
      <c r="G49" s="1535">
        <v>760</v>
      </c>
      <c r="H49" s="1542"/>
      <c r="I49" s="1542"/>
      <c r="J49" s="1535">
        <v>336</v>
      </c>
      <c r="K49" s="1542"/>
      <c r="L49" s="1542"/>
      <c r="M49" s="1542"/>
      <c r="N49" s="1542"/>
      <c r="O49" s="1542"/>
      <c r="P49" s="1542"/>
      <c r="Q49" s="1542"/>
      <c r="R49" s="1542"/>
      <c r="S49" s="1542"/>
      <c r="T49" s="1542"/>
      <c r="U49" s="1535">
        <v>7</v>
      </c>
      <c r="V49" s="1542"/>
      <c r="W49" s="1542"/>
      <c r="X49" s="1542"/>
      <c r="Y49" s="1542"/>
      <c r="Z49" s="1542"/>
      <c r="AA49" s="1542">
        <f>'[11]Table 5A5_SSD'!C50</f>
        <v>0</v>
      </c>
      <c r="AB49" s="1537"/>
      <c r="AC49" s="1542"/>
      <c r="AD49" s="1542">
        <f t="shared" si="0"/>
        <v>1103</v>
      </c>
      <c r="AE49" s="1405"/>
      <c r="AF49" s="1615"/>
      <c r="AG49" s="1615"/>
      <c r="AH49" s="1615"/>
      <c r="AI49" s="1615"/>
      <c r="AJ49" s="1615"/>
      <c r="AK49" s="1615"/>
      <c r="AL49" s="1615"/>
      <c r="AM49" s="1615"/>
      <c r="AN49" s="1615"/>
      <c r="AO49" s="1615"/>
      <c r="AP49" s="1615"/>
      <c r="AQ49" s="1615"/>
      <c r="AR49" s="1615"/>
      <c r="AS49" s="1615"/>
      <c r="AT49" s="1615"/>
      <c r="AU49" s="1615"/>
      <c r="AV49" s="1615"/>
      <c r="AW49" s="1615"/>
      <c r="AX49" s="1615"/>
      <c r="AY49" s="1615"/>
      <c r="AZ49" s="1615"/>
      <c r="BA49" s="1615"/>
      <c r="BB49" s="1615"/>
      <c r="BC49" s="1615"/>
      <c r="BD49" s="1615"/>
      <c r="BE49" s="1615"/>
      <c r="BF49" s="1615"/>
      <c r="BG49" s="1615"/>
      <c r="BH49" s="1615"/>
      <c r="BI49" s="1615"/>
      <c r="BJ49" s="1615"/>
    </row>
    <row r="50" spans="1:62" ht="14.1" customHeight="1">
      <c r="A50" s="1403" t="s">
        <v>1286</v>
      </c>
      <c r="B50" s="1403" t="s">
        <v>1287</v>
      </c>
      <c r="C50" s="1403" t="s">
        <v>1288</v>
      </c>
      <c r="D50" s="1570">
        <v>40940</v>
      </c>
      <c r="E50" s="1585" t="s">
        <v>431</v>
      </c>
      <c r="F50" s="1577" t="s">
        <v>432</v>
      </c>
      <c r="G50" s="1535">
        <v>3636</v>
      </c>
      <c r="H50" s="1542"/>
      <c r="I50" s="1542"/>
      <c r="J50" s="1542"/>
      <c r="K50" s="1542"/>
      <c r="L50" s="1542"/>
      <c r="M50" s="1542"/>
      <c r="N50" s="1542"/>
      <c r="O50" s="1542"/>
      <c r="P50" s="1542"/>
      <c r="Q50" s="1542"/>
      <c r="R50" s="1535">
        <v>4</v>
      </c>
      <c r="S50" s="1542"/>
      <c r="T50" s="1542"/>
      <c r="U50" s="1535">
        <v>3</v>
      </c>
      <c r="V50" s="1542"/>
      <c r="W50" s="1542"/>
      <c r="X50" s="1542"/>
      <c r="Y50" s="1542"/>
      <c r="Z50" s="1542"/>
      <c r="AA50" s="1542">
        <f>'[11]Table 5A5_SSD'!C51</f>
        <v>0</v>
      </c>
      <c r="AB50" s="1537">
        <v>1</v>
      </c>
      <c r="AC50" s="1542"/>
      <c r="AD50" s="1542">
        <f t="shared" si="0"/>
        <v>3644</v>
      </c>
      <c r="AE50" s="1405"/>
      <c r="AF50" s="1615"/>
      <c r="AG50" s="1615"/>
      <c r="AH50" s="1615"/>
      <c r="AI50" s="1615"/>
      <c r="AJ50" s="1615"/>
      <c r="AK50" s="1615"/>
      <c r="AL50" s="1615"/>
      <c r="AM50" s="1615"/>
      <c r="AN50" s="1615"/>
      <c r="AO50" s="1615"/>
      <c r="AP50" s="1615"/>
      <c r="AQ50" s="1615"/>
      <c r="AR50" s="1615"/>
      <c r="AS50" s="1615"/>
      <c r="AT50" s="1615"/>
      <c r="AU50" s="1615"/>
      <c r="AV50" s="1615"/>
      <c r="AW50" s="1615"/>
      <c r="AX50" s="1615"/>
      <c r="AY50" s="1615"/>
      <c r="AZ50" s="1615"/>
      <c r="BA50" s="1615"/>
      <c r="BB50" s="1615"/>
      <c r="BC50" s="1615"/>
      <c r="BD50" s="1615"/>
      <c r="BE50" s="1615"/>
      <c r="BF50" s="1615"/>
      <c r="BG50" s="1615"/>
      <c r="BH50" s="1615"/>
      <c r="BI50" s="1615"/>
      <c r="BJ50" s="1615"/>
    </row>
    <row r="51" spans="1:62" ht="14.1" customHeight="1">
      <c r="A51" s="1403" t="s">
        <v>1286</v>
      </c>
      <c r="B51" s="1403" t="s">
        <v>1287</v>
      </c>
      <c r="C51" s="1403" t="s">
        <v>1288</v>
      </c>
      <c r="D51" s="1570">
        <v>40940</v>
      </c>
      <c r="E51" s="1585" t="s">
        <v>433</v>
      </c>
      <c r="F51" s="1577" t="s">
        <v>434</v>
      </c>
      <c r="G51" s="1535">
        <v>6202</v>
      </c>
      <c r="H51" s="1542"/>
      <c r="I51" s="1542"/>
      <c r="J51" s="1542"/>
      <c r="K51" s="1542"/>
      <c r="L51" s="1542"/>
      <c r="M51" s="1535">
        <v>7</v>
      </c>
      <c r="N51" s="1542"/>
      <c r="O51" s="1542"/>
      <c r="P51" s="1542"/>
      <c r="Q51" s="1535">
        <v>2</v>
      </c>
      <c r="R51" s="1535">
        <v>1</v>
      </c>
      <c r="S51" s="1542"/>
      <c r="T51" s="1542"/>
      <c r="U51" s="1535">
        <v>13</v>
      </c>
      <c r="V51" s="1535">
        <v>2</v>
      </c>
      <c r="W51" s="1535">
        <v>3</v>
      </c>
      <c r="X51" s="1542"/>
      <c r="Y51" s="1542"/>
      <c r="Z51" s="1542"/>
      <c r="AA51" s="1542">
        <f>'[11]Table 5A5_SSD'!C52</f>
        <v>0</v>
      </c>
      <c r="AB51" s="1537">
        <v>3</v>
      </c>
      <c r="AC51" s="1542"/>
      <c r="AD51" s="1542">
        <f t="shared" si="0"/>
        <v>6233</v>
      </c>
      <c r="AE51" s="1405"/>
      <c r="AF51" s="1615"/>
      <c r="AG51" s="1615"/>
      <c r="AH51" s="1615"/>
      <c r="AI51" s="1615"/>
      <c r="AJ51" s="1615"/>
      <c r="AK51" s="1615"/>
      <c r="AL51" s="1615"/>
      <c r="AM51" s="1615"/>
      <c r="AN51" s="1615"/>
      <c r="AO51" s="1615"/>
      <c r="AP51" s="1615"/>
      <c r="AQ51" s="1615"/>
      <c r="AR51" s="1615"/>
      <c r="AS51" s="1615"/>
      <c r="AT51" s="1615"/>
      <c r="AU51" s="1615"/>
      <c r="AV51" s="1615"/>
      <c r="AW51" s="1615"/>
      <c r="AX51" s="1615"/>
      <c r="AY51" s="1615"/>
      <c r="AZ51" s="1615"/>
      <c r="BA51" s="1615"/>
      <c r="BB51" s="1615"/>
      <c r="BC51" s="1615"/>
      <c r="BD51" s="1615"/>
      <c r="BE51" s="1615"/>
      <c r="BF51" s="1615"/>
      <c r="BG51" s="1615"/>
      <c r="BH51" s="1615"/>
      <c r="BI51" s="1615"/>
      <c r="BJ51" s="1615"/>
    </row>
    <row r="52" spans="1:62" ht="14.1" customHeight="1">
      <c r="A52" s="1403" t="s">
        <v>1286</v>
      </c>
      <c r="B52" s="1403" t="s">
        <v>1287</v>
      </c>
      <c r="C52" s="1403" t="s">
        <v>1288</v>
      </c>
      <c r="D52" s="1570">
        <v>40940</v>
      </c>
      <c r="E52" s="1585" t="s">
        <v>435</v>
      </c>
      <c r="F52" s="1577" t="s">
        <v>436</v>
      </c>
      <c r="G52" s="1535">
        <v>14392</v>
      </c>
      <c r="H52" s="1542"/>
      <c r="I52" s="1542"/>
      <c r="J52" s="1542"/>
      <c r="K52" s="1542"/>
      <c r="L52" s="1542"/>
      <c r="M52" s="1542"/>
      <c r="N52" s="1535">
        <v>4</v>
      </c>
      <c r="O52" s="1542"/>
      <c r="P52" s="1542"/>
      <c r="Q52" s="1542"/>
      <c r="R52" s="1542"/>
      <c r="S52" s="1542"/>
      <c r="T52" s="1542"/>
      <c r="U52" s="1535">
        <v>50</v>
      </c>
      <c r="V52" s="1542"/>
      <c r="W52" s="1535">
        <v>10</v>
      </c>
      <c r="X52" s="1542"/>
      <c r="Y52" s="1542"/>
      <c r="Z52" s="1542"/>
      <c r="AA52" s="1542">
        <f>'[11]Table 5A5_SSD'!C53</f>
        <v>2</v>
      </c>
      <c r="AB52" s="1537">
        <v>3</v>
      </c>
      <c r="AC52" s="1542"/>
      <c r="AD52" s="1542">
        <f t="shared" si="0"/>
        <v>14461</v>
      </c>
      <c r="AE52" s="1405"/>
      <c r="AF52" s="1615"/>
      <c r="AG52" s="1615"/>
      <c r="AH52" s="1615"/>
      <c r="AI52" s="1615"/>
      <c r="AJ52" s="1615"/>
      <c r="AK52" s="1615"/>
      <c r="AL52" s="1616"/>
      <c r="AM52" s="1615"/>
      <c r="AN52" s="1615"/>
      <c r="AO52" s="1615"/>
      <c r="AP52" s="1615"/>
      <c r="AQ52" s="1615"/>
      <c r="AR52" s="1616"/>
      <c r="AS52" s="1616"/>
      <c r="AT52" s="1615"/>
      <c r="AU52" s="1615"/>
      <c r="AV52" s="1615"/>
      <c r="AW52" s="1615"/>
      <c r="AX52" s="1615"/>
      <c r="AY52" s="1615"/>
      <c r="AZ52" s="1615"/>
      <c r="BA52" s="1615"/>
      <c r="BB52" s="1615"/>
      <c r="BC52" s="1615"/>
      <c r="BD52" s="1615"/>
      <c r="BE52" s="1615"/>
      <c r="BF52" s="1615"/>
      <c r="BG52" s="1615"/>
      <c r="BH52" s="1615"/>
      <c r="BI52" s="1616"/>
      <c r="BJ52" s="1615"/>
    </row>
    <row r="53" spans="1:62" ht="14.1" customHeight="1">
      <c r="A53" s="1546" t="s">
        <v>1286</v>
      </c>
      <c r="B53" s="1546" t="s">
        <v>1287</v>
      </c>
      <c r="C53" s="1546" t="s">
        <v>1288</v>
      </c>
      <c r="D53" s="1571">
        <v>40940</v>
      </c>
      <c r="E53" s="1586" t="s">
        <v>437</v>
      </c>
      <c r="F53" s="1578" t="s">
        <v>438</v>
      </c>
      <c r="G53" s="1547">
        <v>7962</v>
      </c>
      <c r="H53" s="1548"/>
      <c r="I53" s="1548"/>
      <c r="J53" s="1548"/>
      <c r="K53" s="1548"/>
      <c r="L53" s="1548"/>
      <c r="M53" s="1548"/>
      <c r="N53" s="1547"/>
      <c r="O53" s="1548"/>
      <c r="P53" s="1548"/>
      <c r="Q53" s="1548"/>
      <c r="R53" s="1548"/>
      <c r="S53" s="1548"/>
      <c r="T53" s="1548"/>
      <c r="U53" s="1547">
        <v>7</v>
      </c>
      <c r="V53" s="1548"/>
      <c r="W53" s="1547">
        <v>15</v>
      </c>
      <c r="X53" s="1548"/>
      <c r="Y53" s="1548"/>
      <c r="Z53" s="1548"/>
      <c r="AA53" s="1548">
        <f>'[11]Table 5A5_SSD'!C54</f>
        <v>0</v>
      </c>
      <c r="AB53" s="1549">
        <v>1</v>
      </c>
      <c r="AC53" s="1548"/>
      <c r="AD53" s="1548">
        <f t="shared" si="0"/>
        <v>7985</v>
      </c>
      <c r="AE53" s="1405"/>
      <c r="AF53" s="1615"/>
      <c r="AG53" s="1615"/>
      <c r="AH53" s="1615"/>
      <c r="AI53" s="1615"/>
      <c r="AJ53" s="1615"/>
      <c r="AK53" s="1615"/>
      <c r="AL53" s="1615"/>
      <c r="AM53" s="1615"/>
      <c r="AN53" s="1615"/>
      <c r="AO53" s="1615"/>
      <c r="AP53" s="1615"/>
      <c r="AQ53" s="1615"/>
      <c r="AR53" s="1615"/>
      <c r="AS53" s="1615"/>
      <c r="AT53" s="1615"/>
      <c r="AU53" s="1615"/>
      <c r="AV53" s="1615"/>
      <c r="AW53" s="1615"/>
      <c r="AX53" s="1616"/>
      <c r="AY53" s="1615"/>
      <c r="AZ53" s="1615"/>
      <c r="BA53" s="1615"/>
      <c r="BB53" s="1615"/>
      <c r="BC53" s="1615"/>
      <c r="BD53" s="1615"/>
      <c r="BE53" s="1615"/>
      <c r="BF53" s="1615"/>
      <c r="BG53" s="1615"/>
      <c r="BH53" s="1616"/>
      <c r="BI53" s="1616"/>
      <c r="BJ53" s="1615"/>
    </row>
    <row r="54" spans="1:62" ht="14.1" customHeight="1">
      <c r="A54" s="1403" t="s">
        <v>1286</v>
      </c>
      <c r="B54" s="1403" t="s">
        <v>1287</v>
      </c>
      <c r="C54" s="1403" t="s">
        <v>1288</v>
      </c>
      <c r="D54" s="1570">
        <v>40940</v>
      </c>
      <c r="E54" s="1585" t="s">
        <v>439</v>
      </c>
      <c r="F54" s="1577" t="s">
        <v>440</v>
      </c>
      <c r="G54" s="1535">
        <v>9038</v>
      </c>
      <c r="H54" s="1542"/>
      <c r="I54" s="1542"/>
      <c r="J54" s="1542"/>
      <c r="K54" s="1542"/>
      <c r="L54" s="1535">
        <v>287</v>
      </c>
      <c r="M54" s="1542"/>
      <c r="N54" s="1542"/>
      <c r="O54" s="1542"/>
      <c r="P54" s="1542"/>
      <c r="Q54" s="1542"/>
      <c r="R54" s="1535">
        <v>2</v>
      </c>
      <c r="S54" s="1542"/>
      <c r="T54" s="1542"/>
      <c r="U54" s="1535">
        <v>7</v>
      </c>
      <c r="V54" s="1542"/>
      <c r="W54" s="1535">
        <v>5</v>
      </c>
      <c r="X54" s="1542"/>
      <c r="Y54" s="1542"/>
      <c r="Z54" s="1542"/>
      <c r="AA54" s="1542">
        <f>'[11]Table 5A5_SSD'!C55</f>
        <v>5</v>
      </c>
      <c r="AB54" s="1537">
        <v>2</v>
      </c>
      <c r="AC54" s="1542"/>
      <c r="AD54" s="1542">
        <f t="shared" si="0"/>
        <v>9346</v>
      </c>
      <c r="AE54" s="1405"/>
      <c r="AF54" s="1615"/>
      <c r="AG54" s="1615"/>
      <c r="AH54" s="1616"/>
      <c r="AI54" s="1615"/>
      <c r="AJ54" s="1615"/>
      <c r="AK54" s="1615"/>
      <c r="AL54" s="1616"/>
      <c r="AM54" s="1615"/>
      <c r="AN54" s="1615"/>
      <c r="AO54" s="1616"/>
      <c r="AP54" s="1615"/>
      <c r="AQ54" s="1615"/>
      <c r="AR54" s="1615"/>
      <c r="AS54" s="1616"/>
      <c r="AT54" s="1615"/>
      <c r="AU54" s="1615"/>
      <c r="AV54" s="1615"/>
      <c r="AW54" s="1615"/>
      <c r="AX54" s="1615"/>
      <c r="AY54" s="1615"/>
      <c r="AZ54" s="1615"/>
      <c r="BA54" s="1615"/>
      <c r="BB54" s="1615"/>
      <c r="BC54" s="1615"/>
      <c r="BD54" s="1615"/>
      <c r="BE54" s="1615"/>
      <c r="BF54" s="1615"/>
      <c r="BG54" s="1615"/>
      <c r="BH54" s="1616"/>
      <c r="BI54" s="1615"/>
      <c r="BJ54" s="1615"/>
    </row>
    <row r="55" spans="1:62" ht="14.1" customHeight="1">
      <c r="A55" s="1403" t="s">
        <v>1286</v>
      </c>
      <c r="B55" s="1403" t="s">
        <v>1287</v>
      </c>
      <c r="C55" s="1403" t="s">
        <v>1288</v>
      </c>
      <c r="D55" s="1570">
        <v>40940</v>
      </c>
      <c r="E55" s="1585" t="s">
        <v>441</v>
      </c>
      <c r="F55" s="1577" t="s">
        <v>442</v>
      </c>
      <c r="G55" s="1535">
        <v>36392</v>
      </c>
      <c r="H55" s="1542"/>
      <c r="I55" s="1542"/>
      <c r="J55" s="1542"/>
      <c r="K55" s="1542"/>
      <c r="L55" s="1542"/>
      <c r="M55" s="1535">
        <v>10</v>
      </c>
      <c r="N55" s="1542"/>
      <c r="O55" s="1542"/>
      <c r="P55" s="1535">
        <v>7</v>
      </c>
      <c r="Q55" s="1542"/>
      <c r="R55" s="1542"/>
      <c r="S55" s="1542"/>
      <c r="T55" s="1542"/>
      <c r="U55" s="1535">
        <v>70</v>
      </c>
      <c r="V55" s="1535">
        <v>1</v>
      </c>
      <c r="W55" s="1535">
        <v>51</v>
      </c>
      <c r="X55" s="1542"/>
      <c r="Y55" s="1542"/>
      <c r="Z55" s="1535">
        <v>1</v>
      </c>
      <c r="AA55" s="1535">
        <f>'[11]Table 5A5_SSD'!C56</f>
        <v>17</v>
      </c>
      <c r="AB55" s="1535">
        <v>8</v>
      </c>
      <c r="AC55" s="1535"/>
      <c r="AD55" s="1535">
        <f t="shared" si="0"/>
        <v>36557</v>
      </c>
      <c r="AE55" s="1405"/>
      <c r="AF55" s="1615"/>
      <c r="AG55" s="1615"/>
      <c r="AH55" s="1616"/>
      <c r="AI55" s="1616"/>
      <c r="AJ55" s="1615"/>
      <c r="AK55" s="1616"/>
      <c r="AL55" s="1616"/>
      <c r="AM55" s="1615"/>
      <c r="AN55" s="1615"/>
      <c r="AO55" s="1616"/>
      <c r="AP55" s="1615"/>
      <c r="AQ55" s="1615"/>
      <c r="AR55" s="1616"/>
      <c r="AS55" s="1616"/>
      <c r="AT55" s="1615"/>
      <c r="AU55" s="1615"/>
      <c r="AV55" s="1615"/>
      <c r="AW55" s="1615"/>
      <c r="AX55" s="1615"/>
      <c r="AY55" s="1615"/>
      <c r="AZ55" s="1615"/>
      <c r="BA55" s="1615"/>
      <c r="BB55" s="1615"/>
      <c r="BC55" s="1615"/>
      <c r="BD55" s="1615"/>
      <c r="BE55" s="1615"/>
      <c r="BF55" s="1615"/>
      <c r="BG55" s="1615"/>
      <c r="BH55" s="1616"/>
      <c r="BI55" s="1616"/>
      <c r="BJ55" s="1616"/>
    </row>
    <row r="56" spans="1:62" ht="14.1" customHeight="1">
      <c r="A56" s="1403" t="s">
        <v>1286</v>
      </c>
      <c r="B56" s="1403" t="s">
        <v>1287</v>
      </c>
      <c r="C56" s="1403" t="s">
        <v>1288</v>
      </c>
      <c r="D56" s="1570">
        <v>40940</v>
      </c>
      <c r="E56" s="1585" t="s">
        <v>443</v>
      </c>
      <c r="F56" s="1577" t="s">
        <v>444</v>
      </c>
      <c r="G56" s="1535">
        <v>18933</v>
      </c>
      <c r="H56" s="1542"/>
      <c r="I56" s="1542"/>
      <c r="J56" s="1542"/>
      <c r="K56" s="1542"/>
      <c r="L56" s="1542"/>
      <c r="M56" s="1542"/>
      <c r="N56" s="1542"/>
      <c r="O56" s="1542"/>
      <c r="P56" s="1535">
        <v>1</v>
      </c>
      <c r="Q56" s="1542"/>
      <c r="R56" s="1542"/>
      <c r="S56" s="1542"/>
      <c r="T56" s="1542"/>
      <c r="U56" s="1535">
        <v>53</v>
      </c>
      <c r="V56" s="1542"/>
      <c r="W56" s="1535">
        <v>22</v>
      </c>
      <c r="X56" s="1542"/>
      <c r="Y56" s="1542"/>
      <c r="Z56" s="1542"/>
      <c r="AA56" s="1542">
        <f>'[11]Table 5A5_SSD'!C57</f>
        <v>7</v>
      </c>
      <c r="AB56" s="1537">
        <v>4</v>
      </c>
      <c r="AC56" s="1542"/>
      <c r="AD56" s="1542">
        <f t="shared" si="0"/>
        <v>19020</v>
      </c>
      <c r="AE56" s="1405"/>
      <c r="AF56" s="1615"/>
      <c r="AG56" s="1615"/>
      <c r="AH56" s="1615"/>
      <c r="AI56" s="1616"/>
      <c r="AJ56" s="1615"/>
      <c r="AK56" s="1616"/>
      <c r="AL56" s="1616"/>
      <c r="AM56" s="1616"/>
      <c r="AN56" s="1615"/>
      <c r="AO56" s="1615"/>
      <c r="AP56" s="1615"/>
      <c r="AQ56" s="1615"/>
      <c r="AR56" s="1616"/>
      <c r="AS56" s="1616"/>
      <c r="AT56" s="1615"/>
      <c r="AU56" s="1615"/>
      <c r="AV56" s="1615"/>
      <c r="AW56" s="1615"/>
      <c r="AX56" s="1615"/>
      <c r="AY56" s="1615"/>
      <c r="AZ56" s="1615"/>
      <c r="BA56" s="1615"/>
      <c r="BB56" s="1615"/>
      <c r="BC56" s="1615"/>
      <c r="BD56" s="1615"/>
      <c r="BE56" s="1615"/>
      <c r="BF56" s="1615"/>
      <c r="BG56" s="1615"/>
      <c r="BH56" s="1616"/>
      <c r="BI56" s="1615"/>
      <c r="BJ56" s="1616"/>
    </row>
    <row r="57" spans="1:62" ht="14.1" customHeight="1">
      <c r="A57" s="1403" t="s">
        <v>1286</v>
      </c>
      <c r="B57" s="1403" t="s">
        <v>1287</v>
      </c>
      <c r="C57" s="1403" t="s">
        <v>1288</v>
      </c>
      <c r="D57" s="1570">
        <v>40940</v>
      </c>
      <c r="E57" s="1585" t="s">
        <v>445</v>
      </c>
      <c r="F57" s="1577" t="s">
        <v>446</v>
      </c>
      <c r="G57" s="1535">
        <v>697</v>
      </c>
      <c r="H57" s="1542"/>
      <c r="I57" s="1542"/>
      <c r="J57" s="1542"/>
      <c r="K57" s="1542"/>
      <c r="L57" s="1542"/>
      <c r="M57" s="1542"/>
      <c r="N57" s="1542"/>
      <c r="O57" s="1535">
        <v>2</v>
      </c>
      <c r="P57" s="1542"/>
      <c r="Q57" s="1542"/>
      <c r="R57" s="1542"/>
      <c r="S57" s="1542"/>
      <c r="T57" s="1542"/>
      <c r="U57" s="1542"/>
      <c r="V57" s="1542"/>
      <c r="W57" s="1535">
        <v>2</v>
      </c>
      <c r="X57" s="1542"/>
      <c r="Y57" s="1542"/>
      <c r="Z57" s="1542"/>
      <c r="AA57" s="1542">
        <f>'[11]Table 5A5_SSD'!C58</f>
        <v>0</v>
      </c>
      <c r="AB57" s="1537"/>
      <c r="AC57" s="1542"/>
      <c r="AD57" s="1542">
        <f t="shared" si="0"/>
        <v>701</v>
      </c>
      <c r="AE57" s="1405"/>
      <c r="AF57" s="1615"/>
      <c r="AG57" s="1615"/>
      <c r="AH57" s="1615"/>
      <c r="AI57" s="1615"/>
      <c r="AJ57" s="1615"/>
      <c r="AK57" s="1615"/>
      <c r="AL57" s="1615"/>
      <c r="AM57" s="1615"/>
      <c r="AN57" s="1615"/>
      <c r="AO57" s="1615"/>
      <c r="AP57" s="1615"/>
      <c r="AQ57" s="1615"/>
      <c r="AR57" s="1615"/>
      <c r="AS57" s="1616"/>
      <c r="AT57" s="1615"/>
      <c r="AU57" s="1615"/>
      <c r="AV57" s="1615"/>
      <c r="AW57" s="1615"/>
      <c r="AX57" s="1615"/>
      <c r="AY57" s="1615"/>
      <c r="AZ57" s="1615"/>
      <c r="BA57" s="1615"/>
      <c r="BB57" s="1615"/>
      <c r="BC57" s="1615"/>
      <c r="BD57" s="1615"/>
      <c r="BE57" s="1615"/>
      <c r="BF57" s="1615"/>
      <c r="BG57" s="1615"/>
      <c r="BH57" s="1615"/>
      <c r="BI57" s="1615"/>
      <c r="BJ57" s="1616"/>
    </row>
    <row r="58" spans="1:62" ht="14.1" customHeight="1">
      <c r="A58" s="1546" t="s">
        <v>1286</v>
      </c>
      <c r="B58" s="1546" t="s">
        <v>1287</v>
      </c>
      <c r="C58" s="1546" t="s">
        <v>1288</v>
      </c>
      <c r="D58" s="1571">
        <v>40940</v>
      </c>
      <c r="E58" s="1586" t="s">
        <v>447</v>
      </c>
      <c r="F58" s="1578" t="s">
        <v>448</v>
      </c>
      <c r="G58" s="1547">
        <v>17649</v>
      </c>
      <c r="H58" s="1548"/>
      <c r="I58" s="1548"/>
      <c r="J58" s="1548"/>
      <c r="K58" s="1548"/>
      <c r="L58" s="1548"/>
      <c r="M58" s="1548"/>
      <c r="N58" s="1547"/>
      <c r="O58" s="1548"/>
      <c r="P58" s="1548"/>
      <c r="Q58" s="1548"/>
      <c r="R58" s="1548">
        <v>37</v>
      </c>
      <c r="S58" s="1548"/>
      <c r="T58" s="1548"/>
      <c r="U58" s="1547">
        <v>25</v>
      </c>
      <c r="V58" s="1548"/>
      <c r="W58" s="1547">
        <v>13</v>
      </c>
      <c r="X58" s="1548"/>
      <c r="Y58" s="1548"/>
      <c r="Z58" s="1548"/>
      <c r="AA58" s="1548">
        <f>'[11]Table 5A5_SSD'!C59</f>
        <v>7</v>
      </c>
      <c r="AB58" s="1549">
        <v>4</v>
      </c>
      <c r="AC58" s="1548"/>
      <c r="AD58" s="1548">
        <f t="shared" si="0"/>
        <v>17735</v>
      </c>
      <c r="AE58" s="1405"/>
      <c r="AF58" s="1615"/>
      <c r="AG58" s="1615"/>
      <c r="AH58" s="1615"/>
      <c r="AI58" s="1615"/>
      <c r="AJ58" s="1615"/>
      <c r="AK58" s="1615"/>
      <c r="AL58" s="1615"/>
      <c r="AM58" s="1615"/>
      <c r="AN58" s="1615"/>
      <c r="AO58" s="1615"/>
      <c r="AP58" s="1615"/>
      <c r="AQ58" s="1615"/>
      <c r="AR58" s="1615"/>
      <c r="AS58" s="1615"/>
      <c r="AT58" s="1615"/>
      <c r="AU58" s="1615"/>
      <c r="AV58" s="1615"/>
      <c r="AW58" s="1615"/>
      <c r="AX58" s="1616"/>
      <c r="AY58" s="1615"/>
      <c r="AZ58" s="1615"/>
      <c r="BA58" s="1615"/>
      <c r="BB58" s="1615"/>
      <c r="BC58" s="1615"/>
      <c r="BD58" s="1615"/>
      <c r="BE58" s="1615"/>
      <c r="BF58" s="1615"/>
      <c r="BG58" s="1615"/>
      <c r="BH58" s="1616"/>
      <c r="BI58" s="1616"/>
      <c r="BJ58" s="1615"/>
    </row>
    <row r="59" spans="1:62" ht="14.1" customHeight="1">
      <c r="A59" s="1403" t="s">
        <v>1286</v>
      </c>
      <c r="B59" s="1403" t="s">
        <v>1287</v>
      </c>
      <c r="C59" s="1403" t="s">
        <v>1288</v>
      </c>
      <c r="D59" s="1570">
        <v>40940</v>
      </c>
      <c r="E59" s="1585" t="s">
        <v>449</v>
      </c>
      <c r="F59" s="1577" t="s">
        <v>450</v>
      </c>
      <c r="G59" s="1535">
        <v>2473</v>
      </c>
      <c r="H59" s="1542"/>
      <c r="I59" s="1542"/>
      <c r="J59" s="1542"/>
      <c r="K59" s="1542"/>
      <c r="L59" s="1542"/>
      <c r="M59" s="1542"/>
      <c r="N59" s="1542"/>
      <c r="O59" s="1542"/>
      <c r="P59" s="1542"/>
      <c r="Q59" s="1542"/>
      <c r="R59" s="1542"/>
      <c r="S59" s="1535">
        <v>352</v>
      </c>
      <c r="T59" s="1542"/>
      <c r="U59" s="1535">
        <v>4</v>
      </c>
      <c r="V59" s="1542"/>
      <c r="W59" s="1535">
        <v>3</v>
      </c>
      <c r="X59" s="1542"/>
      <c r="Y59" s="1542"/>
      <c r="Z59" s="1542"/>
      <c r="AA59" s="1542">
        <f>'[11]Table 5A5_SSD'!C60</f>
        <v>0</v>
      </c>
      <c r="AB59" s="1537"/>
      <c r="AC59" s="1542"/>
      <c r="AD59" s="1542">
        <f t="shared" si="0"/>
        <v>2832</v>
      </c>
      <c r="AE59" s="1405"/>
      <c r="AF59" s="1615"/>
      <c r="AG59" s="1615"/>
      <c r="AH59" s="1615"/>
      <c r="AI59" s="1615"/>
      <c r="AJ59" s="1615"/>
      <c r="AK59" s="1615"/>
      <c r="AL59" s="1615"/>
      <c r="AM59" s="1615"/>
      <c r="AN59" s="1615"/>
      <c r="AO59" s="1615"/>
      <c r="AP59" s="1615"/>
      <c r="AQ59" s="1615"/>
      <c r="AR59" s="1615"/>
      <c r="AS59" s="1615"/>
      <c r="AT59" s="1615"/>
      <c r="AU59" s="1615"/>
      <c r="AV59" s="1615"/>
      <c r="AW59" s="1615"/>
      <c r="AX59" s="1615"/>
      <c r="AY59" s="1615"/>
      <c r="AZ59" s="1615"/>
      <c r="BA59" s="1615"/>
      <c r="BB59" s="1615"/>
      <c r="BC59" s="1615"/>
      <c r="BD59" s="1615"/>
      <c r="BE59" s="1615"/>
      <c r="BF59" s="1615"/>
      <c r="BG59" s="1615"/>
      <c r="BH59" s="1615"/>
      <c r="BI59" s="1615"/>
      <c r="BJ59" s="1615"/>
    </row>
    <row r="60" spans="1:62" ht="14.1" customHeight="1">
      <c r="A60" s="1403" t="s">
        <v>1286</v>
      </c>
      <c r="B60" s="1403" t="s">
        <v>1287</v>
      </c>
      <c r="C60" s="1403" t="s">
        <v>1288</v>
      </c>
      <c r="D60" s="1570">
        <v>40940</v>
      </c>
      <c r="E60" s="1585" t="s">
        <v>451</v>
      </c>
      <c r="F60" s="1577" t="s">
        <v>452</v>
      </c>
      <c r="G60" s="1535">
        <v>8853</v>
      </c>
      <c r="H60" s="1542"/>
      <c r="I60" s="1542"/>
      <c r="J60" s="1542"/>
      <c r="K60" s="1542"/>
      <c r="L60" s="1535">
        <v>2</v>
      </c>
      <c r="M60" s="1542"/>
      <c r="N60" s="1542"/>
      <c r="O60" s="1542"/>
      <c r="P60" s="1542"/>
      <c r="Q60" s="1542"/>
      <c r="R60" s="1542"/>
      <c r="S60" s="1542"/>
      <c r="T60" s="1542"/>
      <c r="U60" s="1535">
        <v>9</v>
      </c>
      <c r="V60" s="1542"/>
      <c r="W60" s="1535">
        <v>7</v>
      </c>
      <c r="X60" s="1542"/>
      <c r="Y60" s="1542"/>
      <c r="Z60" s="1542"/>
      <c r="AA60" s="1542">
        <f>'[11]Table 5A5_SSD'!C61</f>
        <v>2</v>
      </c>
      <c r="AB60" s="1537"/>
      <c r="AC60" s="1542"/>
      <c r="AD60" s="1542">
        <f t="shared" si="0"/>
        <v>8873</v>
      </c>
      <c r="AE60" s="1405"/>
      <c r="AF60" s="1615"/>
      <c r="AG60" s="1615"/>
      <c r="AH60" s="1615"/>
      <c r="AI60" s="1615"/>
      <c r="AJ60" s="1615"/>
      <c r="AK60" s="1615"/>
      <c r="AL60" s="1616"/>
      <c r="AM60" s="1615"/>
      <c r="AN60" s="1615"/>
      <c r="AO60" s="1615"/>
      <c r="AP60" s="1615"/>
      <c r="AQ60" s="1615"/>
      <c r="AR60" s="1615"/>
      <c r="AS60" s="1616"/>
      <c r="AT60" s="1615"/>
      <c r="AU60" s="1615"/>
      <c r="AV60" s="1615"/>
      <c r="AW60" s="1615"/>
      <c r="AX60" s="1615"/>
      <c r="AY60" s="1615"/>
      <c r="AZ60" s="1615"/>
      <c r="BA60" s="1615"/>
      <c r="BB60" s="1615"/>
      <c r="BC60" s="1615"/>
      <c r="BD60" s="1615"/>
      <c r="BE60" s="1615"/>
      <c r="BF60" s="1615"/>
      <c r="BG60" s="1615"/>
      <c r="BH60" s="1615"/>
      <c r="BI60" s="1616"/>
      <c r="BJ60" s="1616"/>
    </row>
    <row r="61" spans="1:62" ht="14.1" customHeight="1">
      <c r="A61" s="1403" t="s">
        <v>1286</v>
      </c>
      <c r="B61" s="1403" t="s">
        <v>1287</v>
      </c>
      <c r="C61" s="1403" t="s">
        <v>1288</v>
      </c>
      <c r="D61" s="1570">
        <v>40940</v>
      </c>
      <c r="E61" s="1585" t="s">
        <v>453</v>
      </c>
      <c r="F61" s="1577" t="s">
        <v>454</v>
      </c>
      <c r="G61" s="1535">
        <v>9438</v>
      </c>
      <c r="H61" s="1542"/>
      <c r="I61" s="1542"/>
      <c r="J61" s="1542"/>
      <c r="K61" s="1542"/>
      <c r="L61" s="1542"/>
      <c r="M61" s="1542"/>
      <c r="N61" s="1542"/>
      <c r="O61" s="1542"/>
      <c r="P61" s="1542"/>
      <c r="Q61" s="1542"/>
      <c r="R61" s="1542"/>
      <c r="S61" s="1542"/>
      <c r="T61" s="1542"/>
      <c r="U61" s="1535">
        <v>43</v>
      </c>
      <c r="V61" s="1542"/>
      <c r="W61" s="1535">
        <v>12</v>
      </c>
      <c r="X61" s="1542"/>
      <c r="Y61" s="1542"/>
      <c r="Z61" s="1542"/>
      <c r="AA61" s="1542">
        <f>'[11]Table 5A5_SSD'!C62</f>
        <v>2</v>
      </c>
      <c r="AB61" s="1537"/>
      <c r="AC61" s="1542"/>
      <c r="AD61" s="1542">
        <f t="shared" si="0"/>
        <v>9495</v>
      </c>
      <c r="AE61" s="1405"/>
      <c r="AF61" s="1615"/>
      <c r="AG61" s="1616"/>
      <c r="AH61" s="1615"/>
      <c r="AI61" s="1615"/>
      <c r="AJ61" s="1615"/>
      <c r="AK61" s="1616"/>
      <c r="AL61" s="1615"/>
      <c r="AM61" s="1615"/>
      <c r="AN61" s="1615"/>
      <c r="AO61" s="1615"/>
      <c r="AP61" s="1615"/>
      <c r="AQ61" s="1615"/>
      <c r="AR61" s="1615"/>
      <c r="AS61" s="1615"/>
      <c r="AT61" s="1615"/>
      <c r="AU61" s="1615"/>
      <c r="AV61" s="1615"/>
      <c r="AW61" s="1615"/>
      <c r="AX61" s="1615"/>
      <c r="AY61" s="1615"/>
      <c r="AZ61" s="1615"/>
      <c r="BA61" s="1615"/>
      <c r="BB61" s="1615"/>
      <c r="BC61" s="1615"/>
      <c r="BD61" s="1615"/>
      <c r="BE61" s="1615"/>
      <c r="BF61" s="1615"/>
      <c r="BG61" s="1615"/>
      <c r="BH61" s="1616"/>
      <c r="BI61" s="1615"/>
      <c r="BJ61" s="1615"/>
    </row>
    <row r="62" spans="1:62" ht="14.1" customHeight="1">
      <c r="A62" s="1403" t="s">
        <v>1286</v>
      </c>
      <c r="B62" s="1403" t="s">
        <v>1287</v>
      </c>
      <c r="C62" s="1403" t="s">
        <v>1288</v>
      </c>
      <c r="D62" s="1570">
        <v>40940</v>
      </c>
      <c r="E62" s="1585" t="s">
        <v>455</v>
      </c>
      <c r="F62" s="1577" t="s">
        <v>456</v>
      </c>
      <c r="G62" s="1535">
        <v>5160</v>
      </c>
      <c r="H62" s="1542"/>
      <c r="I62" s="1542"/>
      <c r="J62" s="1542"/>
      <c r="K62" s="1542"/>
      <c r="L62" s="1542"/>
      <c r="M62" s="1542"/>
      <c r="N62" s="1542"/>
      <c r="O62" s="1542"/>
      <c r="P62" s="1542"/>
      <c r="Q62" s="1542"/>
      <c r="R62" s="1542"/>
      <c r="S62" s="1542"/>
      <c r="T62" s="1542"/>
      <c r="U62" s="1535">
        <v>9</v>
      </c>
      <c r="V62" s="1542"/>
      <c r="W62" s="1535">
        <v>8</v>
      </c>
      <c r="X62" s="1542"/>
      <c r="Y62" s="1542"/>
      <c r="Z62" s="1542"/>
      <c r="AA62" s="1542">
        <f>'[11]Table 5A5_SSD'!C63</f>
        <v>7</v>
      </c>
      <c r="AB62" s="1537">
        <v>1</v>
      </c>
      <c r="AC62" s="1542"/>
      <c r="AD62" s="1542">
        <f t="shared" si="0"/>
        <v>5185</v>
      </c>
      <c r="AE62" s="1405"/>
      <c r="AF62" s="1615"/>
      <c r="AG62" s="1615"/>
      <c r="AH62" s="1616"/>
      <c r="AI62" s="1615"/>
      <c r="AJ62" s="1615"/>
      <c r="AK62" s="1615"/>
      <c r="AL62" s="1615"/>
      <c r="AM62" s="1615"/>
      <c r="AN62" s="1615"/>
      <c r="AO62" s="1615"/>
      <c r="AP62" s="1615"/>
      <c r="AQ62" s="1615"/>
      <c r="AR62" s="1616"/>
      <c r="AS62" s="1615"/>
      <c r="AT62" s="1615"/>
      <c r="AU62" s="1615"/>
      <c r="AV62" s="1615"/>
      <c r="AW62" s="1616"/>
      <c r="AX62" s="1615"/>
      <c r="AY62" s="1615"/>
      <c r="AZ62" s="1615"/>
      <c r="BA62" s="1615"/>
      <c r="BB62" s="1615"/>
      <c r="BC62" s="1615"/>
      <c r="BD62" s="1615"/>
      <c r="BE62" s="1615"/>
      <c r="BF62" s="1615"/>
      <c r="BG62" s="1615"/>
      <c r="BH62" s="1615"/>
      <c r="BI62" s="1616"/>
      <c r="BJ62" s="1615"/>
    </row>
    <row r="63" spans="1:62" ht="14.1" customHeight="1">
      <c r="A63" s="1546" t="s">
        <v>1286</v>
      </c>
      <c r="B63" s="1546" t="s">
        <v>1287</v>
      </c>
      <c r="C63" s="1546" t="s">
        <v>1288</v>
      </c>
      <c r="D63" s="1571">
        <v>40940</v>
      </c>
      <c r="E63" s="1586" t="s">
        <v>457</v>
      </c>
      <c r="F63" s="1578" t="s">
        <v>458</v>
      </c>
      <c r="G63" s="1547">
        <v>6435</v>
      </c>
      <c r="H63" s="1548"/>
      <c r="I63" s="1548"/>
      <c r="J63" s="1548"/>
      <c r="K63" s="1548"/>
      <c r="L63" s="1548"/>
      <c r="M63" s="1548"/>
      <c r="N63" s="1547"/>
      <c r="O63" s="1548"/>
      <c r="P63" s="1548"/>
      <c r="Q63" s="1548"/>
      <c r="R63" s="1548"/>
      <c r="S63" s="1548"/>
      <c r="T63" s="1548"/>
      <c r="U63" s="1547">
        <v>17</v>
      </c>
      <c r="V63" s="1548"/>
      <c r="W63" s="1547">
        <v>16</v>
      </c>
      <c r="X63" s="1548"/>
      <c r="Y63" s="1548"/>
      <c r="Z63" s="1548"/>
      <c r="AA63" s="1548">
        <f>'[11]Table 5A5_SSD'!C64</f>
        <v>3</v>
      </c>
      <c r="AB63" s="1549">
        <v>3</v>
      </c>
      <c r="AC63" s="1548"/>
      <c r="AD63" s="1548">
        <f t="shared" si="0"/>
        <v>6474</v>
      </c>
      <c r="AE63" s="1405"/>
      <c r="AF63" s="1615"/>
      <c r="AG63" s="1615"/>
      <c r="AH63" s="1615"/>
      <c r="AI63" s="1615"/>
      <c r="AJ63" s="1615"/>
      <c r="AK63" s="1615"/>
      <c r="AL63" s="1615"/>
      <c r="AM63" s="1615"/>
      <c r="AN63" s="1615"/>
      <c r="AO63" s="1615"/>
      <c r="AP63" s="1615"/>
      <c r="AQ63" s="1615"/>
      <c r="AR63" s="1615"/>
      <c r="AS63" s="1615"/>
      <c r="AT63" s="1615"/>
      <c r="AU63" s="1615"/>
      <c r="AV63" s="1615"/>
      <c r="AW63" s="1615"/>
      <c r="AX63" s="1616"/>
      <c r="AY63" s="1615"/>
      <c r="AZ63" s="1615"/>
      <c r="BA63" s="1615"/>
      <c r="BB63" s="1615"/>
      <c r="BC63" s="1615"/>
      <c r="BD63" s="1615"/>
      <c r="BE63" s="1615"/>
      <c r="BF63" s="1615"/>
      <c r="BG63" s="1615"/>
      <c r="BH63" s="1616"/>
      <c r="BI63" s="1616"/>
      <c r="BJ63" s="1615"/>
    </row>
    <row r="64" spans="1:62" ht="14.1" customHeight="1">
      <c r="A64" s="1403" t="s">
        <v>1286</v>
      </c>
      <c r="B64" s="1403" t="s">
        <v>1287</v>
      </c>
      <c r="C64" s="1403" t="s">
        <v>1288</v>
      </c>
      <c r="D64" s="1570">
        <v>40940</v>
      </c>
      <c r="E64" s="1585" t="s">
        <v>459</v>
      </c>
      <c r="F64" s="1577" t="s">
        <v>460</v>
      </c>
      <c r="G64" s="1535">
        <v>3521</v>
      </c>
      <c r="H64" s="1542"/>
      <c r="I64" s="1542"/>
      <c r="J64" s="1542"/>
      <c r="K64" s="1542"/>
      <c r="L64" s="1542"/>
      <c r="M64" s="1542"/>
      <c r="N64" s="1542"/>
      <c r="O64" s="1542"/>
      <c r="P64" s="1542"/>
      <c r="Q64" s="1542"/>
      <c r="R64" s="1542"/>
      <c r="S64" s="1542"/>
      <c r="T64" s="1542"/>
      <c r="U64" s="1535">
        <v>16</v>
      </c>
      <c r="V64" s="1542"/>
      <c r="W64" s="1542"/>
      <c r="X64" s="1542"/>
      <c r="Y64" s="1542"/>
      <c r="Z64" s="1542"/>
      <c r="AA64" s="1542">
        <f>'[11]Table 5A5_SSD'!C65</f>
        <v>3</v>
      </c>
      <c r="AB64" s="1537">
        <v>7</v>
      </c>
      <c r="AC64" s="1542"/>
      <c r="AD64" s="1542">
        <f t="shared" si="0"/>
        <v>3547</v>
      </c>
      <c r="AE64" s="1405"/>
      <c r="AF64" s="1615"/>
      <c r="AG64" s="1616"/>
      <c r="AH64" s="1615"/>
      <c r="AI64" s="1615"/>
      <c r="AJ64" s="1615"/>
      <c r="AK64" s="1615"/>
      <c r="AL64" s="1615"/>
      <c r="AM64" s="1615"/>
      <c r="AN64" s="1615"/>
      <c r="AO64" s="1615"/>
      <c r="AP64" s="1615"/>
      <c r="AQ64" s="1615"/>
      <c r="AR64" s="1615"/>
      <c r="AS64" s="1616"/>
      <c r="AT64" s="1615"/>
      <c r="AU64" s="1615"/>
      <c r="AV64" s="1615"/>
      <c r="AW64" s="1615"/>
      <c r="AX64" s="1615"/>
      <c r="AY64" s="1615"/>
      <c r="AZ64" s="1615"/>
      <c r="BA64" s="1615"/>
      <c r="BB64" s="1615"/>
      <c r="BC64" s="1615"/>
      <c r="BD64" s="1615"/>
      <c r="BE64" s="1615"/>
      <c r="BF64" s="1615"/>
      <c r="BG64" s="1615"/>
      <c r="BH64" s="1616"/>
      <c r="BI64" s="1616"/>
      <c r="BJ64" s="1615"/>
    </row>
    <row r="65" spans="1:76" ht="14.1" customHeight="1">
      <c r="A65" s="1403" t="s">
        <v>1286</v>
      </c>
      <c r="B65" s="1403" t="s">
        <v>1287</v>
      </c>
      <c r="C65" s="1403" t="s">
        <v>1288</v>
      </c>
      <c r="D65" s="1570">
        <v>40940</v>
      </c>
      <c r="E65" s="1585" t="s">
        <v>461</v>
      </c>
      <c r="F65" s="1577" t="s">
        <v>462</v>
      </c>
      <c r="G65" s="1535">
        <v>2097</v>
      </c>
      <c r="H65" s="1542"/>
      <c r="I65" s="1542"/>
      <c r="J65" s="1542"/>
      <c r="K65" s="1542"/>
      <c r="L65" s="1542"/>
      <c r="M65" s="1542"/>
      <c r="N65" s="1542"/>
      <c r="O65" s="1535">
        <v>31</v>
      </c>
      <c r="P65" s="1542"/>
      <c r="Q65" s="1542"/>
      <c r="R65" s="1542"/>
      <c r="S65" s="1542"/>
      <c r="T65" s="1542"/>
      <c r="U65" s="1535">
        <v>1</v>
      </c>
      <c r="V65" s="1542"/>
      <c r="W65" s="1535">
        <v>2</v>
      </c>
      <c r="X65" s="1542"/>
      <c r="Y65" s="1542"/>
      <c r="Z65" s="1542"/>
      <c r="AA65" s="1542">
        <f>'[11]Table 5A5_SSD'!C66</f>
        <v>2</v>
      </c>
      <c r="AB65" s="1537"/>
      <c r="AC65" s="1542"/>
      <c r="AD65" s="1542">
        <f t="shared" si="0"/>
        <v>2133</v>
      </c>
      <c r="AE65" s="1405"/>
      <c r="AF65" s="1615"/>
      <c r="AG65" s="1615"/>
      <c r="AH65" s="1615"/>
      <c r="AI65" s="1615"/>
      <c r="AJ65" s="1615"/>
      <c r="AK65" s="1615"/>
      <c r="AL65" s="1616"/>
      <c r="AM65" s="1615"/>
      <c r="AN65" s="1615"/>
      <c r="AO65" s="1615"/>
      <c r="AP65" s="1615"/>
      <c r="AQ65" s="1615"/>
      <c r="AR65" s="1615"/>
      <c r="AS65" s="1615"/>
      <c r="AT65" s="1615"/>
      <c r="AU65" s="1615"/>
      <c r="AV65" s="1615"/>
      <c r="AW65" s="1615"/>
      <c r="AX65" s="1615"/>
      <c r="AY65" s="1615"/>
      <c r="AZ65" s="1615"/>
      <c r="BA65" s="1615"/>
      <c r="BB65" s="1615"/>
      <c r="BC65" s="1615"/>
      <c r="BD65" s="1615"/>
      <c r="BE65" s="1615"/>
      <c r="BF65" s="1615"/>
      <c r="BG65" s="1615"/>
      <c r="BH65" s="1615"/>
      <c r="BI65" s="1615"/>
      <c r="BJ65" s="1616"/>
    </row>
    <row r="66" spans="1:76" ht="14.1" customHeight="1">
      <c r="A66" s="1403" t="s">
        <v>1286</v>
      </c>
      <c r="B66" s="1403" t="s">
        <v>1287</v>
      </c>
      <c r="C66" s="1403" t="s">
        <v>1288</v>
      </c>
      <c r="D66" s="1570">
        <v>40940</v>
      </c>
      <c r="E66" s="1585" t="s">
        <v>463</v>
      </c>
      <c r="F66" s="1577" t="s">
        <v>464</v>
      </c>
      <c r="G66" s="1535">
        <v>2028</v>
      </c>
      <c r="H66" s="1542"/>
      <c r="I66" s="1542"/>
      <c r="J66" s="1542"/>
      <c r="K66" s="1542"/>
      <c r="L66" s="1542"/>
      <c r="M66" s="1542"/>
      <c r="N66" s="1542"/>
      <c r="O66" s="1542"/>
      <c r="P66" s="1542"/>
      <c r="Q66" s="1542"/>
      <c r="R66" s="1542"/>
      <c r="S66" s="1542"/>
      <c r="T66" s="1542"/>
      <c r="U66" s="1542"/>
      <c r="V66" s="1542"/>
      <c r="W66" s="1535">
        <v>6</v>
      </c>
      <c r="X66" s="1542"/>
      <c r="Y66" s="1542"/>
      <c r="Z66" s="1542"/>
      <c r="AA66" s="1542">
        <f>'[11]Table 5A5_SSD'!C67</f>
        <v>1</v>
      </c>
      <c r="AB66" s="1537">
        <v>1</v>
      </c>
      <c r="AC66" s="1542"/>
      <c r="AD66" s="1542">
        <f t="shared" si="0"/>
        <v>2036</v>
      </c>
      <c r="AE66" s="1405"/>
      <c r="AF66" s="1615"/>
      <c r="AG66" s="1615"/>
      <c r="AH66" s="1615"/>
      <c r="AI66" s="1615"/>
      <c r="AJ66" s="1615"/>
      <c r="AK66" s="1615"/>
      <c r="AL66" s="1615"/>
      <c r="AM66" s="1615"/>
      <c r="AN66" s="1615"/>
      <c r="AO66" s="1616"/>
      <c r="AP66" s="1615"/>
      <c r="AQ66" s="1615"/>
      <c r="AR66" s="1615"/>
      <c r="AS66" s="1615"/>
      <c r="AT66" s="1616"/>
      <c r="AU66" s="1615"/>
      <c r="AV66" s="1615"/>
      <c r="AW66" s="1615"/>
      <c r="AX66" s="1615"/>
      <c r="AY66" s="1615"/>
      <c r="AZ66" s="1615"/>
      <c r="BA66" s="1615"/>
      <c r="BB66" s="1615"/>
      <c r="BC66" s="1615"/>
      <c r="BD66" s="1615"/>
      <c r="BE66" s="1615"/>
      <c r="BF66" s="1615"/>
      <c r="BG66" s="1615"/>
      <c r="BH66" s="1615"/>
      <c r="BI66" s="1615"/>
      <c r="BJ66" s="1615"/>
    </row>
    <row r="67" spans="1:76" ht="14.1" customHeight="1">
      <c r="A67" s="1403" t="s">
        <v>1286</v>
      </c>
      <c r="B67" s="1403" t="s">
        <v>1287</v>
      </c>
      <c r="C67" s="1403" t="s">
        <v>1288</v>
      </c>
      <c r="D67" s="1570">
        <v>40940</v>
      </c>
      <c r="E67" s="1585" t="s">
        <v>465</v>
      </c>
      <c r="F67" s="1577" t="s">
        <v>466</v>
      </c>
      <c r="G67" s="1535">
        <v>2417</v>
      </c>
      <c r="H67" s="1542"/>
      <c r="I67" s="1542"/>
      <c r="J67" s="1542"/>
      <c r="K67" s="1542"/>
      <c r="L67" s="1542"/>
      <c r="M67" s="1542"/>
      <c r="N67" s="1542"/>
      <c r="O67" s="1542"/>
      <c r="P67" s="1542"/>
      <c r="Q67" s="1542"/>
      <c r="R67" s="1542"/>
      <c r="S67" s="1542"/>
      <c r="T67" s="1542"/>
      <c r="U67" s="1535">
        <v>2</v>
      </c>
      <c r="V67" s="1542"/>
      <c r="W67" s="1535">
        <v>1</v>
      </c>
      <c r="X67" s="1542"/>
      <c r="Y67" s="1542"/>
      <c r="Z67" s="1542"/>
      <c r="AA67" s="1542">
        <f>'[11]Table 5A5_SSD'!C68</f>
        <v>1</v>
      </c>
      <c r="AB67" s="1537">
        <v>1</v>
      </c>
      <c r="AC67" s="1542"/>
      <c r="AD67" s="1542">
        <f t="shared" si="0"/>
        <v>2422</v>
      </c>
      <c r="AE67" s="1405"/>
      <c r="AF67" s="1615"/>
      <c r="AG67" s="1615"/>
      <c r="AH67" s="1615"/>
      <c r="AI67" s="1615"/>
      <c r="AJ67" s="1615"/>
      <c r="AK67" s="1615"/>
      <c r="AL67" s="1615"/>
      <c r="AM67" s="1615"/>
      <c r="AN67" s="1615"/>
      <c r="AO67" s="1615"/>
      <c r="AP67" s="1615"/>
      <c r="AQ67" s="1615"/>
      <c r="AR67" s="1615"/>
      <c r="AS67" s="1615"/>
      <c r="AT67" s="1615"/>
      <c r="AU67" s="1615"/>
      <c r="AV67" s="1615"/>
      <c r="AW67" s="1615"/>
      <c r="AX67" s="1615"/>
      <c r="AY67" s="1615"/>
      <c r="AZ67" s="1615"/>
      <c r="BA67" s="1615"/>
      <c r="BB67" s="1616"/>
      <c r="BC67" s="1615"/>
      <c r="BD67" s="1615"/>
      <c r="BE67" s="1615"/>
      <c r="BF67" s="1615"/>
      <c r="BG67" s="1615"/>
      <c r="BH67" s="1615"/>
      <c r="BI67" s="1615"/>
      <c r="BJ67" s="1615"/>
    </row>
    <row r="68" spans="1:76" ht="14.1" customHeight="1">
      <c r="A68" s="1546" t="s">
        <v>1286</v>
      </c>
      <c r="B68" s="1546" t="s">
        <v>1287</v>
      </c>
      <c r="C68" s="1546" t="s">
        <v>1288</v>
      </c>
      <c r="D68" s="1571">
        <v>40940</v>
      </c>
      <c r="E68" s="1586" t="s">
        <v>467</v>
      </c>
      <c r="F68" s="1578" t="s">
        <v>990</v>
      </c>
      <c r="G68" s="1547">
        <v>8398</v>
      </c>
      <c r="H68" s="1548"/>
      <c r="I68" s="1548"/>
      <c r="J68" s="1548"/>
      <c r="K68" s="1548">
        <v>179</v>
      </c>
      <c r="L68" s="1548"/>
      <c r="M68" s="1548"/>
      <c r="N68" s="1547"/>
      <c r="O68" s="1548"/>
      <c r="P68" s="1548"/>
      <c r="Q68" s="1548"/>
      <c r="R68" s="1548"/>
      <c r="S68" s="1548"/>
      <c r="T68" s="1548"/>
      <c r="U68" s="1547">
        <v>5</v>
      </c>
      <c r="V68" s="1548"/>
      <c r="W68" s="1547">
        <v>2</v>
      </c>
      <c r="X68" s="1548"/>
      <c r="Y68" s="1548"/>
      <c r="Z68" s="1548"/>
      <c r="AA68" s="1548">
        <f>'[11]Table 5A5_SSD'!C69</f>
        <v>0</v>
      </c>
      <c r="AB68" s="1549">
        <v>3</v>
      </c>
      <c r="AC68" s="1548"/>
      <c r="AD68" s="1548">
        <f t="shared" si="0"/>
        <v>8587</v>
      </c>
      <c r="AE68" s="1405"/>
      <c r="AF68" s="1615"/>
      <c r="AG68" s="1615"/>
      <c r="AH68" s="1615"/>
      <c r="AI68" s="1615"/>
      <c r="AJ68" s="1615"/>
      <c r="AK68" s="1615"/>
      <c r="AL68" s="1615"/>
      <c r="AM68" s="1615"/>
      <c r="AN68" s="1615"/>
      <c r="AO68" s="1615"/>
      <c r="AP68" s="1615"/>
      <c r="AQ68" s="1615"/>
      <c r="AR68" s="1615"/>
      <c r="AS68" s="1615"/>
      <c r="AT68" s="1615"/>
      <c r="AU68" s="1615"/>
      <c r="AV68" s="1615"/>
      <c r="AW68" s="1615"/>
      <c r="AX68" s="1616"/>
      <c r="AY68" s="1615"/>
      <c r="AZ68" s="1615"/>
      <c r="BA68" s="1615"/>
      <c r="BB68" s="1615"/>
      <c r="BC68" s="1615"/>
      <c r="BD68" s="1615"/>
      <c r="BE68" s="1615"/>
      <c r="BF68" s="1615"/>
      <c r="BG68" s="1615"/>
      <c r="BH68" s="1616"/>
      <c r="BI68" s="1616"/>
      <c r="BJ68" s="1615"/>
    </row>
    <row r="69" spans="1:76" ht="14.1" customHeight="1">
      <c r="A69" s="1554" t="s">
        <v>1286</v>
      </c>
      <c r="B69" s="1554" t="s">
        <v>1287</v>
      </c>
      <c r="C69" s="1554" t="s">
        <v>1288</v>
      </c>
      <c r="D69" s="1573">
        <v>40940</v>
      </c>
      <c r="E69" s="1588" t="s">
        <v>468</v>
      </c>
      <c r="F69" s="1580" t="s">
        <v>991</v>
      </c>
      <c r="G69" s="1555">
        <v>2052</v>
      </c>
      <c r="H69" s="1556"/>
      <c r="I69" s="1556"/>
      <c r="J69" s="1556"/>
      <c r="K69" s="1556"/>
      <c r="L69" s="1556"/>
      <c r="M69" s="1556"/>
      <c r="N69" s="1556"/>
      <c r="O69" s="1556"/>
      <c r="P69" s="1556"/>
      <c r="Q69" s="1556"/>
      <c r="R69" s="1556"/>
      <c r="S69" s="1556"/>
      <c r="T69" s="1556"/>
      <c r="U69" s="1555">
        <v>4</v>
      </c>
      <c r="V69" s="1556"/>
      <c r="W69" s="1555">
        <v>1</v>
      </c>
      <c r="X69" s="1556"/>
      <c r="Y69" s="1556"/>
      <c r="Z69" s="1556"/>
      <c r="AA69" s="1556">
        <f>'[11]Table 5A5_SSD'!C70</f>
        <v>0</v>
      </c>
      <c r="AB69" s="1554">
        <v>2</v>
      </c>
      <c r="AC69" s="1556"/>
      <c r="AD69" s="1556">
        <f t="shared" ref="AD69:AD73" si="1">SUM(G69:AC69)</f>
        <v>2059</v>
      </c>
      <c r="AE69" s="1405"/>
      <c r="AF69" s="1615"/>
      <c r="AG69" s="1615"/>
      <c r="AH69" s="1616"/>
      <c r="AI69" s="1615"/>
      <c r="AJ69" s="1615"/>
      <c r="AK69" s="1615"/>
      <c r="AL69" s="1616"/>
      <c r="AM69" s="1615"/>
      <c r="AN69" s="1615"/>
      <c r="AO69" s="1615"/>
      <c r="AP69" s="1615"/>
      <c r="AQ69" s="1615"/>
      <c r="AR69" s="1615"/>
      <c r="AS69" s="1615"/>
      <c r="AT69" s="1615"/>
      <c r="AU69" s="1615"/>
      <c r="AV69" s="1615"/>
      <c r="AW69" s="1615"/>
      <c r="AX69" s="1615"/>
      <c r="AY69" s="1615"/>
      <c r="AZ69" s="1615"/>
      <c r="BA69" s="1615"/>
      <c r="BB69" s="1615"/>
      <c r="BC69" s="1615"/>
      <c r="BD69" s="1615"/>
      <c r="BE69" s="1615"/>
      <c r="BF69" s="1615"/>
      <c r="BG69" s="1615"/>
      <c r="BH69" s="1616"/>
      <c r="BI69" s="1615"/>
      <c r="BJ69" s="1615"/>
    </row>
    <row r="70" spans="1:76" ht="14.1" customHeight="1">
      <c r="A70" s="1557" t="s">
        <v>1286</v>
      </c>
      <c r="B70" s="1557" t="s">
        <v>1287</v>
      </c>
      <c r="C70" s="1557" t="s">
        <v>1288</v>
      </c>
      <c r="D70" s="1574">
        <v>40940</v>
      </c>
      <c r="E70" s="1585" t="s">
        <v>469</v>
      </c>
      <c r="F70" s="1581" t="s">
        <v>995</v>
      </c>
      <c r="G70" s="1558">
        <v>5057</v>
      </c>
      <c r="H70" s="1559"/>
      <c r="I70" s="1559"/>
      <c r="J70" s="1559"/>
      <c r="K70" s="1559"/>
      <c r="L70" s="1559"/>
      <c r="M70" s="1559"/>
      <c r="N70" s="1559"/>
      <c r="O70" s="1559"/>
      <c r="P70" s="1559"/>
      <c r="Q70" s="1559"/>
      <c r="R70" s="1559"/>
      <c r="S70" s="1559"/>
      <c r="T70" s="1558">
        <v>2</v>
      </c>
      <c r="U70" s="1558">
        <v>2</v>
      </c>
      <c r="V70" s="1559"/>
      <c r="W70" s="1558">
        <v>4</v>
      </c>
      <c r="X70" s="1559"/>
      <c r="Y70" s="1559"/>
      <c r="Z70" s="1559"/>
      <c r="AA70" s="1559">
        <f>'[11]Table 5A5_SSD'!C71</f>
        <v>2</v>
      </c>
      <c r="AB70" s="1559">
        <v>4</v>
      </c>
      <c r="AC70" s="1559"/>
      <c r="AD70" s="1559">
        <f t="shared" si="1"/>
        <v>5071</v>
      </c>
      <c r="AE70" s="1405"/>
      <c r="AF70" s="1615"/>
      <c r="AG70" s="1615"/>
      <c r="AH70" s="1615"/>
      <c r="AI70" s="1615"/>
      <c r="AJ70" s="1615"/>
      <c r="AK70" s="1615"/>
      <c r="AL70" s="1616"/>
      <c r="AM70" s="1615"/>
      <c r="AN70" s="1615"/>
      <c r="AO70" s="1615"/>
      <c r="AP70" s="1615"/>
      <c r="AQ70" s="1615"/>
      <c r="AR70" s="1615"/>
      <c r="AS70" s="1615"/>
      <c r="AT70" s="1615"/>
      <c r="AU70" s="1615"/>
      <c r="AV70" s="1615"/>
      <c r="AW70" s="1615"/>
      <c r="AX70" s="1615"/>
      <c r="AY70" s="1615"/>
      <c r="AZ70" s="1615"/>
      <c r="BA70" s="1615"/>
      <c r="BB70" s="1615"/>
      <c r="BC70" s="1615"/>
      <c r="BD70" s="1615"/>
      <c r="BE70" s="1615"/>
      <c r="BF70" s="1615"/>
      <c r="BG70" s="1615"/>
      <c r="BH70" s="1615"/>
      <c r="BI70" s="1615"/>
      <c r="BJ70" s="1615"/>
    </row>
    <row r="71" spans="1:76" ht="14.1" customHeight="1">
      <c r="A71" s="1557" t="s">
        <v>1286</v>
      </c>
      <c r="B71" s="1557" t="s">
        <v>1287</v>
      </c>
      <c r="C71" s="1557" t="s">
        <v>1288</v>
      </c>
      <c r="D71" s="1574">
        <v>40940</v>
      </c>
      <c r="E71" s="1585" t="s">
        <v>470</v>
      </c>
      <c r="F71" s="1581" t="s">
        <v>992</v>
      </c>
      <c r="G71" s="1558">
        <v>1758</v>
      </c>
      <c r="H71" s="1559"/>
      <c r="I71" s="1559"/>
      <c r="J71" s="1559"/>
      <c r="K71" s="1559"/>
      <c r="L71" s="1559"/>
      <c r="M71" s="1559"/>
      <c r="N71" s="1559"/>
      <c r="O71" s="1559"/>
      <c r="P71" s="1559"/>
      <c r="Q71" s="1559"/>
      <c r="R71" s="1559"/>
      <c r="S71" s="1559"/>
      <c r="T71" s="1558">
        <v>4</v>
      </c>
      <c r="U71" s="1558">
        <v>4</v>
      </c>
      <c r="V71" s="1559"/>
      <c r="W71" s="1558">
        <v>1</v>
      </c>
      <c r="X71" s="1559"/>
      <c r="Y71" s="1559"/>
      <c r="Z71" s="1559"/>
      <c r="AA71" s="1559">
        <f>'[11]Table 5A5_SSD'!C72</f>
        <v>0</v>
      </c>
      <c r="AB71" s="1557">
        <v>5</v>
      </c>
      <c r="AC71" s="1559"/>
      <c r="AD71" s="1559">
        <f t="shared" si="1"/>
        <v>1772</v>
      </c>
      <c r="AE71" s="1405"/>
      <c r="AF71" s="1615"/>
      <c r="AG71" s="1615"/>
      <c r="AH71" s="1615"/>
      <c r="AI71" s="1615"/>
      <c r="AJ71" s="1615"/>
      <c r="AK71" s="1615"/>
      <c r="AL71" s="1615"/>
      <c r="AM71" s="1615"/>
      <c r="AN71" s="1615"/>
      <c r="AO71" s="1615"/>
      <c r="AP71" s="1615"/>
      <c r="AQ71" s="1615"/>
      <c r="AR71" s="1615"/>
      <c r="AS71" s="1615"/>
      <c r="AT71" s="1615"/>
      <c r="AU71" s="1615"/>
      <c r="AV71" s="1615"/>
      <c r="AW71" s="1615"/>
      <c r="AX71" s="1615"/>
      <c r="AY71" s="1615"/>
      <c r="AZ71" s="1615"/>
      <c r="BA71" s="1615"/>
      <c r="BB71" s="1615"/>
      <c r="BC71" s="1615"/>
      <c r="BD71" s="1615"/>
      <c r="BE71" s="1615"/>
      <c r="BF71" s="1615"/>
      <c r="BG71" s="1615"/>
      <c r="BH71" s="1616"/>
      <c r="BI71" s="1615"/>
      <c r="BJ71" s="1615"/>
    </row>
    <row r="72" spans="1:76" ht="14.1" customHeight="1">
      <c r="A72" s="1557" t="s">
        <v>1286</v>
      </c>
      <c r="B72" s="1557" t="s">
        <v>1287</v>
      </c>
      <c r="C72" s="1557" t="s">
        <v>1288</v>
      </c>
      <c r="D72" s="1574">
        <v>40940</v>
      </c>
      <c r="E72" s="1585" t="s">
        <v>471</v>
      </c>
      <c r="F72" s="1581" t="s">
        <v>993</v>
      </c>
      <c r="G72" s="1558">
        <v>3927</v>
      </c>
      <c r="H72" s="1559"/>
      <c r="I72" s="1559"/>
      <c r="J72" s="1559"/>
      <c r="K72" s="1559"/>
      <c r="L72" s="1559"/>
      <c r="M72" s="1559"/>
      <c r="N72" s="1559"/>
      <c r="O72" s="1559"/>
      <c r="P72" s="1559"/>
      <c r="Q72" s="1559"/>
      <c r="R72" s="1559"/>
      <c r="S72" s="1559"/>
      <c r="T72" s="1558">
        <v>2</v>
      </c>
      <c r="U72" s="1558">
        <v>10</v>
      </c>
      <c r="V72" s="1559"/>
      <c r="W72" s="1558">
        <v>1</v>
      </c>
      <c r="X72" s="1559"/>
      <c r="Y72" s="1559"/>
      <c r="Z72" s="1559"/>
      <c r="AA72" s="1559">
        <f>'[11]Table 5A5_SSD'!C73</f>
        <v>1</v>
      </c>
      <c r="AB72" s="1559">
        <v>2</v>
      </c>
      <c r="AC72" s="1559"/>
      <c r="AD72" s="1559">
        <f t="shared" si="1"/>
        <v>3943</v>
      </c>
      <c r="AE72" s="1405"/>
      <c r="AF72" s="1615"/>
      <c r="AG72" s="1615"/>
      <c r="AH72" s="1616"/>
      <c r="AI72" s="1615"/>
      <c r="AJ72" s="1615"/>
      <c r="AK72" s="1615"/>
      <c r="AL72" s="1615"/>
      <c r="AM72" s="1615"/>
      <c r="AN72" s="1615"/>
      <c r="AO72" s="1615"/>
      <c r="AP72" s="1615"/>
      <c r="AQ72" s="1615"/>
      <c r="AR72" s="1615"/>
      <c r="AS72" s="1615"/>
      <c r="AT72" s="1615"/>
      <c r="AU72" s="1615"/>
      <c r="AV72" s="1615"/>
      <c r="AW72" s="1615"/>
      <c r="AX72" s="1615"/>
      <c r="AY72" s="1615"/>
      <c r="AZ72" s="1615"/>
      <c r="BA72" s="1615"/>
      <c r="BB72" s="1615"/>
      <c r="BC72" s="1615"/>
      <c r="BD72" s="1615"/>
      <c r="BE72" s="1615"/>
      <c r="BF72" s="1615"/>
      <c r="BG72" s="1615"/>
      <c r="BH72" s="1615"/>
      <c r="BI72" s="1615"/>
      <c r="BJ72" s="1615"/>
    </row>
    <row r="73" spans="1:76" ht="13.5" thickBot="1">
      <c r="A73" s="1560"/>
      <c r="B73" s="1560"/>
      <c r="C73" s="1560"/>
      <c r="D73" s="1552"/>
      <c r="E73" s="1586"/>
      <c r="F73" s="1582" t="s">
        <v>994</v>
      </c>
      <c r="G73" s="1561"/>
      <c r="H73" s="1561"/>
      <c r="I73" s="1561"/>
      <c r="J73" s="1561"/>
      <c r="K73" s="1561"/>
      <c r="L73" s="1561"/>
      <c r="M73" s="1561"/>
      <c r="N73" s="1561"/>
      <c r="O73" s="1561"/>
      <c r="P73" s="1561"/>
      <c r="Q73" s="1561"/>
      <c r="R73" s="1561"/>
      <c r="S73" s="1562">
        <v>1</v>
      </c>
      <c r="T73" s="1561"/>
      <c r="U73" s="1561"/>
      <c r="V73" s="1561"/>
      <c r="W73" s="1561"/>
      <c r="X73" s="1561"/>
      <c r="Y73" s="1561"/>
      <c r="Z73" s="1561"/>
      <c r="AA73" s="1561"/>
      <c r="AB73" s="1563"/>
      <c r="AC73" s="1561"/>
      <c r="AD73" s="1561">
        <f t="shared" si="1"/>
        <v>1</v>
      </c>
      <c r="AE73" s="1406"/>
      <c r="AF73" s="1615"/>
      <c r="AG73" s="1615"/>
      <c r="AH73" s="1615"/>
      <c r="AI73" s="1615"/>
      <c r="AJ73" s="1615"/>
      <c r="AK73" s="1615"/>
      <c r="AL73" s="1615"/>
      <c r="AM73" s="1615"/>
      <c r="AN73" s="1615"/>
      <c r="AO73" s="1615"/>
      <c r="AP73" s="1615"/>
      <c r="AQ73" s="1615"/>
      <c r="AR73" s="1615"/>
      <c r="AS73" s="1615"/>
      <c r="AT73" s="1615"/>
      <c r="AU73" s="1615"/>
      <c r="AV73" s="1615"/>
      <c r="AW73" s="1615"/>
      <c r="AX73" s="1615"/>
      <c r="AY73" s="1615"/>
      <c r="AZ73" s="1615"/>
      <c r="BA73" s="1615"/>
      <c r="BB73" s="1615"/>
      <c r="BC73" s="1615"/>
      <c r="BD73" s="1615"/>
      <c r="BE73" s="1615"/>
      <c r="BF73" s="1615"/>
      <c r="BG73" s="1615"/>
      <c r="BH73" s="1615"/>
      <c r="BI73" s="1615"/>
      <c r="BJ73" s="1615"/>
    </row>
    <row r="74" spans="1:76" s="1550" customFormat="1" ht="23.25" customHeight="1" thickTop="1" thickBot="1">
      <c r="A74" s="1564"/>
      <c r="B74" s="1564"/>
      <c r="C74" s="1564"/>
      <c r="D74" s="1553"/>
      <c r="E74" s="1589"/>
      <c r="F74" s="1583" t="s">
        <v>1289</v>
      </c>
      <c r="G74" s="1565">
        <f>SUM(G4:G73)</f>
        <v>634484</v>
      </c>
      <c r="H74" s="1565">
        <f t="shared" ref="H74:AD74" si="2">SUM(H4:H73)</f>
        <v>2872</v>
      </c>
      <c r="I74" s="1565">
        <f t="shared" si="2"/>
        <v>22270</v>
      </c>
      <c r="J74" s="1565">
        <f t="shared" si="2"/>
        <v>6869</v>
      </c>
      <c r="K74" s="1565">
        <f t="shared" si="2"/>
        <v>332</v>
      </c>
      <c r="L74" s="1565">
        <f t="shared" si="2"/>
        <v>368</v>
      </c>
      <c r="M74" s="1565">
        <f t="shared" si="2"/>
        <v>624</v>
      </c>
      <c r="N74" s="1565">
        <f t="shared" si="2"/>
        <v>681</v>
      </c>
      <c r="O74" s="1565">
        <f t="shared" si="2"/>
        <v>652</v>
      </c>
      <c r="P74" s="1565">
        <f t="shared" si="2"/>
        <v>915</v>
      </c>
      <c r="Q74" s="1565">
        <f t="shared" si="2"/>
        <v>399</v>
      </c>
      <c r="R74" s="1565">
        <f t="shared" si="2"/>
        <v>102</v>
      </c>
      <c r="S74" s="1565">
        <f t="shared" si="2"/>
        <v>364</v>
      </c>
      <c r="T74" s="1565">
        <f t="shared" si="2"/>
        <v>198</v>
      </c>
      <c r="U74" s="1565">
        <f t="shared" si="2"/>
        <v>1242</v>
      </c>
      <c r="V74" s="1565">
        <f t="shared" si="2"/>
        <v>309</v>
      </c>
      <c r="W74" s="1565">
        <f t="shared" si="2"/>
        <v>594</v>
      </c>
      <c r="X74" s="1565">
        <f t="shared" si="2"/>
        <v>640</v>
      </c>
      <c r="Y74" s="1565">
        <f t="shared" si="2"/>
        <v>55</v>
      </c>
      <c r="Z74" s="1565">
        <f t="shared" si="2"/>
        <v>103</v>
      </c>
      <c r="AA74" s="1565">
        <f t="shared" si="2"/>
        <v>286</v>
      </c>
      <c r="AB74" s="1565">
        <f t="shared" si="2"/>
        <v>221</v>
      </c>
      <c r="AC74" s="1565">
        <f t="shared" si="2"/>
        <v>2250</v>
      </c>
      <c r="AD74" s="1565">
        <f t="shared" si="2"/>
        <v>676830</v>
      </c>
      <c r="AE74" s="1551"/>
      <c r="AF74" s="1617"/>
      <c r="AG74" s="1617"/>
      <c r="AH74" s="1617"/>
      <c r="AI74" s="1617"/>
      <c r="AJ74" s="1617"/>
      <c r="AK74" s="1617"/>
      <c r="AL74" s="1617"/>
      <c r="AM74" s="1617"/>
      <c r="AN74" s="1617"/>
      <c r="AO74" s="1617"/>
      <c r="AP74" s="1617"/>
      <c r="AQ74" s="1617"/>
      <c r="AR74" s="1617"/>
      <c r="AS74" s="1617"/>
      <c r="AT74" s="1617"/>
      <c r="AU74" s="1617"/>
      <c r="AV74" s="1617"/>
      <c r="AW74" s="1617"/>
      <c r="AX74" s="1617"/>
      <c r="AY74" s="1617"/>
      <c r="AZ74" s="1617"/>
      <c r="BA74" s="1617"/>
      <c r="BB74" s="1617"/>
      <c r="BC74" s="1617"/>
      <c r="BD74" s="1617"/>
      <c r="BE74" s="1617"/>
      <c r="BF74" s="1617"/>
      <c r="BG74" s="1617"/>
      <c r="BH74" s="1617"/>
      <c r="BI74" s="1617"/>
      <c r="BJ74" s="1617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</row>
    <row r="75" spans="1:76" ht="13.5" thickTop="1"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</row>
    <row r="76" spans="1:76">
      <c r="F76" s="8"/>
      <c r="G76" s="1279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</row>
    <row r="77" spans="1:76">
      <c r="K77" s="1566"/>
      <c r="AF77" s="1618"/>
    </row>
    <row r="78" spans="1:76">
      <c r="AE78" s="165"/>
    </row>
  </sheetData>
  <printOptions horizontalCentered="1"/>
  <pageMargins left="0.25" right="0.28000000000000003" top="1.02" bottom="0.17" header="0.41" footer="0.5"/>
  <pageSetup paperSize="5" scale="80" firstPageNumber="104" orientation="portrait" useFirstPageNumber="1" r:id="rId1"/>
  <headerFooter alignWithMargins="0">
    <oddHeader>&amp;L&amp;"Arial,Bold"&amp;14Table 8:  FY2012-13 MFP  Budget Letter&amp;"Arial,Regular"&amp;10
&amp;"Arial,Bold"&amp;12February 1, 2012 MFP Funded Student Membership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Q78"/>
  <sheetViews>
    <sheetView view="pageBreakPreview" zoomScale="90" zoomScaleNormal="70" zoomScaleSheetLayoutView="90" workbookViewId="0">
      <pane xSplit="2" ySplit="4" topLeftCell="C5" activePane="bottomRight" state="frozen"/>
      <selection activeCell="A8" sqref="A8:A9"/>
      <selection pane="topRight" activeCell="A8" sqref="A8:A9"/>
      <selection pane="bottomLeft" activeCell="A8" sqref="A8:A9"/>
      <selection pane="bottomRight" activeCell="AZ13" sqref="AZ13"/>
    </sheetView>
  </sheetViews>
  <sheetFormatPr defaultRowHeight="12.75"/>
  <cols>
    <col min="1" max="1" width="3.42578125" bestFit="1" customWidth="1"/>
    <col min="2" max="2" width="18.7109375" bestFit="1" customWidth="1"/>
    <col min="3" max="3" width="15.42578125" customWidth="1"/>
    <col min="4" max="4" width="12.140625" bestFit="1" customWidth="1"/>
    <col min="5" max="5" width="12.42578125" bestFit="1" customWidth="1"/>
    <col min="6" max="6" width="11.5703125" bestFit="1" customWidth="1"/>
    <col min="7" max="7" width="11" bestFit="1" customWidth="1"/>
    <col min="8" max="8" width="11.5703125" bestFit="1" customWidth="1"/>
    <col min="9" max="9" width="11.140625" customWidth="1"/>
    <col min="10" max="10" width="11.7109375" hidden="1" customWidth="1"/>
    <col min="11" max="11" width="11.7109375" customWidth="1"/>
    <col min="12" max="14" width="12.140625" customWidth="1"/>
    <col min="15" max="15" width="12.85546875" bestFit="1" customWidth="1"/>
    <col min="16" max="23" width="13.140625" customWidth="1"/>
    <col min="24" max="24" width="14.5703125" customWidth="1"/>
    <col min="25" max="30" width="12" customWidth="1"/>
    <col min="31" max="31" width="16" bestFit="1" customWidth="1"/>
    <col min="32" max="32" width="13" customWidth="1"/>
    <col min="33" max="34" width="14.140625" customWidth="1"/>
    <col min="35" max="35" width="12" bestFit="1" customWidth="1"/>
    <col min="36" max="39" width="12.85546875" customWidth="1"/>
    <col min="40" max="40" width="14.140625" customWidth="1"/>
    <col min="41" max="41" width="13.85546875" customWidth="1"/>
    <col min="42" max="42" width="12.5703125" customWidth="1"/>
    <col min="43" max="44" width="12.85546875" customWidth="1"/>
    <col min="45" max="45" width="13.140625" bestFit="1" customWidth="1"/>
    <col min="46" max="46" width="12.42578125" bestFit="1" customWidth="1"/>
    <col min="47" max="47" width="12.85546875" customWidth="1"/>
    <col min="48" max="50" width="12.42578125" bestFit="1" customWidth="1"/>
    <col min="51" max="52" width="12.85546875" customWidth="1"/>
    <col min="53" max="53" width="13.85546875" bestFit="1" customWidth="1"/>
    <col min="54" max="54" width="1.140625" customWidth="1"/>
    <col min="60" max="60" width="9.140625" style="49"/>
    <col min="69" max="69" width="9.140625" style="47"/>
  </cols>
  <sheetData>
    <row r="1" spans="1:69" ht="12.75" customHeight="1">
      <c r="A1" s="1657" t="s">
        <v>639</v>
      </c>
      <c r="B1" s="1657" t="s">
        <v>288</v>
      </c>
      <c r="C1" s="1677" t="s">
        <v>1325</v>
      </c>
      <c r="D1" s="1667" t="s">
        <v>1369</v>
      </c>
      <c r="E1" s="1667" t="s">
        <v>1370</v>
      </c>
      <c r="F1" s="1667" t="s">
        <v>1474</v>
      </c>
      <c r="G1" s="1667" t="s">
        <v>1475</v>
      </c>
      <c r="H1" s="1667" t="s">
        <v>1476</v>
      </c>
      <c r="I1" s="1667" t="s">
        <v>1477</v>
      </c>
      <c r="J1" s="1667" t="s">
        <v>722</v>
      </c>
      <c r="K1" s="1667" t="s">
        <v>1478</v>
      </c>
      <c r="L1" s="1667" t="s">
        <v>1479</v>
      </c>
      <c r="M1" s="1667" t="s">
        <v>1480</v>
      </c>
      <c r="N1" s="1667" t="s">
        <v>1481</v>
      </c>
      <c r="O1" s="1667" t="s">
        <v>1371</v>
      </c>
      <c r="P1" s="1667" t="s">
        <v>1372</v>
      </c>
      <c r="Q1" s="1690" t="s">
        <v>1482</v>
      </c>
      <c r="R1" s="1690" t="s">
        <v>1483</v>
      </c>
      <c r="S1" s="1690" t="s">
        <v>1484</v>
      </c>
      <c r="T1" s="1690" t="s">
        <v>1485</v>
      </c>
      <c r="U1" s="1690" t="s">
        <v>1486</v>
      </c>
      <c r="V1" s="1690" t="s">
        <v>1487</v>
      </c>
      <c r="W1" s="1690" t="s">
        <v>1488</v>
      </c>
      <c r="X1" s="1690" t="s">
        <v>1489</v>
      </c>
      <c r="Y1" s="1684" t="s">
        <v>1490</v>
      </c>
      <c r="Z1" s="1684" t="s">
        <v>1492</v>
      </c>
      <c r="AA1" s="1684" t="s">
        <v>1491</v>
      </c>
      <c r="AB1" s="1684" t="s">
        <v>1493</v>
      </c>
      <c r="AC1" s="1684" t="s">
        <v>1494</v>
      </c>
      <c r="AD1" s="1684" t="s">
        <v>1373</v>
      </c>
      <c r="AE1" s="1681" t="s">
        <v>1374</v>
      </c>
      <c r="AF1" s="1667" t="s">
        <v>726</v>
      </c>
      <c r="AG1" s="1667" t="s">
        <v>725</v>
      </c>
      <c r="AH1" s="1667" t="s">
        <v>1326</v>
      </c>
      <c r="AI1" s="1667" t="s">
        <v>1495</v>
      </c>
      <c r="AJ1" s="1667" t="s">
        <v>1496</v>
      </c>
      <c r="AK1" s="1667" t="s">
        <v>1497</v>
      </c>
      <c r="AL1" s="1667" t="s">
        <v>1498</v>
      </c>
      <c r="AM1" s="1667" t="s">
        <v>1499</v>
      </c>
      <c r="AN1" s="1667" t="s">
        <v>1500</v>
      </c>
      <c r="AO1" s="1667" t="s">
        <v>1501</v>
      </c>
      <c r="AP1" s="1667" t="s">
        <v>1502</v>
      </c>
      <c r="AQ1" s="1667" t="s">
        <v>723</v>
      </c>
      <c r="AR1" s="1667" t="s">
        <v>724</v>
      </c>
      <c r="AS1" s="1690" t="s">
        <v>1503</v>
      </c>
      <c r="AT1" s="1690" t="s">
        <v>1504</v>
      </c>
      <c r="AU1" s="1690" t="s">
        <v>1505</v>
      </c>
      <c r="AV1" s="1690" t="s">
        <v>1506</v>
      </c>
      <c r="AW1" s="1690" t="s">
        <v>1507</v>
      </c>
      <c r="AX1" s="1690" t="s">
        <v>1508</v>
      </c>
      <c r="AY1" s="1690" t="s">
        <v>1509</v>
      </c>
      <c r="AZ1" s="1690" t="s">
        <v>1510</v>
      </c>
      <c r="BA1" s="1681" t="s">
        <v>1375</v>
      </c>
      <c r="BB1" s="47"/>
      <c r="BH1"/>
      <c r="BQ1"/>
    </row>
    <row r="2" spans="1:69">
      <c r="A2" s="1658"/>
      <c r="B2" s="1658"/>
      <c r="C2" s="1677"/>
      <c r="D2" s="1668"/>
      <c r="E2" s="1668"/>
      <c r="F2" s="1668"/>
      <c r="G2" s="1668"/>
      <c r="H2" s="1668"/>
      <c r="I2" s="1668"/>
      <c r="J2" s="1668"/>
      <c r="K2" s="1668"/>
      <c r="L2" s="1668"/>
      <c r="M2" s="1668"/>
      <c r="N2" s="1668"/>
      <c r="O2" s="1668"/>
      <c r="P2" s="1668"/>
      <c r="Q2" s="1691"/>
      <c r="R2" s="1691"/>
      <c r="S2" s="1691"/>
      <c r="T2" s="1691"/>
      <c r="U2" s="1691"/>
      <c r="V2" s="1691"/>
      <c r="W2" s="1691"/>
      <c r="X2" s="1691"/>
      <c r="Y2" s="1685"/>
      <c r="Z2" s="1685"/>
      <c r="AA2" s="1685"/>
      <c r="AB2" s="1685"/>
      <c r="AC2" s="1685"/>
      <c r="AD2" s="1685"/>
      <c r="AE2" s="1682"/>
      <c r="AF2" s="1668"/>
      <c r="AG2" s="1668"/>
      <c r="AH2" s="1668"/>
      <c r="AI2" s="1668"/>
      <c r="AJ2" s="1668"/>
      <c r="AK2" s="1668"/>
      <c r="AL2" s="1668"/>
      <c r="AM2" s="1668"/>
      <c r="AN2" s="1668"/>
      <c r="AO2" s="1668"/>
      <c r="AP2" s="1668"/>
      <c r="AQ2" s="1668"/>
      <c r="AR2" s="1668"/>
      <c r="AS2" s="1691"/>
      <c r="AT2" s="1691"/>
      <c r="AU2" s="1691"/>
      <c r="AV2" s="1691"/>
      <c r="AW2" s="1691"/>
      <c r="AX2" s="1691"/>
      <c r="AY2" s="1691"/>
      <c r="AZ2" s="1691"/>
      <c r="BA2" s="1682"/>
      <c r="BB2" s="47"/>
      <c r="BH2"/>
      <c r="BQ2"/>
    </row>
    <row r="3" spans="1:69" ht="24" customHeight="1">
      <c r="A3" s="1658"/>
      <c r="B3" s="1658"/>
      <c r="C3" s="1677"/>
      <c r="D3" s="1668"/>
      <c r="E3" s="1668"/>
      <c r="F3" s="1668"/>
      <c r="G3" s="1668"/>
      <c r="H3" s="1668"/>
      <c r="I3" s="1668"/>
      <c r="J3" s="1668"/>
      <c r="K3" s="1668"/>
      <c r="L3" s="1668"/>
      <c r="M3" s="1668"/>
      <c r="N3" s="1668"/>
      <c r="O3" s="1668"/>
      <c r="P3" s="1668"/>
      <c r="Q3" s="1691"/>
      <c r="R3" s="1691"/>
      <c r="S3" s="1691"/>
      <c r="T3" s="1691"/>
      <c r="U3" s="1691"/>
      <c r="V3" s="1691"/>
      <c r="W3" s="1691"/>
      <c r="X3" s="1691"/>
      <c r="Y3" s="1685"/>
      <c r="Z3" s="1685"/>
      <c r="AA3" s="1685"/>
      <c r="AB3" s="1685"/>
      <c r="AC3" s="1685"/>
      <c r="AD3" s="1685"/>
      <c r="AE3" s="1682"/>
      <c r="AF3" s="1668"/>
      <c r="AG3" s="1668"/>
      <c r="AH3" s="1668"/>
      <c r="AI3" s="1668"/>
      <c r="AJ3" s="1668"/>
      <c r="AK3" s="1668"/>
      <c r="AL3" s="1668"/>
      <c r="AM3" s="1668"/>
      <c r="AN3" s="1668"/>
      <c r="AO3" s="1668"/>
      <c r="AP3" s="1668"/>
      <c r="AQ3" s="1668"/>
      <c r="AR3" s="1668"/>
      <c r="AS3" s="1691"/>
      <c r="AT3" s="1691"/>
      <c r="AU3" s="1691"/>
      <c r="AV3" s="1691"/>
      <c r="AW3" s="1691"/>
      <c r="AX3" s="1691"/>
      <c r="AY3" s="1691"/>
      <c r="AZ3" s="1691"/>
      <c r="BA3" s="1682"/>
      <c r="BB3" s="759"/>
      <c r="BH3"/>
      <c r="BQ3"/>
    </row>
    <row r="4" spans="1:69" ht="109.5" customHeight="1">
      <c r="A4" s="1659"/>
      <c r="B4" s="1659"/>
      <c r="C4" s="1677"/>
      <c r="D4" s="1669"/>
      <c r="E4" s="1669"/>
      <c r="F4" s="1669"/>
      <c r="G4" s="1669"/>
      <c r="H4" s="1669"/>
      <c r="I4" s="1669"/>
      <c r="J4" s="1669"/>
      <c r="K4" s="1669"/>
      <c r="L4" s="1669"/>
      <c r="M4" s="1669"/>
      <c r="N4" s="1669"/>
      <c r="O4" s="1669"/>
      <c r="P4" s="1669"/>
      <c r="Q4" s="1692"/>
      <c r="R4" s="1692"/>
      <c r="S4" s="1692"/>
      <c r="T4" s="1692"/>
      <c r="U4" s="1692"/>
      <c r="V4" s="1692"/>
      <c r="W4" s="1692"/>
      <c r="X4" s="1692"/>
      <c r="Y4" s="1686"/>
      <c r="Z4" s="1686"/>
      <c r="AA4" s="1686"/>
      <c r="AB4" s="1686"/>
      <c r="AC4" s="1686"/>
      <c r="AD4" s="1686"/>
      <c r="AE4" s="1683"/>
      <c r="AF4" s="1669"/>
      <c r="AG4" s="1669"/>
      <c r="AH4" s="1669"/>
      <c r="AI4" s="1669"/>
      <c r="AJ4" s="1669"/>
      <c r="AK4" s="1669"/>
      <c r="AL4" s="1669"/>
      <c r="AM4" s="1669"/>
      <c r="AN4" s="1669"/>
      <c r="AO4" s="1669"/>
      <c r="AP4" s="1669"/>
      <c r="AQ4" s="1669"/>
      <c r="AR4" s="1669"/>
      <c r="AS4" s="1692"/>
      <c r="AT4" s="1692"/>
      <c r="AU4" s="1692"/>
      <c r="AV4" s="1692"/>
      <c r="AW4" s="1692"/>
      <c r="AX4" s="1692"/>
      <c r="AY4" s="1692"/>
      <c r="AZ4" s="1692"/>
      <c r="BA4" s="1683"/>
      <c r="BB4" s="759"/>
      <c r="BH4"/>
      <c r="BQ4"/>
    </row>
    <row r="5" spans="1:69" s="763" customFormat="1">
      <c r="A5" s="760"/>
      <c r="B5" s="761"/>
      <c r="C5" s="762">
        <v>1</v>
      </c>
      <c r="D5" s="762">
        <f t="shared" ref="D5:BB5" si="0">C5+1</f>
        <v>2</v>
      </c>
      <c r="E5" s="762">
        <f t="shared" si="0"/>
        <v>3</v>
      </c>
      <c r="F5" s="762">
        <f t="shared" si="0"/>
        <v>4</v>
      </c>
      <c r="G5" s="762">
        <f t="shared" si="0"/>
        <v>5</v>
      </c>
      <c r="H5" s="762">
        <f t="shared" si="0"/>
        <v>6</v>
      </c>
      <c r="I5" s="762">
        <f t="shared" ref="I5" si="1">H5+1</f>
        <v>7</v>
      </c>
      <c r="J5" s="762">
        <f t="shared" ref="J5" si="2">I5+1</f>
        <v>8</v>
      </c>
      <c r="K5" s="762">
        <f>J5</f>
        <v>8</v>
      </c>
      <c r="L5" s="762">
        <f t="shared" ref="L5" si="3">K5+1</f>
        <v>9</v>
      </c>
      <c r="M5" s="762">
        <f t="shared" ref="M5" si="4">L5+1</f>
        <v>10</v>
      </c>
      <c r="N5" s="762">
        <f t="shared" ref="N5" si="5">M5+1</f>
        <v>11</v>
      </c>
      <c r="O5" s="762">
        <f t="shared" ref="O5" si="6">N5+1</f>
        <v>12</v>
      </c>
      <c r="P5" s="762">
        <f t="shared" ref="P5" si="7">O5+1</f>
        <v>13</v>
      </c>
      <c r="Q5" s="762">
        <f t="shared" ref="Q5" si="8">P5+1</f>
        <v>14</v>
      </c>
      <c r="R5" s="762">
        <f t="shared" ref="R5" si="9">Q5+1</f>
        <v>15</v>
      </c>
      <c r="S5" s="762">
        <f t="shared" ref="S5" si="10">R5+1</f>
        <v>16</v>
      </c>
      <c r="T5" s="762">
        <f t="shared" ref="T5" si="11">S5+1</f>
        <v>17</v>
      </c>
      <c r="U5" s="762">
        <f t="shared" ref="U5" si="12">T5+1</f>
        <v>18</v>
      </c>
      <c r="V5" s="762">
        <f t="shared" ref="V5" si="13">U5+1</f>
        <v>19</v>
      </c>
      <c r="W5" s="762">
        <f t="shared" ref="W5:X5" si="14">V5+1</f>
        <v>20</v>
      </c>
      <c r="X5" s="762">
        <f t="shared" si="14"/>
        <v>21</v>
      </c>
      <c r="Y5" s="762">
        <f t="shared" ref="Y5" si="15">X5+1</f>
        <v>22</v>
      </c>
      <c r="Z5" s="762">
        <f t="shared" ref="Z5" si="16">Y5+1</f>
        <v>23</v>
      </c>
      <c r="AA5" s="762">
        <f t="shared" ref="AA5" si="17">Z5+1</f>
        <v>24</v>
      </c>
      <c r="AB5" s="762">
        <f t="shared" ref="AB5" si="18">AA5+1</f>
        <v>25</v>
      </c>
      <c r="AC5" s="762">
        <f t="shared" ref="AC5" si="19">AB5+1</f>
        <v>26</v>
      </c>
      <c r="AD5" s="762">
        <f t="shared" ref="AD5" si="20">AC5+1</f>
        <v>27</v>
      </c>
      <c r="AE5" s="762">
        <f t="shared" ref="AE5" si="21">AD5+1</f>
        <v>28</v>
      </c>
      <c r="AF5" s="762">
        <f t="shared" ref="AF5" si="22">AE5+1</f>
        <v>29</v>
      </c>
      <c r="AG5" s="762">
        <f t="shared" ref="AG5" si="23">AF5+1</f>
        <v>30</v>
      </c>
      <c r="AH5" s="762">
        <f t="shared" ref="AH5" si="24">AG5+1</f>
        <v>31</v>
      </c>
      <c r="AI5" s="762">
        <f t="shared" ref="AI5" si="25">AH5+1</f>
        <v>32</v>
      </c>
      <c r="AJ5" s="762">
        <f t="shared" ref="AJ5" si="26">AI5+1</f>
        <v>33</v>
      </c>
      <c r="AK5" s="762">
        <f t="shared" ref="AK5" si="27">AJ5+1</f>
        <v>34</v>
      </c>
      <c r="AL5" s="762">
        <f t="shared" ref="AL5" si="28">AK5+1</f>
        <v>35</v>
      </c>
      <c r="AM5" s="762">
        <f t="shared" ref="AM5" si="29">AL5+1</f>
        <v>36</v>
      </c>
      <c r="AN5" s="762">
        <f t="shared" ref="AN5" si="30">AM5+1</f>
        <v>37</v>
      </c>
      <c r="AO5" s="762">
        <f t="shared" ref="AO5" si="31">AN5+1</f>
        <v>38</v>
      </c>
      <c r="AP5" s="762">
        <f t="shared" ref="AP5" si="32">AO5+1</f>
        <v>39</v>
      </c>
      <c r="AQ5" s="762">
        <f t="shared" ref="AQ5" si="33">AP5+1</f>
        <v>40</v>
      </c>
      <c r="AR5" s="762">
        <f t="shared" ref="AR5" si="34">AQ5+1</f>
        <v>41</v>
      </c>
      <c r="AS5" s="762">
        <f t="shared" ref="AS5" si="35">AR5+1</f>
        <v>42</v>
      </c>
      <c r="AT5" s="762">
        <f t="shared" ref="AT5" si="36">AS5+1</f>
        <v>43</v>
      </c>
      <c r="AU5" s="762">
        <f t="shared" ref="AU5" si="37">AT5+1</f>
        <v>44</v>
      </c>
      <c r="AV5" s="762">
        <f t="shared" ref="AV5" si="38">AU5+1</f>
        <v>45</v>
      </c>
      <c r="AW5" s="762">
        <f t="shared" ref="AW5" si="39">AV5+1</f>
        <v>46</v>
      </c>
      <c r="AX5" s="762">
        <f t="shared" ref="AX5" si="40">AW5+1</f>
        <v>47</v>
      </c>
      <c r="AY5" s="762">
        <f t="shared" ref="AY5" si="41">AX5+1</f>
        <v>48</v>
      </c>
      <c r="AZ5" s="762">
        <f t="shared" ref="AZ5" si="42">AY5+1</f>
        <v>49</v>
      </c>
      <c r="BA5" s="762">
        <f t="shared" ref="BA5" si="43">AZ5+1</f>
        <v>50</v>
      </c>
      <c r="BB5" s="762">
        <f t="shared" si="0"/>
        <v>51</v>
      </c>
    </row>
    <row r="6" spans="1:69">
      <c r="A6" s="101">
        <v>1</v>
      </c>
      <c r="B6" s="311" t="s">
        <v>102</v>
      </c>
      <c r="C6" s="320">
        <f>'Table 2_State Distrib and Adjs'!AD7</f>
        <v>4193376</v>
      </c>
      <c r="D6" s="368"/>
      <c r="E6" s="368"/>
      <c r="F6" s="368">
        <f>-'Table 5C1A-Madison Prep'!T7</f>
        <v>0</v>
      </c>
      <c r="G6" s="368">
        <f>-'Table 5C1B-DArbonne'!T7</f>
        <v>0</v>
      </c>
      <c r="H6" s="368">
        <f>-'Table 5C1C-Intl_VIBE'!T7</f>
        <v>0</v>
      </c>
      <c r="I6" s="368">
        <f>-'Table 5C1D-NOMMA'!T7</f>
        <v>0</v>
      </c>
      <c r="J6" s="368"/>
      <c r="K6" s="368">
        <f>-'Table 5C1E-LFNO'!T7</f>
        <v>0</v>
      </c>
      <c r="L6" s="368">
        <f>-'Table 5C1F-Lake Charles Charter'!T7</f>
        <v>0</v>
      </c>
      <c r="M6" s="368">
        <f>-'Table 5C1G-JS Clark Academy'!T7</f>
        <v>0</v>
      </c>
      <c r="N6" s="368">
        <f>-'Table 5C1H-Southwest LA Charter'!T7</f>
        <v>0</v>
      </c>
      <c r="O6" s="368">
        <f>-'Table 5C2 - LA Virtual Admy'!U4</f>
        <v>-3451</v>
      </c>
      <c r="P6" s="368">
        <f>-'Table 5C3 - LA Connections EBR'!U4</f>
        <v>-1567</v>
      </c>
      <c r="Q6" s="368">
        <f>-'Table 5D1 - New Vision'!S7</f>
        <v>0</v>
      </c>
      <c r="R6" s="368">
        <f>-'Table 5D2 - Glencoe'!S7</f>
        <v>0</v>
      </c>
      <c r="S6" s="368">
        <f>-'Table 5D3 - International'!S7</f>
        <v>0</v>
      </c>
      <c r="T6" s="368">
        <f>-'Table 5D4 - Avoyelles'!S7</f>
        <v>0</v>
      </c>
      <c r="U6" s="368">
        <f>-'Table 5D5 - Delhi'!S7</f>
        <v>0</v>
      </c>
      <c r="V6" s="368">
        <f>-'Table 5D6 - Milestone'!S7</f>
        <v>0</v>
      </c>
      <c r="W6" s="368">
        <f>-'Table 5D7 - Max'!S7</f>
        <v>0</v>
      </c>
      <c r="X6" s="368">
        <f>-'Table 5D8 - Belle Chasse'!W7</f>
        <v>0</v>
      </c>
      <c r="Y6" s="368">
        <f>-'Table 5E_OJJ'!S7</f>
        <v>-390</v>
      </c>
      <c r="Z6" s="368">
        <f>-'Table 5A2 LSMSA'!L7</f>
        <v>-387</v>
      </c>
      <c r="AA6" s="368">
        <f>-'Table 5A3 NOCCA'!L7</f>
        <v>0</v>
      </c>
      <c r="AB6" s="368">
        <f>-'Table 5A4_LSDVI'!L7</f>
        <v>-511</v>
      </c>
      <c r="AC6" s="368">
        <f>-'Table 5A5_SSD'!L7</f>
        <v>-341</v>
      </c>
      <c r="AD6" s="368"/>
      <c r="AE6" s="764">
        <f>SUM(C6:AD6)</f>
        <v>4186729</v>
      </c>
      <c r="AF6" s="368"/>
      <c r="AG6" s="368"/>
      <c r="AH6" s="368"/>
      <c r="AI6" s="368">
        <f>'Table 5C1A-Madison Prep'!P7</f>
        <v>0</v>
      </c>
      <c r="AJ6" s="368">
        <f>'Table 5C1B-DArbonne'!P7</f>
        <v>0</v>
      </c>
      <c r="AK6" s="368">
        <f>'Table 5C1C-Intl_VIBE'!P7</f>
        <v>0</v>
      </c>
      <c r="AL6" s="368">
        <f>'Table 5C1D-NOMMA'!P7</f>
        <v>0</v>
      </c>
      <c r="AM6" s="368">
        <f>'Table 5C1E-LFNO'!P7</f>
        <v>0</v>
      </c>
      <c r="AN6" s="370">
        <f>'Table 5C1F-Lake Charles Charter'!P7</f>
        <v>0</v>
      </c>
      <c r="AO6" s="368">
        <f>'Table 5C1G-JS Clark Academy'!P7</f>
        <v>0</v>
      </c>
      <c r="AP6" s="368">
        <f>'Table 5C1H-Southwest LA Charter'!P7</f>
        <v>0</v>
      </c>
      <c r="AQ6" s="368">
        <f>'Table 5C2 - LA Virtual Admy'!Q4</f>
        <v>-108</v>
      </c>
      <c r="AR6" s="368">
        <f>'Table 5C3 - LA Connections EBR'!Q4</f>
        <v>-47</v>
      </c>
      <c r="AS6" s="368">
        <f>'Table 5D1 - New Vision'!O7</f>
        <v>0</v>
      </c>
      <c r="AT6" s="368">
        <f>'Table 5D2 - Glencoe'!O7</f>
        <v>0</v>
      </c>
      <c r="AU6" s="368">
        <f>'Table 5D3 - International'!O7</f>
        <v>0</v>
      </c>
      <c r="AV6" s="368">
        <f>'Table 5D4 - Avoyelles'!O7</f>
        <v>0</v>
      </c>
      <c r="AW6" s="368">
        <f>'Table 5D5 - Delhi'!O7</f>
        <v>0</v>
      </c>
      <c r="AX6" s="368">
        <f>'Table 5D6 - Milestone'!O7</f>
        <v>0</v>
      </c>
      <c r="AY6" s="368">
        <f>'Table 5D7 - Max'!O7</f>
        <v>0</v>
      </c>
      <c r="AZ6" s="368">
        <f>'Table 5D8 - Belle Chasse'!S7</f>
        <v>0</v>
      </c>
      <c r="BA6" s="764">
        <f>SUM(AE6:AZ6)</f>
        <v>4186574</v>
      </c>
      <c r="BB6" s="47"/>
      <c r="BH6"/>
      <c r="BQ6"/>
    </row>
    <row r="7" spans="1:69">
      <c r="A7" s="101">
        <v>2</v>
      </c>
      <c r="B7" s="311" t="s">
        <v>103</v>
      </c>
      <c r="C7" s="320">
        <f>'Table 2_State Distrib and Adjs'!AD8</f>
        <v>2333492</v>
      </c>
      <c r="D7" s="368"/>
      <c r="E7" s="368"/>
      <c r="F7" s="368">
        <f>-'Table 5C1A-Madison Prep'!T8</f>
        <v>0</v>
      </c>
      <c r="G7" s="368">
        <f>-'Table 5C1B-DArbonne'!T8</f>
        <v>0</v>
      </c>
      <c r="H7" s="368">
        <f>-'Table 5C1C-Intl_VIBE'!T8</f>
        <v>0</v>
      </c>
      <c r="I7" s="368">
        <f>-'Table 5C1D-NOMMA'!T8</f>
        <v>0</v>
      </c>
      <c r="J7" s="368"/>
      <c r="K7" s="368">
        <f>-'Table 5C1E-LFNO'!T8</f>
        <v>0</v>
      </c>
      <c r="L7" s="368">
        <f>-'Table 5C1F-Lake Charles Charter'!T8</f>
        <v>0</v>
      </c>
      <c r="M7" s="368">
        <f>-'Table 5C1G-JS Clark Academy'!T8</f>
        <v>0</v>
      </c>
      <c r="N7" s="368">
        <f>-'Table 5C1H-Southwest LA Charter'!T8</f>
        <v>0</v>
      </c>
      <c r="O7" s="368">
        <f>-'Table 5C2 - LA Virtual Admy'!U5</f>
        <v>-1720</v>
      </c>
      <c r="P7" s="368">
        <f>-'Table 5C3 - LA Connections EBR'!U5</f>
        <v>-382</v>
      </c>
      <c r="Q7" s="368">
        <f>-'Table 5D1 - New Vision'!S8</f>
        <v>0</v>
      </c>
      <c r="R7" s="368">
        <f>-'Table 5D2 - Glencoe'!S8</f>
        <v>0</v>
      </c>
      <c r="S7" s="368">
        <f>-'Table 5D3 - International'!S8</f>
        <v>0</v>
      </c>
      <c r="T7" s="368">
        <f>-'Table 5D4 - Avoyelles'!S8</f>
        <v>0</v>
      </c>
      <c r="U7" s="368">
        <f>-'Table 5D5 - Delhi'!S8</f>
        <v>0</v>
      </c>
      <c r="V7" s="368">
        <f>-'Table 5D6 - Milestone'!S8</f>
        <v>0</v>
      </c>
      <c r="W7" s="368">
        <f>-'Table 5D7 - Max'!S8</f>
        <v>0</v>
      </c>
      <c r="X7" s="368">
        <f>-'Table 5D8 - Belle Chasse'!W8</f>
        <v>0</v>
      </c>
      <c r="Y7" s="368">
        <f>-'Table 5E_OJJ'!S8</f>
        <v>0</v>
      </c>
      <c r="Z7" s="368">
        <f>-'Table 5A2 LSMSA'!L8</f>
        <v>-188</v>
      </c>
      <c r="AA7" s="368">
        <f>-'Table 5A3 NOCCA'!L8</f>
        <v>0</v>
      </c>
      <c r="AB7" s="368">
        <f>-'Table 5A4_LSDVI'!L8</f>
        <v>0</v>
      </c>
      <c r="AC7" s="368">
        <f>-'Table 5A5_SSD'!L8</f>
        <v>-218</v>
      </c>
      <c r="AD7" s="368"/>
      <c r="AE7" s="764">
        <f t="shared" ref="AE7:AE70" si="44">SUM(C7:AD7)</f>
        <v>2330984</v>
      </c>
      <c r="AF7" s="368"/>
      <c r="AG7" s="368"/>
      <c r="AH7" s="368"/>
      <c r="AI7" s="368">
        <f>'Table 5C1A-Madison Prep'!P8</f>
        <v>0</v>
      </c>
      <c r="AJ7" s="368">
        <f>'Table 5C1B-DArbonne'!P8</f>
        <v>0</v>
      </c>
      <c r="AK7" s="368">
        <f>'Table 5C1C-Intl_VIBE'!P8</f>
        <v>0</v>
      </c>
      <c r="AL7" s="368">
        <f>'Table 5C1D-NOMMA'!P8</f>
        <v>0</v>
      </c>
      <c r="AM7" s="368">
        <f>'Table 5C1E-LFNO'!P8</f>
        <v>0</v>
      </c>
      <c r="AN7" s="368">
        <f>'Table 5C1F-Lake Charles Charter'!P8</f>
        <v>0</v>
      </c>
      <c r="AO7" s="368">
        <f>'Table 5C1G-JS Clark Academy'!P8</f>
        <v>0</v>
      </c>
      <c r="AP7" s="368">
        <f>'Table 5C1H-Southwest LA Charter'!P8</f>
        <v>0</v>
      </c>
      <c r="AQ7" s="368">
        <f>'Table 5C2 - LA Virtual Admy'!Q5</f>
        <v>-52</v>
      </c>
      <c r="AR7" s="368">
        <f>'Table 5C3 - LA Connections EBR'!Q5</f>
        <v>-11</v>
      </c>
      <c r="AS7" s="368">
        <f>'Table 5D1 - New Vision'!O8</f>
        <v>0</v>
      </c>
      <c r="AT7" s="368">
        <f>'Table 5D2 - Glencoe'!O8</f>
        <v>0</v>
      </c>
      <c r="AU7" s="368">
        <f>'Table 5D3 - International'!O8</f>
        <v>0</v>
      </c>
      <c r="AV7" s="368">
        <f>'Table 5D4 - Avoyelles'!O8</f>
        <v>0</v>
      </c>
      <c r="AW7" s="368">
        <f>'Table 5D5 - Delhi'!O8</f>
        <v>0</v>
      </c>
      <c r="AX7" s="368">
        <f>'Table 5D6 - Milestone'!O8</f>
        <v>0</v>
      </c>
      <c r="AY7" s="368">
        <f>'Table 5D7 - Max'!O8</f>
        <v>0</v>
      </c>
      <c r="AZ7" s="368">
        <f>'Table 5D8 - Belle Chasse'!S8</f>
        <v>0</v>
      </c>
      <c r="BA7" s="764">
        <f t="shared" ref="BA7:BA70" si="45">SUM(AE7:AZ7)</f>
        <v>2330921</v>
      </c>
      <c r="BB7" s="47"/>
      <c r="BH7"/>
      <c r="BQ7"/>
    </row>
    <row r="8" spans="1:69">
      <c r="A8" s="101">
        <v>3</v>
      </c>
      <c r="B8" s="311" t="s">
        <v>104</v>
      </c>
      <c r="C8" s="320">
        <f>'Table 2_State Distrib and Adjs'!AD9</f>
        <v>8238501</v>
      </c>
      <c r="D8" s="368"/>
      <c r="E8" s="368"/>
      <c r="F8" s="368">
        <f>-'Table 5C1A-Madison Prep'!T9</f>
        <v>0</v>
      </c>
      <c r="G8" s="368">
        <f>-'Table 5C1B-DArbonne'!T9</f>
        <v>0</v>
      </c>
      <c r="H8" s="368">
        <f>-'Table 5C1C-Intl_VIBE'!T9</f>
        <v>0</v>
      </c>
      <c r="I8" s="368">
        <f>-'Table 5C1D-NOMMA'!T9</f>
        <v>0</v>
      </c>
      <c r="J8" s="368"/>
      <c r="K8" s="368">
        <f>-'Table 5C1E-LFNO'!T9</f>
        <v>0</v>
      </c>
      <c r="L8" s="368">
        <f>-'Table 5C1F-Lake Charles Charter'!T9</f>
        <v>0</v>
      </c>
      <c r="M8" s="368">
        <f>-'Table 5C1G-JS Clark Academy'!T9</f>
        <v>0</v>
      </c>
      <c r="N8" s="368">
        <f>-'Table 5C1H-Southwest LA Charter'!T9</f>
        <v>0</v>
      </c>
      <c r="O8" s="368">
        <f>-'Table 5C2 - LA Virtual Admy'!U6</f>
        <v>-12332</v>
      </c>
      <c r="P8" s="368">
        <f>-'Table 5C3 - LA Connections EBR'!U6</f>
        <v>-4111</v>
      </c>
      <c r="Q8" s="368">
        <f>-'Table 5D1 - New Vision'!S9</f>
        <v>0</v>
      </c>
      <c r="R8" s="368">
        <f>-'Table 5D2 - Glencoe'!S9</f>
        <v>0</v>
      </c>
      <c r="S8" s="368">
        <f>-'Table 5D3 - International'!S9</f>
        <v>0</v>
      </c>
      <c r="T8" s="368">
        <f>-'Table 5D4 - Avoyelles'!S9</f>
        <v>0</v>
      </c>
      <c r="U8" s="368">
        <f>-'Table 5D5 - Delhi'!S9</f>
        <v>0</v>
      </c>
      <c r="V8" s="368">
        <f>-'Table 5D6 - Milestone'!S9</f>
        <v>0</v>
      </c>
      <c r="W8" s="368">
        <f>-'Table 5D7 - Max'!S9</f>
        <v>0</v>
      </c>
      <c r="X8" s="368">
        <f>-'Table 5D8 - Belle Chasse'!W9</f>
        <v>0</v>
      </c>
      <c r="Y8" s="368">
        <f>-'Table 5E_OJJ'!S9</f>
        <v>-560</v>
      </c>
      <c r="Z8" s="368">
        <f>-'Table 5A2 LSMSA'!L9</f>
        <v>-2440</v>
      </c>
      <c r="AA8" s="368">
        <f>-'Table 5A3 NOCCA'!L9</f>
        <v>0</v>
      </c>
      <c r="AB8" s="368">
        <f>-'Table 5A4_LSDVI'!L9</f>
        <v>-2799</v>
      </c>
      <c r="AC8" s="368">
        <f>-'Table 5A5_SSD'!L9</f>
        <v>-1679</v>
      </c>
      <c r="AD8" s="368"/>
      <c r="AE8" s="764">
        <f t="shared" si="44"/>
        <v>8214580</v>
      </c>
      <c r="AF8" s="368"/>
      <c r="AG8" s="368"/>
      <c r="AH8" s="368"/>
      <c r="AI8" s="368">
        <f>'Table 5C1A-Madison Prep'!P9</f>
        <v>0</v>
      </c>
      <c r="AJ8" s="368">
        <f>'Table 5C1B-DArbonne'!P9</f>
        <v>0</v>
      </c>
      <c r="AK8" s="368">
        <f>'Table 5C1C-Intl_VIBE'!P9</f>
        <v>0</v>
      </c>
      <c r="AL8" s="368">
        <f>'Table 5C1D-NOMMA'!P9</f>
        <v>0</v>
      </c>
      <c r="AM8" s="368">
        <f>'Table 5C1E-LFNO'!P9</f>
        <v>0</v>
      </c>
      <c r="AN8" s="368">
        <f>'Table 5C1F-Lake Charles Charter'!P9</f>
        <v>0</v>
      </c>
      <c r="AO8" s="368">
        <f>'Table 5C1G-JS Clark Academy'!P9</f>
        <v>0</v>
      </c>
      <c r="AP8" s="368">
        <f>'Table 5C1H-Southwest LA Charter'!P9</f>
        <v>0</v>
      </c>
      <c r="AQ8" s="368">
        <f>'Table 5C2 - LA Virtual Admy'!Q6</f>
        <v>-371</v>
      </c>
      <c r="AR8" s="368">
        <f>'Table 5C3 - LA Connections EBR'!Q6</f>
        <v>-124</v>
      </c>
      <c r="AS8" s="368">
        <f>'Table 5D1 - New Vision'!O9</f>
        <v>0</v>
      </c>
      <c r="AT8" s="368">
        <f>'Table 5D2 - Glencoe'!O9</f>
        <v>0</v>
      </c>
      <c r="AU8" s="368">
        <f>'Table 5D3 - International'!O9</f>
        <v>0</v>
      </c>
      <c r="AV8" s="368">
        <f>'Table 5D4 - Avoyelles'!O9</f>
        <v>0</v>
      </c>
      <c r="AW8" s="368">
        <f>'Table 5D5 - Delhi'!O9</f>
        <v>0</v>
      </c>
      <c r="AX8" s="368">
        <f>'Table 5D6 - Milestone'!O9</f>
        <v>0</v>
      </c>
      <c r="AY8" s="368">
        <f>'Table 5D7 - Max'!O9</f>
        <v>0</v>
      </c>
      <c r="AZ8" s="368">
        <f>'Table 5D8 - Belle Chasse'!S9</f>
        <v>0</v>
      </c>
      <c r="BA8" s="764">
        <f t="shared" si="45"/>
        <v>8214085</v>
      </c>
      <c r="BB8" s="47"/>
      <c r="BH8"/>
      <c r="BQ8"/>
    </row>
    <row r="9" spans="1:69">
      <c r="A9" s="101">
        <v>4</v>
      </c>
      <c r="B9" s="311" t="s">
        <v>105</v>
      </c>
      <c r="C9" s="320">
        <f>'Table 2_State Distrib and Adjs'!AD10</f>
        <v>1973984</v>
      </c>
      <c r="D9" s="368"/>
      <c r="E9" s="368"/>
      <c r="F9" s="368">
        <f>-'Table 5C1A-Madison Prep'!T10</f>
        <v>0</v>
      </c>
      <c r="G9" s="368">
        <f>-'Table 5C1B-DArbonne'!T10</f>
        <v>0</v>
      </c>
      <c r="H9" s="368">
        <f>-'Table 5C1C-Intl_VIBE'!T10</f>
        <v>0</v>
      </c>
      <c r="I9" s="368">
        <f>-'Table 5C1D-NOMMA'!T10</f>
        <v>0</v>
      </c>
      <c r="J9" s="368"/>
      <c r="K9" s="368">
        <f>-'Table 5C1E-LFNO'!T10</f>
        <v>0</v>
      </c>
      <c r="L9" s="368">
        <f>-'Table 5C1F-Lake Charles Charter'!T10</f>
        <v>0</v>
      </c>
      <c r="M9" s="368">
        <f>-'Table 5C1G-JS Clark Academy'!T10</f>
        <v>0</v>
      </c>
      <c r="N9" s="368">
        <f>-'Table 5C1H-Southwest LA Charter'!T10</f>
        <v>0</v>
      </c>
      <c r="O9" s="368">
        <f>-'Table 5C2 - LA Virtual Admy'!U7</f>
        <v>-754</v>
      </c>
      <c r="P9" s="368">
        <f>-'Table 5C3 - LA Connections EBR'!U7</f>
        <v>-1257</v>
      </c>
      <c r="Q9" s="368">
        <f>-'Table 5D1 - New Vision'!S10</f>
        <v>0</v>
      </c>
      <c r="R9" s="368">
        <f>-'Table 5D2 - Glencoe'!S10</f>
        <v>0</v>
      </c>
      <c r="S9" s="368">
        <f>-'Table 5D3 - International'!S10</f>
        <v>0</v>
      </c>
      <c r="T9" s="368">
        <f>-'Table 5D4 - Avoyelles'!S10</f>
        <v>0</v>
      </c>
      <c r="U9" s="368">
        <f>-'Table 5D5 - Delhi'!S10</f>
        <v>0</v>
      </c>
      <c r="V9" s="368">
        <f>-'Table 5D6 - Milestone'!S10</f>
        <v>0</v>
      </c>
      <c r="W9" s="368">
        <f>-'Table 5D7 - Max'!S10</f>
        <v>-559</v>
      </c>
      <c r="X9" s="368">
        <f>-'Table 5D8 - Belle Chasse'!W10</f>
        <v>0</v>
      </c>
      <c r="Y9" s="368">
        <f>-'Table 5E_OJJ'!S10</f>
        <v>-225</v>
      </c>
      <c r="Z9" s="368">
        <f>-'Table 5A2 LSMSA'!L10</f>
        <v>0</v>
      </c>
      <c r="AA9" s="368">
        <f>-'Table 5A3 NOCCA'!L10</f>
        <v>0</v>
      </c>
      <c r="AB9" s="368">
        <f>-'Table 5A4_LSDVI'!L10</f>
        <v>-261</v>
      </c>
      <c r="AC9" s="368">
        <f>-'Table 5A5_SSD'!L10</f>
        <v>-783</v>
      </c>
      <c r="AD9" s="368"/>
      <c r="AE9" s="764">
        <f t="shared" si="44"/>
        <v>1970145</v>
      </c>
      <c r="AF9" s="368"/>
      <c r="AG9" s="368"/>
      <c r="AH9" s="368"/>
      <c r="AI9" s="368">
        <f>'Table 5C1A-Madison Prep'!P10</f>
        <v>0</v>
      </c>
      <c r="AJ9" s="368">
        <f>'Table 5C1B-DArbonne'!P10</f>
        <v>0</v>
      </c>
      <c r="AK9" s="368">
        <f>'Table 5C1C-Intl_VIBE'!P10</f>
        <v>0</v>
      </c>
      <c r="AL9" s="368">
        <f>'Table 5C1D-NOMMA'!P10</f>
        <v>0</v>
      </c>
      <c r="AM9" s="368">
        <f>'Table 5C1E-LFNO'!P10</f>
        <v>0</v>
      </c>
      <c r="AN9" s="368">
        <f>'Table 5C1F-Lake Charles Charter'!P10</f>
        <v>0</v>
      </c>
      <c r="AO9" s="368">
        <f>'Table 5C1G-JS Clark Academy'!P10</f>
        <v>0</v>
      </c>
      <c r="AP9" s="368">
        <f>'Table 5C1H-Southwest LA Charter'!P10</f>
        <v>0</v>
      </c>
      <c r="AQ9" s="368">
        <f>'Table 5C2 - LA Virtual Admy'!Q7</f>
        <v>-23</v>
      </c>
      <c r="AR9" s="368">
        <f>'Table 5C3 - LA Connections EBR'!Q7</f>
        <v>-38</v>
      </c>
      <c r="AS9" s="368">
        <f>'Table 5D1 - New Vision'!O10</f>
        <v>0</v>
      </c>
      <c r="AT9" s="368">
        <f>'Table 5D2 - Glencoe'!O10</f>
        <v>0</v>
      </c>
      <c r="AU9" s="368">
        <f>'Table 5D3 - International'!O10</f>
        <v>0</v>
      </c>
      <c r="AV9" s="368">
        <f>'Table 5D4 - Avoyelles'!O10</f>
        <v>0</v>
      </c>
      <c r="AW9" s="368">
        <f>'Table 5D5 - Delhi'!O10</f>
        <v>0</v>
      </c>
      <c r="AX9" s="368">
        <f>'Table 5D6 - Milestone'!O10</f>
        <v>0</v>
      </c>
      <c r="AY9" s="368">
        <f>'Table 5D7 - Max'!O10</f>
        <v>-16.805</v>
      </c>
      <c r="AZ9" s="368">
        <f>'Table 5D8 - Belle Chasse'!S10</f>
        <v>0</v>
      </c>
      <c r="BA9" s="764">
        <f t="shared" si="45"/>
        <v>1970067.1950000001</v>
      </c>
      <c r="BB9" s="47"/>
      <c r="BH9"/>
      <c r="BQ9"/>
    </row>
    <row r="10" spans="1:69">
      <c r="A10" s="102">
        <v>5</v>
      </c>
      <c r="B10" s="312" t="s">
        <v>106</v>
      </c>
      <c r="C10" s="329">
        <f>'Table 2_State Distrib and Adjs'!AD11</f>
        <v>2562461</v>
      </c>
      <c r="D10" s="369"/>
      <c r="E10" s="369"/>
      <c r="F10" s="369">
        <f>-'Table 5C1A-Madison Prep'!T11</f>
        <v>0</v>
      </c>
      <c r="G10" s="369">
        <f>-'Table 5C1B-DArbonne'!T11</f>
        <v>0</v>
      </c>
      <c r="H10" s="369">
        <f>-'Table 5C1C-Intl_VIBE'!T11</f>
        <v>0</v>
      </c>
      <c r="I10" s="369">
        <f>-'Table 5C1D-NOMMA'!T11</f>
        <v>0</v>
      </c>
      <c r="J10" s="369"/>
      <c r="K10" s="369">
        <f>-'Table 5C1E-LFNO'!T11</f>
        <v>0</v>
      </c>
      <c r="L10" s="369">
        <f>-'Table 5C1F-Lake Charles Charter'!T11</f>
        <v>0</v>
      </c>
      <c r="M10" s="369">
        <f>-'Table 5C1G-JS Clark Academy'!T11</f>
        <v>0</v>
      </c>
      <c r="N10" s="369">
        <f>-'Table 5C1H-Southwest LA Charter'!T11</f>
        <v>0</v>
      </c>
      <c r="O10" s="369">
        <f>-'Table 5C2 - LA Virtual Admy'!U8</f>
        <v>-1972</v>
      </c>
      <c r="P10" s="369">
        <f>-'Table 5C3 - LA Connections EBR'!U8</f>
        <v>-343</v>
      </c>
      <c r="Q10" s="369">
        <f>-'Table 5D1 - New Vision'!S11</f>
        <v>0</v>
      </c>
      <c r="R10" s="369">
        <f>-'Table 5D2 - Glencoe'!S11</f>
        <v>0</v>
      </c>
      <c r="S10" s="369">
        <f>-'Table 5D3 - International'!S11</f>
        <v>0</v>
      </c>
      <c r="T10" s="369">
        <f>-'Table 5D4 - Avoyelles'!S11</f>
        <v>-63920</v>
      </c>
      <c r="U10" s="369">
        <f>-'Table 5D5 - Delhi'!S11</f>
        <v>0</v>
      </c>
      <c r="V10" s="369">
        <f>-'Table 5D6 - Milestone'!S11</f>
        <v>0</v>
      </c>
      <c r="W10" s="369">
        <f>-'Table 5D7 - Max'!S11</f>
        <v>0</v>
      </c>
      <c r="X10" s="369">
        <f>-'Table 5D8 - Belle Chasse'!W11</f>
        <v>0</v>
      </c>
      <c r="Y10" s="369">
        <f>-'Table 5E_OJJ'!S11</f>
        <v>-408</v>
      </c>
      <c r="Z10" s="369">
        <f>-'Table 5A2 LSMSA'!L11</f>
        <v>0</v>
      </c>
      <c r="AA10" s="369">
        <f>-'Table 5A3 NOCCA'!L11</f>
        <v>0</v>
      </c>
      <c r="AB10" s="369">
        <f>-'Table 5A4_LSDVI'!L11</f>
        <v>-395</v>
      </c>
      <c r="AC10" s="369">
        <f>-'Table 5A5_SSD'!L11</f>
        <v>-395</v>
      </c>
      <c r="AD10" s="369"/>
      <c r="AE10" s="765">
        <f t="shared" si="44"/>
        <v>2495028</v>
      </c>
      <c r="AF10" s="369"/>
      <c r="AG10" s="369"/>
      <c r="AH10" s="369"/>
      <c r="AI10" s="369">
        <f>'Table 5C1A-Madison Prep'!P11</f>
        <v>0</v>
      </c>
      <c r="AJ10" s="369">
        <f>'Table 5C1B-DArbonne'!P11</f>
        <v>0</v>
      </c>
      <c r="AK10" s="369">
        <f>'Table 5C1C-Intl_VIBE'!P11</f>
        <v>0</v>
      </c>
      <c r="AL10" s="369">
        <f>'Table 5C1D-NOMMA'!P11</f>
        <v>0</v>
      </c>
      <c r="AM10" s="369">
        <f>'Table 5C1E-LFNO'!P11</f>
        <v>0</v>
      </c>
      <c r="AN10" s="369">
        <f>'Table 5C1F-Lake Charles Charter'!P11</f>
        <v>0</v>
      </c>
      <c r="AO10" s="369">
        <f>'Table 5C1G-JS Clark Academy'!P11</f>
        <v>0</v>
      </c>
      <c r="AP10" s="369">
        <f>'Table 5C1H-Southwest LA Charter'!P11</f>
        <v>0</v>
      </c>
      <c r="AQ10" s="369">
        <f>'Table 5C2 - LA Virtual Admy'!Q8</f>
        <v>-59</v>
      </c>
      <c r="AR10" s="369">
        <f>'Table 5C3 - LA Connections EBR'!Q8</f>
        <v>-10</v>
      </c>
      <c r="AS10" s="369">
        <f>'Table 5D1 - New Vision'!O11</f>
        <v>0</v>
      </c>
      <c r="AT10" s="369">
        <f>'Table 5D2 - Glencoe'!O11</f>
        <v>0</v>
      </c>
      <c r="AU10" s="369">
        <f>'Table 5D3 - International'!O11</f>
        <v>0</v>
      </c>
      <c r="AV10" s="369">
        <f>'Table 5D4 - Avoyelles'!O11</f>
        <v>-1922.415</v>
      </c>
      <c r="AW10" s="369">
        <f>'Table 5D5 - Delhi'!O11</f>
        <v>0</v>
      </c>
      <c r="AX10" s="369">
        <f>'Table 5D6 - Milestone'!O11</f>
        <v>0</v>
      </c>
      <c r="AY10" s="369">
        <f>'Table 5D7 - Max'!O11</f>
        <v>0</v>
      </c>
      <c r="AZ10" s="369">
        <f>'Table 5D8 - Belle Chasse'!S11</f>
        <v>0</v>
      </c>
      <c r="BA10" s="765">
        <f t="shared" si="45"/>
        <v>2493036.585</v>
      </c>
      <c r="BB10" s="47"/>
      <c r="BH10"/>
      <c r="BQ10"/>
    </row>
    <row r="11" spans="1:69">
      <c r="A11" s="101">
        <v>6</v>
      </c>
      <c r="B11" s="311" t="s">
        <v>107</v>
      </c>
      <c r="C11" s="320">
        <f>'Table 2_State Distrib and Adjs'!AD12</f>
        <v>3041952</v>
      </c>
      <c r="D11" s="368"/>
      <c r="E11" s="368"/>
      <c r="F11" s="368">
        <f>-'Table 5C1A-Madison Prep'!T12</f>
        <v>0</v>
      </c>
      <c r="G11" s="368">
        <f>-'Table 5C1B-DArbonne'!T12</f>
        <v>0</v>
      </c>
      <c r="H11" s="368">
        <f>-'Table 5C1C-Intl_VIBE'!T12</f>
        <v>0</v>
      </c>
      <c r="I11" s="368">
        <f>-'Table 5C1D-NOMMA'!T12</f>
        <v>0</v>
      </c>
      <c r="J11" s="368"/>
      <c r="K11" s="368">
        <f>-'Table 5C1E-LFNO'!T12</f>
        <v>0</v>
      </c>
      <c r="L11" s="368">
        <f>-'Table 5C1F-Lake Charles Charter'!T12</f>
        <v>0</v>
      </c>
      <c r="M11" s="368">
        <f>-'Table 5C1G-JS Clark Academy'!T12</f>
        <v>0</v>
      </c>
      <c r="N11" s="368">
        <f>-'Table 5C1H-Southwest LA Charter'!T12</f>
        <v>0</v>
      </c>
      <c r="O11" s="368">
        <f>-'Table 5C2 - LA Virtual Admy'!U9</f>
        <v>-3850</v>
      </c>
      <c r="P11" s="368">
        <f>-'Table 5C3 - LA Connections EBR'!U9</f>
        <v>-1027</v>
      </c>
      <c r="Q11" s="368">
        <f>-'Table 5D1 - New Vision'!S12</f>
        <v>0</v>
      </c>
      <c r="R11" s="368">
        <f>-'Table 5D2 - Glencoe'!S12</f>
        <v>0</v>
      </c>
      <c r="S11" s="368">
        <f>-'Table 5D3 - International'!S12</f>
        <v>0</v>
      </c>
      <c r="T11" s="368">
        <f>-'Table 5D4 - Avoyelles'!S12</f>
        <v>0</v>
      </c>
      <c r="U11" s="368">
        <f>-'Table 5D5 - Delhi'!S12</f>
        <v>0</v>
      </c>
      <c r="V11" s="368">
        <f>-'Table 5D6 - Milestone'!S12</f>
        <v>0</v>
      </c>
      <c r="W11" s="368">
        <f>-'Table 5D7 - Max'!S12</f>
        <v>0</v>
      </c>
      <c r="X11" s="368">
        <f>-'Table 5D8 - Belle Chasse'!W12</f>
        <v>0</v>
      </c>
      <c r="Y11" s="368">
        <f>-'Table 5E_OJJ'!S12</f>
        <v>-412</v>
      </c>
      <c r="Z11" s="368">
        <f>-'Table 5A2 LSMSA'!L12</f>
        <v>-561</v>
      </c>
      <c r="AA11" s="368">
        <f>-'Table 5A3 NOCCA'!L12</f>
        <v>0</v>
      </c>
      <c r="AB11" s="368">
        <f>-'Table 5A4_LSDVI'!L12</f>
        <v>-257</v>
      </c>
      <c r="AC11" s="368">
        <f>-'Table 5A5_SSD'!L12</f>
        <v>-514</v>
      </c>
      <c r="AD11" s="368"/>
      <c r="AE11" s="764">
        <f t="shared" si="44"/>
        <v>3035331</v>
      </c>
      <c r="AF11" s="368"/>
      <c r="AG11" s="368"/>
      <c r="AH11" s="368"/>
      <c r="AI11" s="368">
        <f>'Table 5C1A-Madison Prep'!P12</f>
        <v>0</v>
      </c>
      <c r="AJ11" s="368">
        <f>'Table 5C1B-DArbonne'!P12</f>
        <v>0</v>
      </c>
      <c r="AK11" s="368">
        <f>'Table 5C1C-Intl_VIBE'!P12</f>
        <v>0</v>
      </c>
      <c r="AL11" s="368">
        <f>'Table 5C1D-NOMMA'!P12</f>
        <v>0</v>
      </c>
      <c r="AM11" s="368">
        <f>'Table 5C1E-LFNO'!P12</f>
        <v>0</v>
      </c>
      <c r="AN11" s="368">
        <f>'Table 5C1F-Lake Charles Charter'!P12</f>
        <v>0</v>
      </c>
      <c r="AO11" s="368">
        <f>'Table 5C1G-JS Clark Academy'!P12</f>
        <v>0</v>
      </c>
      <c r="AP11" s="368">
        <f>'Table 5C1H-Southwest LA Charter'!P12</f>
        <v>0</v>
      </c>
      <c r="AQ11" s="368">
        <f>'Table 5C2 - LA Virtual Admy'!Q9</f>
        <v>-116</v>
      </c>
      <c r="AR11" s="368">
        <f>'Table 5C3 - LA Connections EBR'!Q9</f>
        <v>-31</v>
      </c>
      <c r="AS11" s="368">
        <f>'Table 5D1 - New Vision'!O12</f>
        <v>0</v>
      </c>
      <c r="AT11" s="368">
        <f>'Table 5D2 - Glencoe'!O12</f>
        <v>0</v>
      </c>
      <c r="AU11" s="368">
        <f>'Table 5D3 - International'!O12</f>
        <v>0</v>
      </c>
      <c r="AV11" s="368">
        <f>'Table 5D4 - Avoyelles'!O12</f>
        <v>0</v>
      </c>
      <c r="AW11" s="368">
        <f>'Table 5D5 - Delhi'!O12</f>
        <v>0</v>
      </c>
      <c r="AX11" s="368">
        <f>'Table 5D6 - Milestone'!O12</f>
        <v>0</v>
      </c>
      <c r="AY11" s="368">
        <f>'Table 5D7 - Max'!O12</f>
        <v>0</v>
      </c>
      <c r="AZ11" s="368">
        <f>'Table 5D8 - Belle Chasse'!S12</f>
        <v>0</v>
      </c>
      <c r="BA11" s="764">
        <f t="shared" si="45"/>
        <v>3035184</v>
      </c>
      <c r="BB11" s="47"/>
      <c r="BH11"/>
      <c r="BQ11"/>
    </row>
    <row r="12" spans="1:69">
      <c r="A12" s="101">
        <v>7</v>
      </c>
      <c r="B12" s="311" t="s">
        <v>108</v>
      </c>
      <c r="C12" s="320">
        <f>'Table 2_State Distrib and Adjs'!AD13</f>
        <v>423697</v>
      </c>
      <c r="D12" s="368"/>
      <c r="E12" s="368"/>
      <c r="F12" s="368">
        <f>-'Table 5C1A-Madison Prep'!T13</f>
        <v>0</v>
      </c>
      <c r="G12" s="368">
        <f>-'Table 5C1B-DArbonne'!T13</f>
        <v>0</v>
      </c>
      <c r="H12" s="368">
        <f>-'Table 5C1C-Intl_VIBE'!T13</f>
        <v>0</v>
      </c>
      <c r="I12" s="368">
        <f>-'Table 5C1D-NOMMA'!T13</f>
        <v>0</v>
      </c>
      <c r="J12" s="368"/>
      <c r="K12" s="368">
        <f>-'Table 5C1E-LFNO'!T13</f>
        <v>0</v>
      </c>
      <c r="L12" s="368">
        <f>-'Table 5C1F-Lake Charles Charter'!T13</f>
        <v>0</v>
      </c>
      <c r="M12" s="368">
        <f>-'Table 5C1G-JS Clark Academy'!T13</f>
        <v>0</v>
      </c>
      <c r="N12" s="368">
        <f>-'Table 5C1H-Southwest LA Charter'!T13</f>
        <v>0</v>
      </c>
      <c r="O12" s="368">
        <f>-'Table 5C2 - LA Virtual Admy'!U10</f>
        <v>-4853</v>
      </c>
      <c r="P12" s="368">
        <f>-'Table 5C3 - LA Connections EBR'!U10</f>
        <v>-5824</v>
      </c>
      <c r="Q12" s="368">
        <f>-'Table 5D1 - New Vision'!S13</f>
        <v>0</v>
      </c>
      <c r="R12" s="368">
        <f>-'Table 5D2 - Glencoe'!S13</f>
        <v>0</v>
      </c>
      <c r="S12" s="368">
        <f>-'Table 5D3 - International'!S13</f>
        <v>0</v>
      </c>
      <c r="T12" s="368">
        <f>-'Table 5D4 - Avoyelles'!S13</f>
        <v>0</v>
      </c>
      <c r="U12" s="368">
        <f>-'Table 5D5 - Delhi'!S13</f>
        <v>0</v>
      </c>
      <c r="V12" s="368">
        <f>-'Table 5D6 - Milestone'!S13</f>
        <v>0</v>
      </c>
      <c r="W12" s="368">
        <f>-'Table 5D7 - Max'!S13</f>
        <v>0</v>
      </c>
      <c r="X12" s="368">
        <f>-'Table 5D8 - Belle Chasse'!W13</f>
        <v>0</v>
      </c>
      <c r="Y12" s="368">
        <f>-'Table 5E_OJJ'!S13</f>
        <v>0</v>
      </c>
      <c r="Z12" s="368">
        <f>-'Table 5A2 LSMSA'!L13</f>
        <v>-314</v>
      </c>
      <c r="AA12" s="368">
        <f>-'Table 5A3 NOCCA'!L13</f>
        <v>0</v>
      </c>
      <c r="AB12" s="368">
        <f>-'Table 5A4_LSDVI'!L13</f>
        <v>0</v>
      </c>
      <c r="AC12" s="368">
        <f>-'Table 5A5_SSD'!L13</f>
        <v>0</v>
      </c>
      <c r="AD12" s="368"/>
      <c r="AE12" s="764">
        <f t="shared" si="44"/>
        <v>412706</v>
      </c>
      <c r="AF12" s="368"/>
      <c r="AG12" s="368"/>
      <c r="AH12" s="368"/>
      <c r="AI12" s="368">
        <f>'Table 5C1A-Madison Prep'!P13</f>
        <v>0</v>
      </c>
      <c r="AJ12" s="368">
        <f>'Table 5C1B-DArbonne'!P13</f>
        <v>0</v>
      </c>
      <c r="AK12" s="368">
        <f>'Table 5C1C-Intl_VIBE'!P13</f>
        <v>0</v>
      </c>
      <c r="AL12" s="368">
        <f>'Table 5C1D-NOMMA'!P13</f>
        <v>0</v>
      </c>
      <c r="AM12" s="368">
        <f>'Table 5C1E-LFNO'!P13</f>
        <v>0</v>
      </c>
      <c r="AN12" s="368">
        <f>'Table 5C1F-Lake Charles Charter'!P13</f>
        <v>0</v>
      </c>
      <c r="AO12" s="368">
        <f>'Table 5C1G-JS Clark Academy'!P13</f>
        <v>0</v>
      </c>
      <c r="AP12" s="368">
        <f>'Table 5C1H-Southwest LA Charter'!P13</f>
        <v>0</v>
      </c>
      <c r="AQ12" s="368">
        <f>'Table 5C2 - LA Virtual Admy'!Q10</f>
        <v>-146</v>
      </c>
      <c r="AR12" s="368">
        <f>'Table 5C3 - LA Connections EBR'!Q10</f>
        <v>-175</v>
      </c>
      <c r="AS12" s="368">
        <f>'Table 5D1 - New Vision'!O13</f>
        <v>0</v>
      </c>
      <c r="AT12" s="368">
        <f>'Table 5D2 - Glencoe'!O13</f>
        <v>0</v>
      </c>
      <c r="AU12" s="368">
        <f>'Table 5D3 - International'!O13</f>
        <v>0</v>
      </c>
      <c r="AV12" s="368">
        <f>'Table 5D4 - Avoyelles'!O13</f>
        <v>0</v>
      </c>
      <c r="AW12" s="368">
        <f>'Table 5D5 - Delhi'!O13</f>
        <v>0</v>
      </c>
      <c r="AX12" s="368">
        <f>'Table 5D6 - Milestone'!O13</f>
        <v>0</v>
      </c>
      <c r="AY12" s="368">
        <f>'Table 5D7 - Max'!O13</f>
        <v>0</v>
      </c>
      <c r="AZ12" s="368">
        <f>'Table 5D8 - Belle Chasse'!S13</f>
        <v>0</v>
      </c>
      <c r="BA12" s="764">
        <f t="shared" si="45"/>
        <v>412385</v>
      </c>
      <c r="BB12" s="47"/>
      <c r="BH12"/>
      <c r="BQ12"/>
    </row>
    <row r="13" spans="1:69">
      <c r="A13" s="101">
        <v>8</v>
      </c>
      <c r="B13" s="311" t="s">
        <v>109</v>
      </c>
      <c r="C13" s="320">
        <f>'Table 2_State Distrib and Adjs'!AD14</f>
        <v>8217485</v>
      </c>
      <c r="D13" s="368"/>
      <c r="E13" s="368"/>
      <c r="F13" s="368">
        <f>-'Table 5C1A-Madison Prep'!T14</f>
        <v>0</v>
      </c>
      <c r="G13" s="368">
        <f>-'Table 5C1B-DArbonne'!T14</f>
        <v>0</v>
      </c>
      <c r="H13" s="368">
        <f>-'Table 5C1C-Intl_VIBE'!T14</f>
        <v>0</v>
      </c>
      <c r="I13" s="368">
        <f>-'Table 5C1D-NOMMA'!T14</f>
        <v>0</v>
      </c>
      <c r="J13" s="368"/>
      <c r="K13" s="368">
        <f>-'Table 5C1E-LFNO'!T14</f>
        <v>0</v>
      </c>
      <c r="L13" s="368">
        <f>-'Table 5C1F-Lake Charles Charter'!T14</f>
        <v>0</v>
      </c>
      <c r="M13" s="368">
        <f>-'Table 5C1G-JS Clark Academy'!T14</f>
        <v>0</v>
      </c>
      <c r="N13" s="368">
        <f>-'Table 5C1H-Southwest LA Charter'!T14</f>
        <v>0</v>
      </c>
      <c r="O13" s="368">
        <f>-'Table 5C2 - LA Virtual Admy'!U11</f>
        <v>-13932</v>
      </c>
      <c r="P13" s="368">
        <f>-'Table 5C3 - LA Connections EBR'!U11</f>
        <v>-6969</v>
      </c>
      <c r="Q13" s="368">
        <f>-'Table 5D1 - New Vision'!S14</f>
        <v>0</v>
      </c>
      <c r="R13" s="368">
        <f>-'Table 5D2 - Glencoe'!S14</f>
        <v>0</v>
      </c>
      <c r="S13" s="368">
        <f>-'Table 5D3 - International'!S14</f>
        <v>0</v>
      </c>
      <c r="T13" s="368">
        <f>-'Table 5D4 - Avoyelles'!S14</f>
        <v>0</v>
      </c>
      <c r="U13" s="368">
        <f>-'Table 5D5 - Delhi'!S14</f>
        <v>0</v>
      </c>
      <c r="V13" s="368">
        <f>-'Table 5D6 - Milestone'!S14</f>
        <v>0</v>
      </c>
      <c r="W13" s="368">
        <f>-'Table 5D7 - Max'!S14</f>
        <v>0</v>
      </c>
      <c r="X13" s="368">
        <f>-'Table 5D8 - Belle Chasse'!W14</f>
        <v>0</v>
      </c>
      <c r="Y13" s="368">
        <f>-'Table 5E_OJJ'!S14</f>
        <v>-1568</v>
      </c>
      <c r="Z13" s="368">
        <f>-'Table 5A2 LSMSA'!L14</f>
        <v>-906</v>
      </c>
      <c r="AA13" s="368">
        <f>-'Table 5A3 NOCCA'!L14</f>
        <v>0</v>
      </c>
      <c r="AB13" s="368">
        <f>-'Table 5A4_LSDVI'!L14</f>
        <v>-591</v>
      </c>
      <c r="AC13" s="368">
        <f>-'Table 5A5_SSD'!L14</f>
        <v>-591</v>
      </c>
      <c r="AD13" s="368"/>
      <c r="AE13" s="764">
        <f t="shared" si="44"/>
        <v>8192928</v>
      </c>
      <c r="AF13" s="368"/>
      <c r="AG13" s="368"/>
      <c r="AH13" s="368"/>
      <c r="AI13" s="368">
        <f>'Table 5C1A-Madison Prep'!P14</f>
        <v>0</v>
      </c>
      <c r="AJ13" s="368">
        <f>'Table 5C1B-DArbonne'!P14</f>
        <v>0</v>
      </c>
      <c r="AK13" s="368">
        <f>'Table 5C1C-Intl_VIBE'!P14</f>
        <v>0</v>
      </c>
      <c r="AL13" s="368">
        <f>'Table 5C1D-NOMMA'!P14</f>
        <v>0</v>
      </c>
      <c r="AM13" s="368">
        <f>'Table 5C1E-LFNO'!P14</f>
        <v>0</v>
      </c>
      <c r="AN13" s="368">
        <f>'Table 5C1F-Lake Charles Charter'!P14</f>
        <v>0</v>
      </c>
      <c r="AO13" s="368">
        <f>'Table 5C1G-JS Clark Academy'!P14</f>
        <v>0</v>
      </c>
      <c r="AP13" s="368">
        <f>'Table 5C1H-Southwest LA Charter'!P14</f>
        <v>0</v>
      </c>
      <c r="AQ13" s="368">
        <f>'Table 5C2 - LA Virtual Admy'!Q11</f>
        <v>-429</v>
      </c>
      <c r="AR13" s="368">
        <f>'Table 5C3 - LA Connections EBR'!Q11</f>
        <v>-210</v>
      </c>
      <c r="AS13" s="368">
        <f>'Table 5D1 - New Vision'!O14</f>
        <v>0</v>
      </c>
      <c r="AT13" s="368">
        <f>'Table 5D2 - Glencoe'!O14</f>
        <v>0</v>
      </c>
      <c r="AU13" s="368">
        <f>'Table 5D3 - International'!O14</f>
        <v>0</v>
      </c>
      <c r="AV13" s="368">
        <f>'Table 5D4 - Avoyelles'!O14</f>
        <v>0</v>
      </c>
      <c r="AW13" s="368">
        <f>'Table 5D5 - Delhi'!O14</f>
        <v>0</v>
      </c>
      <c r="AX13" s="368">
        <f>'Table 5D6 - Milestone'!O14</f>
        <v>0</v>
      </c>
      <c r="AY13" s="368">
        <f>'Table 5D7 - Max'!O14</f>
        <v>0</v>
      </c>
      <c r="AZ13" s="368">
        <f>'Table 5D8 - Belle Chasse'!S14</f>
        <v>0</v>
      </c>
      <c r="BA13" s="764">
        <f t="shared" si="45"/>
        <v>8192289</v>
      </c>
      <c r="BB13" s="47"/>
      <c r="BH13"/>
      <c r="BQ13"/>
    </row>
    <row r="14" spans="1:69">
      <c r="A14" s="101">
        <v>9</v>
      </c>
      <c r="B14" s="311" t="s">
        <v>110</v>
      </c>
      <c r="C14" s="320">
        <f>'Table 2_State Distrib and Adjs'!AD15</f>
        <v>16934017</v>
      </c>
      <c r="D14" s="368">
        <f>-'Table 5B2_RSD_LA'!X30</f>
        <v>-202629.58666666667</v>
      </c>
      <c r="E14" s="368"/>
      <c r="F14" s="368">
        <f>-'Table 5C1A-Madison Prep'!T15</f>
        <v>0</v>
      </c>
      <c r="G14" s="368">
        <f>-'Table 5C1B-DArbonne'!T15</f>
        <v>0</v>
      </c>
      <c r="H14" s="368">
        <f>-'Table 5C1C-Intl_VIBE'!T15</f>
        <v>0</v>
      </c>
      <c r="I14" s="368">
        <f>-'Table 5C1D-NOMMA'!T15</f>
        <v>0</v>
      </c>
      <c r="J14" s="368"/>
      <c r="K14" s="368">
        <f>-'Table 5C1E-LFNO'!T15</f>
        <v>0</v>
      </c>
      <c r="L14" s="368">
        <f>-'Table 5C1F-Lake Charles Charter'!T15</f>
        <v>-377.30437499999999</v>
      </c>
      <c r="M14" s="368">
        <f>-'Table 5C1G-JS Clark Academy'!T15</f>
        <v>0</v>
      </c>
      <c r="N14" s="368">
        <f>-'Table 5C1H-Southwest LA Charter'!T15</f>
        <v>0</v>
      </c>
      <c r="O14" s="368">
        <f>-'Table 5C2 - LA Virtual Admy'!U12</f>
        <v>-31237</v>
      </c>
      <c r="P14" s="368">
        <f>-'Table 5C3 - LA Connections EBR'!U12</f>
        <v>-12904</v>
      </c>
      <c r="Q14" s="368">
        <f>-'Table 5D1 - New Vision'!S15</f>
        <v>0</v>
      </c>
      <c r="R14" s="368">
        <f>-'Table 5D2 - Glencoe'!S15</f>
        <v>0</v>
      </c>
      <c r="S14" s="368">
        <f>-'Table 5D3 - International'!S15</f>
        <v>0</v>
      </c>
      <c r="T14" s="368">
        <f>-'Table 5D4 - Avoyelles'!S15</f>
        <v>0</v>
      </c>
      <c r="U14" s="368">
        <f>-'Table 5D5 - Delhi'!S15</f>
        <v>0</v>
      </c>
      <c r="V14" s="368">
        <f>-'Table 5D6 - Milestone'!S15</f>
        <v>0</v>
      </c>
      <c r="W14" s="368">
        <f>-'Table 5D7 - Max'!S15</f>
        <v>0</v>
      </c>
      <c r="X14" s="368">
        <f>-'Table 5D8 - Belle Chasse'!W15</f>
        <v>0</v>
      </c>
      <c r="Y14" s="368">
        <f>-'Table 5E_OJJ'!S15</f>
        <v>-9428</v>
      </c>
      <c r="Z14" s="368">
        <f>-'Table 5A2 LSMSA'!L15</f>
        <v>-1143</v>
      </c>
      <c r="AA14" s="368">
        <f>-'Table 5A3 NOCCA'!L15</f>
        <v>0</v>
      </c>
      <c r="AB14" s="368">
        <f>-'Table 5A4_LSDVI'!L15</f>
        <v>-2341</v>
      </c>
      <c r="AC14" s="368">
        <f>-'Table 5A5_SSD'!L15</f>
        <v>-2049</v>
      </c>
      <c r="AD14" s="368"/>
      <c r="AE14" s="764">
        <f t="shared" si="44"/>
        <v>16671908.108958334</v>
      </c>
      <c r="AF14" s="368">
        <f>'Table 5B2_RSD_LA'!R30</f>
        <v>-32339.090000000004</v>
      </c>
      <c r="AG14" s="368">
        <f>'Table 5B2_RSD_LA'!S30</f>
        <v>-4619.87</v>
      </c>
      <c r="AH14" s="368"/>
      <c r="AI14" s="368">
        <f>'Table 5C1A-Madison Prep'!P15</f>
        <v>0</v>
      </c>
      <c r="AJ14" s="368">
        <f>'Table 5C1B-DArbonne'!P15</f>
        <v>0</v>
      </c>
      <c r="AK14" s="368">
        <f>'Table 5C1C-Intl_VIBE'!P15</f>
        <v>0</v>
      </c>
      <c r="AL14" s="368">
        <f>'Table 5C1D-NOMMA'!P15</f>
        <v>0</v>
      </c>
      <c r="AM14" s="368">
        <f>'Table 5C1E-LFNO'!P15</f>
        <v>0</v>
      </c>
      <c r="AN14" s="368">
        <f>'Table 5C1F-Lake Charles Charter'!P15</f>
        <v>-11.3475</v>
      </c>
      <c r="AO14" s="368">
        <f>'Table 5C1G-JS Clark Academy'!P15</f>
        <v>0</v>
      </c>
      <c r="AP14" s="368">
        <f>'Table 5C1H-Southwest LA Charter'!P15</f>
        <v>0</v>
      </c>
      <c r="AQ14" s="368">
        <f>'Table 5C2 - LA Virtual Admy'!Q12</f>
        <v>-950</v>
      </c>
      <c r="AR14" s="368">
        <f>'Table 5C3 - LA Connections EBR'!Q12</f>
        <v>-388</v>
      </c>
      <c r="AS14" s="368">
        <f>'Table 5D1 - New Vision'!O15</f>
        <v>0</v>
      </c>
      <c r="AT14" s="368">
        <f>'Table 5D2 - Glencoe'!O15</f>
        <v>0</v>
      </c>
      <c r="AU14" s="368">
        <f>'Table 5D3 - International'!O15</f>
        <v>0</v>
      </c>
      <c r="AV14" s="368">
        <f>'Table 5D4 - Avoyelles'!O15</f>
        <v>0</v>
      </c>
      <c r="AW14" s="368">
        <f>'Table 5D5 - Delhi'!O15</f>
        <v>0</v>
      </c>
      <c r="AX14" s="368">
        <f>'Table 5D6 - Milestone'!O15</f>
        <v>0</v>
      </c>
      <c r="AY14" s="368">
        <f>'Table 5D7 - Max'!O15</f>
        <v>0</v>
      </c>
      <c r="AZ14" s="368">
        <f>'Table 5D8 - Belle Chasse'!S15</f>
        <v>0</v>
      </c>
      <c r="BA14" s="764">
        <f t="shared" si="45"/>
        <v>16633599.801458335</v>
      </c>
      <c r="BB14" s="47"/>
      <c r="BH14"/>
      <c r="BQ14"/>
    </row>
    <row r="15" spans="1:69">
      <c r="A15" s="102">
        <v>10</v>
      </c>
      <c r="B15" s="312" t="s">
        <v>111</v>
      </c>
      <c r="C15" s="329">
        <f>'Table 2_State Distrib and Adjs'!AD16</f>
        <v>12664511</v>
      </c>
      <c r="D15" s="369"/>
      <c r="E15" s="369"/>
      <c r="F15" s="369">
        <f>-'Table 5C1A-Madison Prep'!T16</f>
        <v>0</v>
      </c>
      <c r="G15" s="369">
        <f>-'Table 5C1B-DArbonne'!T16</f>
        <v>0</v>
      </c>
      <c r="H15" s="369">
        <f>-'Table 5C1C-Intl_VIBE'!T16</f>
        <v>0</v>
      </c>
      <c r="I15" s="369">
        <f>-'Table 5C1D-NOMMA'!T16</f>
        <v>0</v>
      </c>
      <c r="J15" s="369"/>
      <c r="K15" s="369">
        <f>-'Table 5C1E-LFNO'!T16</f>
        <v>0</v>
      </c>
      <c r="L15" s="369">
        <f>-'Table 5C1F-Lake Charles Charter'!T16</f>
        <v>-227606.22500000001</v>
      </c>
      <c r="M15" s="369">
        <f>-'Table 5C1G-JS Clark Academy'!T16</f>
        <v>0</v>
      </c>
      <c r="N15" s="369">
        <f>-'Table 5C1H-Southwest LA Charter'!T16</f>
        <v>-161295.75</v>
      </c>
      <c r="O15" s="369">
        <f>-'Table 5C2 - LA Virtual Admy'!U13</f>
        <v>-20001</v>
      </c>
      <c r="P15" s="369">
        <f>-'Table 5C3 - LA Connections EBR'!U13</f>
        <v>-7742</v>
      </c>
      <c r="Q15" s="369">
        <f>-'Table 5D1 - New Vision'!S16</f>
        <v>0</v>
      </c>
      <c r="R15" s="369">
        <f>-'Table 5D2 - Glencoe'!S16</f>
        <v>0</v>
      </c>
      <c r="S15" s="369">
        <f>-'Table 5D3 - International'!S16</f>
        <v>0</v>
      </c>
      <c r="T15" s="369">
        <f>-'Table 5D4 - Avoyelles'!S16</f>
        <v>0</v>
      </c>
      <c r="U15" s="369">
        <f>-'Table 5D5 - Delhi'!S16</f>
        <v>0</v>
      </c>
      <c r="V15" s="369">
        <f>-'Table 5D6 - Milestone'!S16</f>
        <v>0</v>
      </c>
      <c r="W15" s="369">
        <f>-'Table 5D7 - Max'!S16</f>
        <v>0</v>
      </c>
      <c r="X15" s="369">
        <f>-'Table 5D8 - Belle Chasse'!W16</f>
        <v>0</v>
      </c>
      <c r="Y15" s="369">
        <f>-'Table 5E_OJJ'!S16</f>
        <v>-2487</v>
      </c>
      <c r="Z15" s="369">
        <f>-'Table 5A2 LSMSA'!L16</f>
        <v>-2731</v>
      </c>
      <c r="AA15" s="369">
        <f>-'Table 5A3 NOCCA'!L16</f>
        <v>0</v>
      </c>
      <c r="AB15" s="369">
        <f>-'Table 5A4_LSDVI'!L16</f>
        <v>-2849</v>
      </c>
      <c r="AC15" s="369">
        <f>-'Table 5A5_SSD'!L16</f>
        <v>-2216</v>
      </c>
      <c r="AD15" s="369"/>
      <c r="AE15" s="765">
        <f t="shared" si="44"/>
        <v>12237583.025</v>
      </c>
      <c r="AF15" s="369"/>
      <c r="AG15" s="369"/>
      <c r="AH15" s="369"/>
      <c r="AI15" s="369">
        <f>'Table 5C1A-Madison Prep'!P16</f>
        <v>0</v>
      </c>
      <c r="AJ15" s="369">
        <f>'Table 5C1B-DArbonne'!P16</f>
        <v>0</v>
      </c>
      <c r="AK15" s="369">
        <f>'Table 5C1C-Intl_VIBE'!P16</f>
        <v>0</v>
      </c>
      <c r="AL15" s="369">
        <f>'Table 5C1D-NOMMA'!P16</f>
        <v>0</v>
      </c>
      <c r="AM15" s="369">
        <f>'Table 5C1E-LFNO'!P16</f>
        <v>0</v>
      </c>
      <c r="AN15" s="369">
        <f>'Table 5C1F-Lake Charles Charter'!P16</f>
        <v>-6845.3</v>
      </c>
      <c r="AO15" s="369">
        <f>'Table 5C1G-JS Clark Academy'!P16</f>
        <v>0</v>
      </c>
      <c r="AP15" s="369">
        <f>'Table 5C1H-Southwest LA Charter'!P16</f>
        <v>-4851</v>
      </c>
      <c r="AQ15" s="369">
        <f>'Table 5C2 - LA Virtual Admy'!Q13</f>
        <v>-602</v>
      </c>
      <c r="AR15" s="369">
        <f>'Table 5C3 - LA Connections EBR'!Q13</f>
        <v>-233</v>
      </c>
      <c r="AS15" s="369">
        <f>'Table 5D1 - New Vision'!O16</f>
        <v>0</v>
      </c>
      <c r="AT15" s="369">
        <f>'Table 5D2 - Glencoe'!O16</f>
        <v>0</v>
      </c>
      <c r="AU15" s="369">
        <f>'Table 5D3 - International'!O16</f>
        <v>0</v>
      </c>
      <c r="AV15" s="369">
        <f>'Table 5D4 - Avoyelles'!O16</f>
        <v>0</v>
      </c>
      <c r="AW15" s="369">
        <f>'Table 5D5 - Delhi'!O16</f>
        <v>0</v>
      </c>
      <c r="AX15" s="369">
        <f>'Table 5D6 - Milestone'!O16</f>
        <v>0</v>
      </c>
      <c r="AY15" s="369">
        <f>'Table 5D7 - Max'!O16</f>
        <v>0</v>
      </c>
      <c r="AZ15" s="369">
        <f>'Table 5D8 - Belle Chasse'!S16</f>
        <v>0</v>
      </c>
      <c r="BA15" s="765">
        <f t="shared" si="45"/>
        <v>12225051.725</v>
      </c>
      <c r="BB15" s="47"/>
      <c r="BH15"/>
      <c r="BQ15"/>
    </row>
    <row r="16" spans="1:69">
      <c r="A16" s="101">
        <v>11</v>
      </c>
      <c r="B16" s="311" t="s">
        <v>112</v>
      </c>
      <c r="C16" s="320">
        <f>'Table 2_State Distrib and Adjs'!AD17</f>
        <v>979334</v>
      </c>
      <c r="D16" s="368"/>
      <c r="E16" s="368"/>
      <c r="F16" s="368">
        <f>-'Table 5C1A-Madison Prep'!T17</f>
        <v>0</v>
      </c>
      <c r="G16" s="368">
        <f>-'Table 5C1B-DArbonne'!T17</f>
        <v>0</v>
      </c>
      <c r="H16" s="368">
        <f>-'Table 5C1C-Intl_VIBE'!T17</f>
        <v>0</v>
      </c>
      <c r="I16" s="368">
        <f>-'Table 5C1D-NOMMA'!T17</f>
        <v>0</v>
      </c>
      <c r="J16" s="368"/>
      <c r="K16" s="368">
        <f>-'Table 5C1E-LFNO'!T17</f>
        <v>0</v>
      </c>
      <c r="L16" s="368">
        <f>-'Table 5C1F-Lake Charles Charter'!T17</f>
        <v>0</v>
      </c>
      <c r="M16" s="368">
        <f>-'Table 5C1G-JS Clark Academy'!T17</f>
        <v>0</v>
      </c>
      <c r="N16" s="368">
        <f>-'Table 5C1H-Southwest LA Charter'!T17</f>
        <v>0</v>
      </c>
      <c r="O16" s="368">
        <f>-'Table 5C2 - LA Virtual Admy'!U14</f>
        <v>-674</v>
      </c>
      <c r="P16" s="368">
        <f>-'Table 5C3 - LA Connections EBR'!U14</f>
        <v>0</v>
      </c>
      <c r="Q16" s="368">
        <f>-'Table 5D1 - New Vision'!S17</f>
        <v>-499</v>
      </c>
      <c r="R16" s="368">
        <f>-'Table 5D2 - Glencoe'!S17</f>
        <v>0</v>
      </c>
      <c r="S16" s="368">
        <f>-'Table 5D3 - International'!S17</f>
        <v>0</v>
      </c>
      <c r="T16" s="368">
        <f>-'Table 5D4 - Avoyelles'!S17</f>
        <v>0</v>
      </c>
      <c r="U16" s="368">
        <f>-'Table 5D5 - Delhi'!S17</f>
        <v>0</v>
      </c>
      <c r="V16" s="368">
        <f>-'Table 5D6 - Milestone'!S17</f>
        <v>0</v>
      </c>
      <c r="W16" s="368">
        <f>-'Table 5D7 - Max'!S17</f>
        <v>0</v>
      </c>
      <c r="X16" s="368">
        <f>-'Table 5D8 - Belle Chasse'!W17</f>
        <v>0</v>
      </c>
      <c r="Y16" s="368">
        <f>-'Table 5E_OJJ'!S17</f>
        <v>0</v>
      </c>
      <c r="Z16" s="368">
        <f>-'Table 5A2 LSMSA'!L17</f>
        <v>-74</v>
      </c>
      <c r="AA16" s="368">
        <f>-'Table 5A3 NOCCA'!L17</f>
        <v>0</v>
      </c>
      <c r="AB16" s="368">
        <f>-'Table 5A4_LSDVI'!L17</f>
        <v>0</v>
      </c>
      <c r="AC16" s="368">
        <f>-'Table 5A5_SSD'!L17</f>
        <v>0</v>
      </c>
      <c r="AD16" s="368"/>
      <c r="AE16" s="764">
        <f t="shared" si="44"/>
        <v>978087</v>
      </c>
      <c r="AF16" s="368"/>
      <c r="AG16" s="368"/>
      <c r="AH16" s="368"/>
      <c r="AI16" s="368">
        <f>'Table 5C1A-Madison Prep'!P17</f>
        <v>0</v>
      </c>
      <c r="AJ16" s="368">
        <f>'Table 5C1B-DArbonne'!P17</f>
        <v>0</v>
      </c>
      <c r="AK16" s="368">
        <f>'Table 5C1C-Intl_VIBE'!P17</f>
        <v>0</v>
      </c>
      <c r="AL16" s="368">
        <f>'Table 5C1D-NOMMA'!P17</f>
        <v>0</v>
      </c>
      <c r="AM16" s="368">
        <f>'Table 5C1E-LFNO'!P17</f>
        <v>0</v>
      </c>
      <c r="AN16" s="368">
        <f>'Table 5C1F-Lake Charles Charter'!P17</f>
        <v>0</v>
      </c>
      <c r="AO16" s="368">
        <f>'Table 5C1G-JS Clark Academy'!P17</f>
        <v>0</v>
      </c>
      <c r="AP16" s="368">
        <f>'Table 5C1H-Southwest LA Charter'!P17</f>
        <v>0</v>
      </c>
      <c r="AQ16" s="368">
        <f>'Table 5C2 - LA Virtual Admy'!Q14</f>
        <v>-20</v>
      </c>
      <c r="AR16" s="368">
        <f>'Table 5C3 - LA Connections EBR'!Q14</f>
        <v>0</v>
      </c>
      <c r="AS16" s="368">
        <f>'Table 5D1 - New Vision'!O17</f>
        <v>-15.02</v>
      </c>
      <c r="AT16" s="368">
        <f>'Table 5D2 - Glencoe'!O17</f>
        <v>0</v>
      </c>
      <c r="AU16" s="368">
        <f>'Table 5D3 - International'!O17</f>
        <v>0</v>
      </c>
      <c r="AV16" s="368">
        <f>'Table 5D4 - Avoyelles'!O17</f>
        <v>0</v>
      </c>
      <c r="AW16" s="368">
        <f>'Table 5D5 - Delhi'!O17</f>
        <v>0</v>
      </c>
      <c r="AX16" s="368">
        <f>'Table 5D6 - Milestone'!O17</f>
        <v>0</v>
      </c>
      <c r="AY16" s="368">
        <f>'Table 5D7 - Max'!O17</f>
        <v>0</v>
      </c>
      <c r="AZ16" s="368">
        <f>'Table 5D8 - Belle Chasse'!S17</f>
        <v>0</v>
      </c>
      <c r="BA16" s="764">
        <f t="shared" si="45"/>
        <v>978051.98</v>
      </c>
      <c r="BB16" s="47"/>
      <c r="BH16"/>
      <c r="BQ16"/>
    </row>
    <row r="17" spans="1:69">
      <c r="A17" s="101">
        <v>12</v>
      </c>
      <c r="B17" s="311" t="s">
        <v>113</v>
      </c>
      <c r="C17" s="320">
        <f>'Table 2_State Distrib and Adjs'!AD18</f>
        <v>289677</v>
      </c>
      <c r="D17" s="368"/>
      <c r="E17" s="368"/>
      <c r="F17" s="368">
        <f>-'Table 5C1A-Madison Prep'!T18</f>
        <v>0</v>
      </c>
      <c r="G17" s="368">
        <f>-'Table 5C1B-DArbonne'!T18</f>
        <v>0</v>
      </c>
      <c r="H17" s="368">
        <f>-'Table 5C1C-Intl_VIBE'!T18</f>
        <v>0</v>
      </c>
      <c r="I17" s="368">
        <f>-'Table 5C1D-NOMMA'!T18</f>
        <v>0</v>
      </c>
      <c r="J17" s="368"/>
      <c r="K17" s="368">
        <f>-'Table 5C1E-LFNO'!T18</f>
        <v>0</v>
      </c>
      <c r="L17" s="368">
        <f>-'Table 5C1F-Lake Charles Charter'!T18</f>
        <v>0</v>
      </c>
      <c r="M17" s="368">
        <f>-'Table 5C1G-JS Clark Academy'!T18</f>
        <v>0</v>
      </c>
      <c r="N17" s="368">
        <f>-'Table 5C1H-Southwest LA Charter'!T18</f>
        <v>0</v>
      </c>
      <c r="O17" s="368">
        <f>-'Table 5C2 - LA Virtual Admy'!U15</f>
        <v>0</v>
      </c>
      <c r="P17" s="368">
        <f>-'Table 5C3 - LA Connections EBR'!U15</f>
        <v>-1861</v>
      </c>
      <c r="Q17" s="368">
        <f>-'Table 5D1 - New Vision'!S18</f>
        <v>0</v>
      </c>
      <c r="R17" s="368">
        <f>-'Table 5D2 - Glencoe'!S18</f>
        <v>0</v>
      </c>
      <c r="S17" s="368">
        <f>-'Table 5D3 - International'!S18</f>
        <v>0</v>
      </c>
      <c r="T17" s="368">
        <f>-'Table 5D4 - Avoyelles'!S18</f>
        <v>0</v>
      </c>
      <c r="U17" s="368">
        <f>-'Table 5D5 - Delhi'!S18</f>
        <v>0</v>
      </c>
      <c r="V17" s="368">
        <f>-'Table 5D6 - Milestone'!S18</f>
        <v>0</v>
      </c>
      <c r="W17" s="368">
        <f>-'Table 5D7 - Max'!S18</f>
        <v>0</v>
      </c>
      <c r="X17" s="368">
        <f>-'Table 5D8 - Belle Chasse'!W18</f>
        <v>0</v>
      </c>
      <c r="Y17" s="368">
        <f>-'Table 5E_OJJ'!S18</f>
        <v>0</v>
      </c>
      <c r="Z17" s="368">
        <f>-'Table 5A2 LSMSA'!L18</f>
        <v>0</v>
      </c>
      <c r="AA17" s="368">
        <f>-'Table 5A3 NOCCA'!L18</f>
        <v>0</v>
      </c>
      <c r="AB17" s="368">
        <f>-'Table 5A4_LSDVI'!L18</f>
        <v>0</v>
      </c>
      <c r="AC17" s="368">
        <f>-'Table 5A5_SSD'!L18</f>
        <v>0</v>
      </c>
      <c r="AD17" s="368"/>
      <c r="AE17" s="764">
        <f t="shared" si="44"/>
        <v>287816</v>
      </c>
      <c r="AF17" s="368"/>
      <c r="AG17" s="368"/>
      <c r="AH17" s="368"/>
      <c r="AI17" s="368">
        <f>'Table 5C1A-Madison Prep'!P18</f>
        <v>0</v>
      </c>
      <c r="AJ17" s="368">
        <f>'Table 5C1B-DArbonne'!P18</f>
        <v>0</v>
      </c>
      <c r="AK17" s="368">
        <f>'Table 5C1C-Intl_VIBE'!P18</f>
        <v>0</v>
      </c>
      <c r="AL17" s="368">
        <f>'Table 5C1D-NOMMA'!P18</f>
        <v>0</v>
      </c>
      <c r="AM17" s="368">
        <f>'Table 5C1E-LFNO'!P18</f>
        <v>0</v>
      </c>
      <c r="AN17" s="368">
        <f>'Table 5C1F-Lake Charles Charter'!P18</f>
        <v>0</v>
      </c>
      <c r="AO17" s="368">
        <f>'Table 5C1G-JS Clark Academy'!P18</f>
        <v>0</v>
      </c>
      <c r="AP17" s="368">
        <f>'Table 5C1H-Southwest LA Charter'!P18</f>
        <v>0</v>
      </c>
      <c r="AQ17" s="368">
        <f>'Table 5C2 - LA Virtual Admy'!Q15</f>
        <v>0</v>
      </c>
      <c r="AR17" s="368">
        <f>'Table 5C3 - LA Connections EBR'!Q15</f>
        <v>-56</v>
      </c>
      <c r="AS17" s="368">
        <f>'Table 5D1 - New Vision'!O18</f>
        <v>0</v>
      </c>
      <c r="AT17" s="368">
        <f>'Table 5D2 - Glencoe'!O18</f>
        <v>0</v>
      </c>
      <c r="AU17" s="368">
        <f>'Table 5D3 - International'!O18</f>
        <v>0</v>
      </c>
      <c r="AV17" s="368">
        <f>'Table 5D4 - Avoyelles'!O18</f>
        <v>0</v>
      </c>
      <c r="AW17" s="368">
        <f>'Table 5D5 - Delhi'!O18</f>
        <v>0</v>
      </c>
      <c r="AX17" s="368">
        <f>'Table 5D6 - Milestone'!O18</f>
        <v>0</v>
      </c>
      <c r="AY17" s="368">
        <f>'Table 5D7 - Max'!O18</f>
        <v>0</v>
      </c>
      <c r="AZ17" s="368">
        <f>'Table 5D8 - Belle Chasse'!S18</f>
        <v>0</v>
      </c>
      <c r="BA17" s="764">
        <f t="shared" si="45"/>
        <v>287760</v>
      </c>
      <c r="BB17" s="47"/>
      <c r="BH17"/>
      <c r="BQ17"/>
    </row>
    <row r="18" spans="1:69">
      <c r="A18" s="101">
        <v>13</v>
      </c>
      <c r="B18" s="311" t="s">
        <v>114</v>
      </c>
      <c r="C18" s="320">
        <f>'Table 2_State Distrib and Adjs'!AD19</f>
        <v>863885</v>
      </c>
      <c r="D18" s="368"/>
      <c r="E18" s="368"/>
      <c r="F18" s="368">
        <f>-'Table 5C1A-Madison Prep'!T19</f>
        <v>0</v>
      </c>
      <c r="G18" s="368">
        <f>-'Table 5C1B-DArbonne'!T19</f>
        <v>0</v>
      </c>
      <c r="H18" s="368">
        <f>-'Table 5C1C-Intl_VIBE'!T19</f>
        <v>0</v>
      </c>
      <c r="I18" s="368">
        <f>-'Table 5C1D-NOMMA'!T19</f>
        <v>0</v>
      </c>
      <c r="J18" s="368"/>
      <c r="K18" s="368">
        <f>-'Table 5C1E-LFNO'!T19</f>
        <v>0</v>
      </c>
      <c r="L18" s="368">
        <f>-'Table 5C1F-Lake Charles Charter'!T19</f>
        <v>0</v>
      </c>
      <c r="M18" s="368">
        <f>-'Table 5C1G-JS Clark Academy'!T19</f>
        <v>0</v>
      </c>
      <c r="N18" s="368">
        <f>-'Table 5C1H-Southwest LA Charter'!T19</f>
        <v>0</v>
      </c>
      <c r="O18" s="368">
        <f>-'Table 5C2 - LA Virtual Admy'!U16</f>
        <v>-1130</v>
      </c>
      <c r="P18" s="368">
        <f>-'Table 5C3 - LA Connections EBR'!U16</f>
        <v>-942</v>
      </c>
      <c r="Q18" s="368">
        <f>-'Table 5D1 - New Vision'!S19</f>
        <v>0</v>
      </c>
      <c r="R18" s="368">
        <f>-'Table 5D2 - Glencoe'!S19</f>
        <v>0</v>
      </c>
      <c r="S18" s="368">
        <f>-'Table 5D3 - International'!S19</f>
        <v>0</v>
      </c>
      <c r="T18" s="368">
        <f>-'Table 5D4 - Avoyelles'!S19</f>
        <v>0</v>
      </c>
      <c r="U18" s="368">
        <f>-'Table 5D5 - Delhi'!S19</f>
        <v>0</v>
      </c>
      <c r="V18" s="368">
        <f>-'Table 5D6 - Milestone'!S19</f>
        <v>0</v>
      </c>
      <c r="W18" s="368">
        <f>-'Table 5D7 - Max'!S19</f>
        <v>0</v>
      </c>
      <c r="X18" s="368">
        <f>-'Table 5D8 - Belle Chasse'!W19</f>
        <v>0</v>
      </c>
      <c r="Y18" s="368">
        <f>-'Table 5E_OJJ'!S19</f>
        <v>0</v>
      </c>
      <c r="Z18" s="368">
        <f>-'Table 5A2 LSMSA'!L19</f>
        <v>0</v>
      </c>
      <c r="AA18" s="368">
        <f>-'Table 5A3 NOCCA'!L19</f>
        <v>0</v>
      </c>
      <c r="AB18" s="368">
        <f>-'Table 5A4_LSDVI'!L19</f>
        <v>0</v>
      </c>
      <c r="AC18" s="368">
        <f>-'Table 5A5_SSD'!L19</f>
        <v>0</v>
      </c>
      <c r="AD18" s="368"/>
      <c r="AE18" s="764">
        <f t="shared" si="44"/>
        <v>861813</v>
      </c>
      <c r="AF18" s="368"/>
      <c r="AG18" s="368"/>
      <c r="AH18" s="368"/>
      <c r="AI18" s="368">
        <f>'Table 5C1A-Madison Prep'!P19</f>
        <v>0</v>
      </c>
      <c r="AJ18" s="368">
        <f>'Table 5C1B-DArbonne'!P19</f>
        <v>0</v>
      </c>
      <c r="AK18" s="368">
        <f>'Table 5C1C-Intl_VIBE'!P19</f>
        <v>0</v>
      </c>
      <c r="AL18" s="368">
        <f>'Table 5C1D-NOMMA'!P19</f>
        <v>0</v>
      </c>
      <c r="AM18" s="368">
        <f>'Table 5C1E-LFNO'!P19</f>
        <v>0</v>
      </c>
      <c r="AN18" s="368">
        <f>'Table 5C1F-Lake Charles Charter'!P19</f>
        <v>0</v>
      </c>
      <c r="AO18" s="368">
        <f>'Table 5C1G-JS Clark Academy'!P19</f>
        <v>0</v>
      </c>
      <c r="AP18" s="368">
        <f>'Table 5C1H-Southwest LA Charter'!P19</f>
        <v>0</v>
      </c>
      <c r="AQ18" s="368">
        <f>'Table 5C2 - LA Virtual Admy'!Q16</f>
        <v>-34</v>
      </c>
      <c r="AR18" s="368">
        <f>'Table 5C3 - LA Connections EBR'!Q16</f>
        <v>-28</v>
      </c>
      <c r="AS18" s="368">
        <f>'Table 5D1 - New Vision'!O19</f>
        <v>0</v>
      </c>
      <c r="AT18" s="368">
        <f>'Table 5D2 - Glencoe'!O19</f>
        <v>0</v>
      </c>
      <c r="AU18" s="368">
        <f>'Table 5D3 - International'!O19</f>
        <v>0</v>
      </c>
      <c r="AV18" s="368">
        <f>'Table 5D4 - Avoyelles'!O19</f>
        <v>0</v>
      </c>
      <c r="AW18" s="368">
        <f>'Table 5D5 - Delhi'!O19</f>
        <v>0</v>
      </c>
      <c r="AX18" s="368">
        <f>'Table 5D6 - Milestone'!O19</f>
        <v>0</v>
      </c>
      <c r="AY18" s="368">
        <f>'Table 5D7 - Max'!O19</f>
        <v>0</v>
      </c>
      <c r="AZ18" s="368">
        <f>'Table 5D8 - Belle Chasse'!S19</f>
        <v>0</v>
      </c>
      <c r="BA18" s="764">
        <f t="shared" si="45"/>
        <v>861751</v>
      </c>
      <c r="BB18" s="47"/>
      <c r="BH18"/>
      <c r="BQ18"/>
    </row>
    <row r="19" spans="1:69">
      <c r="A19" s="101">
        <v>14</v>
      </c>
      <c r="B19" s="311" t="s">
        <v>115</v>
      </c>
      <c r="C19" s="320">
        <f>'Table 2_State Distrib and Adjs'!AD20</f>
        <v>985560</v>
      </c>
      <c r="D19" s="368"/>
      <c r="E19" s="368"/>
      <c r="F19" s="368">
        <f>-'Table 5C1A-Madison Prep'!T20</f>
        <v>0</v>
      </c>
      <c r="G19" s="368">
        <f>-'Table 5C1B-DArbonne'!T20</f>
        <v>-898.99687499999993</v>
      </c>
      <c r="H19" s="368">
        <f>-'Table 5C1C-Intl_VIBE'!T20</f>
        <v>0</v>
      </c>
      <c r="I19" s="368">
        <f>-'Table 5C1D-NOMMA'!T20</f>
        <v>0</v>
      </c>
      <c r="J19" s="368"/>
      <c r="K19" s="368">
        <f>-'Table 5C1E-LFNO'!T20</f>
        <v>0</v>
      </c>
      <c r="L19" s="368">
        <f>-'Table 5C1F-Lake Charles Charter'!T20</f>
        <v>0</v>
      </c>
      <c r="M19" s="368">
        <f>-'Table 5C1G-JS Clark Academy'!T20</f>
        <v>0</v>
      </c>
      <c r="N19" s="368">
        <f>-'Table 5C1H-Southwest LA Charter'!T20</f>
        <v>0</v>
      </c>
      <c r="O19" s="368">
        <f>-'Table 5C2 - LA Virtual Admy'!U17</f>
        <v>-809</v>
      </c>
      <c r="P19" s="368">
        <f>-'Table 5C3 - LA Connections EBR'!U17</f>
        <v>-1888</v>
      </c>
      <c r="Q19" s="368">
        <f>-'Table 5D1 - New Vision'!S20</f>
        <v>0</v>
      </c>
      <c r="R19" s="368">
        <f>-'Table 5D2 - Glencoe'!S20</f>
        <v>0</v>
      </c>
      <c r="S19" s="368">
        <f>-'Table 5D3 - International'!S20</f>
        <v>0</v>
      </c>
      <c r="T19" s="368">
        <f>-'Table 5D4 - Avoyelles'!S20</f>
        <v>0</v>
      </c>
      <c r="U19" s="368">
        <f>-'Table 5D5 - Delhi'!S20</f>
        <v>0</v>
      </c>
      <c r="V19" s="368">
        <f>-'Table 5D6 - Milestone'!S20</f>
        <v>0</v>
      </c>
      <c r="W19" s="368">
        <f>-'Table 5D7 - Max'!S20</f>
        <v>0</v>
      </c>
      <c r="X19" s="368">
        <f>-'Table 5D8 - Belle Chasse'!W20</f>
        <v>0</v>
      </c>
      <c r="Y19" s="368">
        <f>-'Table 5E_OJJ'!S20</f>
        <v>0</v>
      </c>
      <c r="Z19" s="368">
        <f>-'Table 5A2 LSMSA'!L20</f>
        <v>-127</v>
      </c>
      <c r="AA19" s="368">
        <f>-'Table 5A3 NOCCA'!L20</f>
        <v>0</v>
      </c>
      <c r="AB19" s="368">
        <f>-'Table 5A4_LSDVI'!L20</f>
        <v>0</v>
      </c>
      <c r="AC19" s="368">
        <f>-'Table 5A5_SSD'!L20</f>
        <v>0</v>
      </c>
      <c r="AD19" s="368"/>
      <c r="AE19" s="764">
        <f t="shared" si="44"/>
        <v>981837.00312500005</v>
      </c>
      <c r="AF19" s="368"/>
      <c r="AG19" s="368"/>
      <c r="AH19" s="368"/>
      <c r="AI19" s="368">
        <f>'Table 5C1A-Madison Prep'!P20</f>
        <v>0</v>
      </c>
      <c r="AJ19" s="368">
        <f>'Table 5C1B-DArbonne'!P20</f>
        <v>-27.037500000000001</v>
      </c>
      <c r="AK19" s="368">
        <f>'Table 5C1C-Intl_VIBE'!P20</f>
        <v>0</v>
      </c>
      <c r="AL19" s="368">
        <f>'Table 5C1D-NOMMA'!P20</f>
        <v>0</v>
      </c>
      <c r="AM19" s="368">
        <f>'Table 5C1E-LFNO'!P20</f>
        <v>0</v>
      </c>
      <c r="AN19" s="368">
        <f>'Table 5C1F-Lake Charles Charter'!P20</f>
        <v>0</v>
      </c>
      <c r="AO19" s="368">
        <f>'Table 5C1G-JS Clark Academy'!P20</f>
        <v>0</v>
      </c>
      <c r="AP19" s="368">
        <f>'Table 5C1H-Southwest LA Charter'!P20</f>
        <v>0</v>
      </c>
      <c r="AQ19" s="368">
        <f>'Table 5C2 - LA Virtual Admy'!Q17</f>
        <v>-24</v>
      </c>
      <c r="AR19" s="368">
        <f>'Table 5C3 - LA Connections EBR'!Q17</f>
        <v>-57</v>
      </c>
      <c r="AS19" s="368">
        <f>'Table 5D1 - New Vision'!O20</f>
        <v>0</v>
      </c>
      <c r="AT19" s="368">
        <f>'Table 5D2 - Glencoe'!O20</f>
        <v>0</v>
      </c>
      <c r="AU19" s="368">
        <f>'Table 5D3 - International'!O20</f>
        <v>0</v>
      </c>
      <c r="AV19" s="368">
        <f>'Table 5D4 - Avoyelles'!O20</f>
        <v>0</v>
      </c>
      <c r="AW19" s="368">
        <f>'Table 5D5 - Delhi'!O20</f>
        <v>0</v>
      </c>
      <c r="AX19" s="368">
        <f>'Table 5D6 - Milestone'!O20</f>
        <v>0</v>
      </c>
      <c r="AY19" s="368">
        <f>'Table 5D7 - Max'!O20</f>
        <v>0</v>
      </c>
      <c r="AZ19" s="368">
        <f>'Table 5D8 - Belle Chasse'!S20</f>
        <v>0</v>
      </c>
      <c r="BA19" s="764">
        <f t="shared" si="45"/>
        <v>981728.96562500007</v>
      </c>
      <c r="BB19" s="47"/>
      <c r="BH19"/>
      <c r="BQ19"/>
    </row>
    <row r="20" spans="1:69">
      <c r="A20" s="102">
        <v>15</v>
      </c>
      <c r="B20" s="312" t="s">
        <v>116</v>
      </c>
      <c r="C20" s="329">
        <f>'Table 2_State Distrib and Adjs'!AD21</f>
        <v>1805278</v>
      </c>
      <c r="D20" s="369"/>
      <c r="E20" s="369"/>
      <c r="F20" s="369">
        <f>-'Table 5C1A-Madison Prep'!T21</f>
        <v>0</v>
      </c>
      <c r="G20" s="369">
        <f>-'Table 5C1B-DArbonne'!T21</f>
        <v>0</v>
      </c>
      <c r="H20" s="369">
        <f>-'Table 5C1C-Intl_VIBE'!T21</f>
        <v>0</v>
      </c>
      <c r="I20" s="369">
        <f>-'Table 5C1D-NOMMA'!T21</f>
        <v>0</v>
      </c>
      <c r="J20" s="369"/>
      <c r="K20" s="369">
        <f>-'Table 5C1E-LFNO'!T21</f>
        <v>0</v>
      </c>
      <c r="L20" s="369">
        <f>-'Table 5C1F-Lake Charles Charter'!T21</f>
        <v>0</v>
      </c>
      <c r="M20" s="369">
        <f>-'Table 5C1G-JS Clark Academy'!T21</f>
        <v>0</v>
      </c>
      <c r="N20" s="369">
        <f>-'Table 5C1H-Southwest LA Charter'!T21</f>
        <v>0</v>
      </c>
      <c r="O20" s="369">
        <f>-'Table 5C2 - LA Virtual Admy'!U18</f>
        <v>-782</v>
      </c>
      <c r="P20" s="369">
        <f>-'Table 5C3 - LA Connections EBR'!U18</f>
        <v>-391</v>
      </c>
      <c r="Q20" s="369">
        <f>-'Table 5D1 - New Vision'!S21</f>
        <v>0</v>
      </c>
      <c r="R20" s="369">
        <f>-'Table 5D2 - Glencoe'!S21</f>
        <v>0</v>
      </c>
      <c r="S20" s="369">
        <f>-'Table 5D3 - International'!S21</f>
        <v>0</v>
      </c>
      <c r="T20" s="369">
        <f>-'Table 5D4 - Avoyelles'!S21</f>
        <v>0</v>
      </c>
      <c r="U20" s="369">
        <f>-'Table 5D5 - Delhi'!S21</f>
        <v>0</v>
      </c>
      <c r="V20" s="369">
        <f>-'Table 5D6 - Milestone'!S21</f>
        <v>0</v>
      </c>
      <c r="W20" s="369">
        <f>-'Table 5D7 - Max'!S21</f>
        <v>0</v>
      </c>
      <c r="X20" s="369">
        <f>-'Table 5D8 - Belle Chasse'!W21</f>
        <v>0</v>
      </c>
      <c r="Y20" s="369">
        <f>-'Table 5E_OJJ'!S21</f>
        <v>-509</v>
      </c>
      <c r="Z20" s="369">
        <f>-'Table 5A2 LSMSA'!L21</f>
        <v>0</v>
      </c>
      <c r="AA20" s="369">
        <f>-'Table 5A3 NOCCA'!L21</f>
        <v>0</v>
      </c>
      <c r="AB20" s="369">
        <f>-'Table 5A4_LSDVI'!L21</f>
        <v>0</v>
      </c>
      <c r="AC20" s="369">
        <f>-'Table 5A5_SSD'!L21</f>
        <v>-437</v>
      </c>
      <c r="AD20" s="369"/>
      <c r="AE20" s="765">
        <f t="shared" si="44"/>
        <v>1803159</v>
      </c>
      <c r="AF20" s="369"/>
      <c r="AG20" s="369"/>
      <c r="AH20" s="369"/>
      <c r="AI20" s="369">
        <f>'Table 5C1A-Madison Prep'!P21</f>
        <v>0</v>
      </c>
      <c r="AJ20" s="369">
        <f>'Table 5C1B-DArbonne'!P21</f>
        <v>0</v>
      </c>
      <c r="AK20" s="369">
        <f>'Table 5C1C-Intl_VIBE'!P21</f>
        <v>0</v>
      </c>
      <c r="AL20" s="369">
        <f>'Table 5C1D-NOMMA'!P21</f>
        <v>0</v>
      </c>
      <c r="AM20" s="369">
        <f>'Table 5C1E-LFNO'!P21</f>
        <v>0</v>
      </c>
      <c r="AN20" s="369">
        <f>'Table 5C1F-Lake Charles Charter'!P21</f>
        <v>0</v>
      </c>
      <c r="AO20" s="369">
        <f>'Table 5C1G-JS Clark Academy'!P21</f>
        <v>0</v>
      </c>
      <c r="AP20" s="369">
        <f>'Table 5C1H-Southwest LA Charter'!P21</f>
        <v>0</v>
      </c>
      <c r="AQ20" s="369">
        <f>'Table 5C2 - LA Virtual Admy'!Q18</f>
        <v>-24</v>
      </c>
      <c r="AR20" s="369">
        <f>'Table 5C3 - LA Connections EBR'!Q18</f>
        <v>-12</v>
      </c>
      <c r="AS20" s="369">
        <f>'Table 5D1 - New Vision'!O21</f>
        <v>0</v>
      </c>
      <c r="AT20" s="369">
        <f>'Table 5D2 - Glencoe'!O21</f>
        <v>0</v>
      </c>
      <c r="AU20" s="369">
        <f>'Table 5D3 - International'!O21</f>
        <v>0</v>
      </c>
      <c r="AV20" s="369">
        <f>'Table 5D4 - Avoyelles'!O21</f>
        <v>0</v>
      </c>
      <c r="AW20" s="369">
        <f>'Table 5D5 - Delhi'!O21</f>
        <v>0</v>
      </c>
      <c r="AX20" s="369">
        <f>'Table 5D6 - Milestone'!O21</f>
        <v>0</v>
      </c>
      <c r="AY20" s="369">
        <f>'Table 5D7 - Max'!O21</f>
        <v>0</v>
      </c>
      <c r="AZ20" s="369">
        <f>'Table 5D8 - Belle Chasse'!S21</f>
        <v>0</v>
      </c>
      <c r="BA20" s="765">
        <f t="shared" si="45"/>
        <v>1803123</v>
      </c>
      <c r="BB20" s="47"/>
      <c r="BH20"/>
      <c r="BQ20"/>
    </row>
    <row r="21" spans="1:69">
      <c r="A21" s="101">
        <v>16</v>
      </c>
      <c r="B21" s="311" t="s">
        <v>117</v>
      </c>
      <c r="C21" s="320">
        <f>'Table 2_State Distrib and Adjs'!AD22</f>
        <v>867870</v>
      </c>
      <c r="D21" s="368"/>
      <c r="E21" s="368"/>
      <c r="F21" s="368">
        <f>-'Table 5C1A-Madison Prep'!T22</f>
        <v>0</v>
      </c>
      <c r="G21" s="368">
        <f>-'Table 5C1B-DArbonne'!T22</f>
        <v>0</v>
      </c>
      <c r="H21" s="368">
        <f>-'Table 5C1C-Intl_VIBE'!T22</f>
        <v>0</v>
      </c>
      <c r="I21" s="368">
        <f>-'Table 5C1D-NOMMA'!T22</f>
        <v>0</v>
      </c>
      <c r="J21" s="368"/>
      <c r="K21" s="368">
        <f>-'Table 5C1E-LFNO'!T22</f>
        <v>0</v>
      </c>
      <c r="L21" s="368">
        <f>-'Table 5C1F-Lake Charles Charter'!T22</f>
        <v>0</v>
      </c>
      <c r="M21" s="368">
        <f>-'Table 5C1G-JS Clark Academy'!T22</f>
        <v>0</v>
      </c>
      <c r="N21" s="368">
        <f>-'Table 5C1H-Southwest LA Charter'!T22</f>
        <v>0</v>
      </c>
      <c r="O21" s="368">
        <f>-'Table 5C2 - LA Virtual Admy'!U19</f>
        <v>-15567</v>
      </c>
      <c r="P21" s="368">
        <f>-'Table 5C3 - LA Connections EBR'!U19</f>
        <v>-1197</v>
      </c>
      <c r="Q21" s="368">
        <f>-'Table 5D1 - New Vision'!S22</f>
        <v>0</v>
      </c>
      <c r="R21" s="368">
        <f>-'Table 5D2 - Glencoe'!S22</f>
        <v>0</v>
      </c>
      <c r="S21" s="368">
        <f>-'Table 5D3 - International'!S22</f>
        <v>0</v>
      </c>
      <c r="T21" s="368">
        <f>-'Table 5D4 - Avoyelles'!S22</f>
        <v>0</v>
      </c>
      <c r="U21" s="368">
        <f>-'Table 5D5 - Delhi'!S22</f>
        <v>0</v>
      </c>
      <c r="V21" s="368">
        <f>-'Table 5D6 - Milestone'!S22</f>
        <v>0</v>
      </c>
      <c r="W21" s="368">
        <f>-'Table 5D7 - Max'!S22</f>
        <v>0</v>
      </c>
      <c r="X21" s="368">
        <f>-'Table 5D8 - Belle Chasse'!W22</f>
        <v>0</v>
      </c>
      <c r="Y21" s="368">
        <f>-'Table 5E_OJJ'!S22</f>
        <v>-1105</v>
      </c>
      <c r="Z21" s="368">
        <f>-'Table 5A2 LSMSA'!L22</f>
        <v>-314</v>
      </c>
      <c r="AA21" s="368">
        <f>-'Table 5A3 NOCCA'!L22</f>
        <v>0</v>
      </c>
      <c r="AB21" s="368">
        <f>-'Table 5A4_LSDVI'!L22</f>
        <v>0</v>
      </c>
      <c r="AC21" s="368">
        <f>-'Table 5A5_SSD'!L22</f>
        <v>0</v>
      </c>
      <c r="AD21" s="368"/>
      <c r="AE21" s="764">
        <f t="shared" si="44"/>
        <v>849687</v>
      </c>
      <c r="AF21" s="368"/>
      <c r="AG21" s="368"/>
      <c r="AH21" s="368"/>
      <c r="AI21" s="368">
        <f>'Table 5C1A-Madison Prep'!P22</f>
        <v>0</v>
      </c>
      <c r="AJ21" s="368">
        <f>'Table 5C1B-DArbonne'!P22</f>
        <v>0</v>
      </c>
      <c r="AK21" s="368">
        <f>'Table 5C1C-Intl_VIBE'!P22</f>
        <v>0</v>
      </c>
      <c r="AL21" s="368">
        <f>'Table 5C1D-NOMMA'!P22</f>
        <v>0</v>
      </c>
      <c r="AM21" s="368">
        <f>'Table 5C1E-LFNO'!P22</f>
        <v>0</v>
      </c>
      <c r="AN21" s="368">
        <f>'Table 5C1F-Lake Charles Charter'!P22</f>
        <v>0</v>
      </c>
      <c r="AO21" s="368">
        <f>'Table 5C1G-JS Clark Academy'!P22</f>
        <v>0</v>
      </c>
      <c r="AP21" s="368">
        <f>'Table 5C1H-Southwest LA Charter'!P22</f>
        <v>0</v>
      </c>
      <c r="AQ21" s="368">
        <f>'Table 5C2 - LA Virtual Admy'!Q19</f>
        <v>-468</v>
      </c>
      <c r="AR21" s="368">
        <f>'Table 5C3 - LA Connections EBR'!Q19</f>
        <v>-36</v>
      </c>
      <c r="AS21" s="368">
        <f>'Table 5D1 - New Vision'!O22</f>
        <v>0</v>
      </c>
      <c r="AT21" s="368">
        <f>'Table 5D2 - Glencoe'!O22</f>
        <v>0</v>
      </c>
      <c r="AU21" s="368">
        <f>'Table 5D3 - International'!O22</f>
        <v>0</v>
      </c>
      <c r="AV21" s="368">
        <f>'Table 5D4 - Avoyelles'!O22</f>
        <v>0</v>
      </c>
      <c r="AW21" s="368">
        <f>'Table 5D5 - Delhi'!O22</f>
        <v>0</v>
      </c>
      <c r="AX21" s="368">
        <f>'Table 5D6 - Milestone'!O22</f>
        <v>0</v>
      </c>
      <c r="AY21" s="368">
        <f>'Table 5D7 - Max'!O22</f>
        <v>0</v>
      </c>
      <c r="AZ21" s="368">
        <f>'Table 5D8 - Belle Chasse'!S22</f>
        <v>0</v>
      </c>
      <c r="BA21" s="764">
        <f t="shared" si="45"/>
        <v>849183</v>
      </c>
      <c r="BB21" s="47"/>
      <c r="BH21"/>
      <c r="BQ21"/>
    </row>
    <row r="22" spans="1:69">
      <c r="A22" s="101">
        <v>17</v>
      </c>
      <c r="B22" s="311" t="s">
        <v>118</v>
      </c>
      <c r="C22" s="320">
        <f>'Table 2_State Distrib and Adjs'!AD23</f>
        <v>14076403</v>
      </c>
      <c r="D22" s="368">
        <f>-'Table 5B2_RSD_LA'!X18</f>
        <v>-1413735.5833333333</v>
      </c>
      <c r="E22" s="368"/>
      <c r="F22" s="368">
        <f>-'Table 5C1A-Madison Prep'!T23</f>
        <v>-102531.75479166668</v>
      </c>
      <c r="G22" s="368">
        <f>-'Table 5C1B-DArbonne'!T23</f>
        <v>0</v>
      </c>
      <c r="H22" s="368">
        <f>-'Table 5C1C-Intl_VIBE'!T23</f>
        <v>0</v>
      </c>
      <c r="I22" s="368">
        <f>-'Table 5C1D-NOMMA'!T23</f>
        <v>0</v>
      </c>
      <c r="J22" s="368"/>
      <c r="K22" s="368">
        <f>-'Table 5C1E-LFNO'!T23</f>
        <v>0</v>
      </c>
      <c r="L22" s="368">
        <f>-'Table 5C1F-Lake Charles Charter'!T23</f>
        <v>0</v>
      </c>
      <c r="M22" s="368">
        <f>-'Table 5C1G-JS Clark Academy'!T23</f>
        <v>0</v>
      </c>
      <c r="N22" s="368">
        <f>-'Table 5C1H-Southwest LA Charter'!T23</f>
        <v>0</v>
      </c>
      <c r="O22" s="368">
        <f>-'Table 5C2 - LA Virtual Admy'!U20</f>
        <v>-37403</v>
      </c>
      <c r="P22" s="368">
        <f>-'Table 5C3 - LA Connections EBR'!U20</f>
        <v>-19430</v>
      </c>
      <c r="Q22" s="368">
        <f>-'Table 5D1 - New Vision'!S23</f>
        <v>0</v>
      </c>
      <c r="R22" s="368">
        <f>-'Table 5D2 - Glencoe'!S23</f>
        <v>0</v>
      </c>
      <c r="S22" s="368">
        <f>-'Table 5D3 - International'!S23</f>
        <v>0</v>
      </c>
      <c r="T22" s="368">
        <f>-'Table 5D4 - Avoyelles'!S23</f>
        <v>0</v>
      </c>
      <c r="U22" s="368">
        <f>-'Table 5D5 - Delhi'!S23</f>
        <v>0</v>
      </c>
      <c r="V22" s="368">
        <f>-'Table 5D6 - Milestone'!S23</f>
        <v>0</v>
      </c>
      <c r="W22" s="368">
        <f>-'Table 5D7 - Max'!S23</f>
        <v>0</v>
      </c>
      <c r="X22" s="368">
        <f>-'Table 5D8 - Belle Chasse'!W23</f>
        <v>0</v>
      </c>
      <c r="Y22" s="368">
        <f>-'Table 5E_OJJ'!S23</f>
        <v>-14917</v>
      </c>
      <c r="Z22" s="368">
        <f>-'Table 5A2 LSMSA'!L23</f>
        <v>-3625</v>
      </c>
      <c r="AA22" s="368">
        <f>-'Table 5A3 NOCCA'!L23</f>
        <v>-426</v>
      </c>
      <c r="AB22" s="368">
        <f>-'Table 5A4_LSDVI'!L23</f>
        <v>-18193</v>
      </c>
      <c r="AC22" s="368">
        <f>-'Table 5A5_SSD'!L23</f>
        <v>-6443</v>
      </c>
      <c r="AD22" s="368"/>
      <c r="AE22" s="764">
        <f t="shared" si="44"/>
        <v>12459698.661875</v>
      </c>
      <c r="AF22" s="368">
        <f>'Table 5B2_RSD_LA'!R18</f>
        <v>-46998.875000000007</v>
      </c>
      <c r="AG22" s="368">
        <f>'Table 5B2_RSD_LA'!S18</f>
        <v>-6714.125</v>
      </c>
      <c r="AH22" s="368"/>
      <c r="AI22" s="368">
        <f>'Table 5C1A-Madison Prep'!P23</f>
        <v>-3067.9425000000001</v>
      </c>
      <c r="AJ22" s="368">
        <f>'Table 5C1B-DArbonne'!P23</f>
        <v>0</v>
      </c>
      <c r="AK22" s="368">
        <f>'Table 5C1C-Intl_VIBE'!P23</f>
        <v>0</v>
      </c>
      <c r="AL22" s="368">
        <f>'Table 5C1D-NOMMA'!P23</f>
        <v>0</v>
      </c>
      <c r="AM22" s="368">
        <f>'Table 5C1E-LFNO'!P23</f>
        <v>0</v>
      </c>
      <c r="AN22" s="368">
        <f>'Table 5C1F-Lake Charles Charter'!P23</f>
        <v>0</v>
      </c>
      <c r="AO22" s="368">
        <f>'Table 5C1G-JS Clark Academy'!P23</f>
        <v>0</v>
      </c>
      <c r="AP22" s="368">
        <f>'Table 5C1H-Southwest LA Charter'!P23</f>
        <v>0</v>
      </c>
      <c r="AQ22" s="368">
        <f>'Table 5C2 - LA Virtual Admy'!Q20</f>
        <v>-1125</v>
      </c>
      <c r="AR22" s="368">
        <f>'Table 5C3 - LA Connections EBR'!Q20</f>
        <v>-584</v>
      </c>
      <c r="AS22" s="368">
        <f>'Table 5D1 - New Vision'!O23</f>
        <v>0</v>
      </c>
      <c r="AT22" s="368">
        <f>'Table 5D2 - Glencoe'!O23</f>
        <v>0</v>
      </c>
      <c r="AU22" s="368">
        <f>'Table 5D3 - International'!O23</f>
        <v>0</v>
      </c>
      <c r="AV22" s="368">
        <f>'Table 5D4 - Avoyelles'!O23</f>
        <v>0</v>
      </c>
      <c r="AW22" s="368">
        <f>'Table 5D5 - Delhi'!O23</f>
        <v>0</v>
      </c>
      <c r="AX22" s="368">
        <f>'Table 5D6 - Milestone'!O23</f>
        <v>0</v>
      </c>
      <c r="AY22" s="368">
        <f>'Table 5D7 - Max'!O23</f>
        <v>0</v>
      </c>
      <c r="AZ22" s="368">
        <f>'Table 5D8 - Belle Chasse'!S23</f>
        <v>0</v>
      </c>
      <c r="BA22" s="764">
        <f t="shared" si="45"/>
        <v>12401208.719374999</v>
      </c>
      <c r="BB22" s="47"/>
      <c r="BH22"/>
      <c r="BQ22"/>
    </row>
    <row r="23" spans="1:69">
      <c r="A23" s="101">
        <v>18</v>
      </c>
      <c r="B23" s="311" t="s">
        <v>119</v>
      </c>
      <c r="C23" s="320">
        <f>'Table 2_State Distrib and Adjs'!AD24</f>
        <v>631814</v>
      </c>
      <c r="D23" s="368"/>
      <c r="E23" s="368"/>
      <c r="F23" s="368">
        <f>-'Table 5C1A-Madison Prep'!T24</f>
        <v>0</v>
      </c>
      <c r="G23" s="368">
        <f>-'Table 5C1B-DArbonne'!T24</f>
        <v>0</v>
      </c>
      <c r="H23" s="368">
        <f>-'Table 5C1C-Intl_VIBE'!T24</f>
        <v>0</v>
      </c>
      <c r="I23" s="368">
        <f>-'Table 5C1D-NOMMA'!T24</f>
        <v>0</v>
      </c>
      <c r="J23" s="368"/>
      <c r="K23" s="368">
        <f>-'Table 5C1E-LFNO'!T24</f>
        <v>0</v>
      </c>
      <c r="L23" s="368">
        <f>-'Table 5C1F-Lake Charles Charter'!T24</f>
        <v>0</v>
      </c>
      <c r="M23" s="368">
        <f>-'Table 5C1G-JS Clark Academy'!T24</f>
        <v>0</v>
      </c>
      <c r="N23" s="368">
        <f>-'Table 5C1H-Southwest LA Charter'!T24</f>
        <v>0</v>
      </c>
      <c r="O23" s="368">
        <f>-'Table 5C2 - LA Virtual Admy'!U21</f>
        <v>-156</v>
      </c>
      <c r="P23" s="368">
        <f>-'Table 5C3 - LA Connections EBR'!U21</f>
        <v>0</v>
      </c>
      <c r="Q23" s="368">
        <f>-'Table 5D1 - New Vision'!S24</f>
        <v>0</v>
      </c>
      <c r="R23" s="368">
        <f>-'Table 5D2 - Glencoe'!S24</f>
        <v>0</v>
      </c>
      <c r="S23" s="368">
        <f>-'Table 5D3 - International'!S24</f>
        <v>0</v>
      </c>
      <c r="T23" s="368">
        <f>-'Table 5D4 - Avoyelles'!S24</f>
        <v>0</v>
      </c>
      <c r="U23" s="368">
        <f>-'Table 5D5 - Delhi'!S24</f>
        <v>-1736</v>
      </c>
      <c r="V23" s="368">
        <f>-'Table 5D6 - Milestone'!S24</f>
        <v>0</v>
      </c>
      <c r="W23" s="368">
        <f>-'Table 5D7 - Max'!S24</f>
        <v>0</v>
      </c>
      <c r="X23" s="368">
        <f>-'Table 5D8 - Belle Chasse'!W24</f>
        <v>0</v>
      </c>
      <c r="Y23" s="368">
        <f>-'Table 5E_OJJ'!S24</f>
        <v>-245</v>
      </c>
      <c r="Z23" s="368">
        <f>-'Table 5A2 LSMSA'!L24</f>
        <v>0</v>
      </c>
      <c r="AA23" s="368">
        <f>-'Table 5A3 NOCCA'!L24</f>
        <v>0</v>
      </c>
      <c r="AB23" s="368">
        <f>-'Table 5A4_LSDVI'!L24</f>
        <v>0</v>
      </c>
      <c r="AC23" s="368">
        <f>-'Table 5A5_SSD'!L24</f>
        <v>0</v>
      </c>
      <c r="AD23" s="368"/>
      <c r="AE23" s="764">
        <f t="shared" si="44"/>
        <v>629677</v>
      </c>
      <c r="AF23" s="368"/>
      <c r="AG23" s="368"/>
      <c r="AH23" s="368"/>
      <c r="AI23" s="368">
        <f>'Table 5C1A-Madison Prep'!P24</f>
        <v>0</v>
      </c>
      <c r="AJ23" s="368">
        <f>'Table 5C1B-DArbonne'!P24</f>
        <v>0</v>
      </c>
      <c r="AK23" s="368">
        <f>'Table 5C1C-Intl_VIBE'!P24</f>
        <v>0</v>
      </c>
      <c r="AL23" s="368">
        <f>'Table 5C1D-NOMMA'!P24</f>
        <v>0</v>
      </c>
      <c r="AM23" s="368">
        <f>'Table 5C1E-LFNO'!P24</f>
        <v>0</v>
      </c>
      <c r="AN23" s="368">
        <f>'Table 5C1F-Lake Charles Charter'!P24</f>
        <v>0</v>
      </c>
      <c r="AO23" s="368">
        <f>'Table 5C1G-JS Clark Academy'!P24</f>
        <v>0</v>
      </c>
      <c r="AP23" s="368">
        <f>'Table 5C1H-Southwest LA Charter'!P24</f>
        <v>0</v>
      </c>
      <c r="AQ23" s="368">
        <f>'Table 5C2 - LA Virtual Admy'!Q21</f>
        <v>-5</v>
      </c>
      <c r="AR23" s="368">
        <f>'Table 5C3 - LA Connections EBR'!Q21</f>
        <v>0</v>
      </c>
      <c r="AS23" s="368">
        <f>'Table 5D1 - New Vision'!O24</f>
        <v>0</v>
      </c>
      <c r="AT23" s="368">
        <f>'Table 5D2 - Glencoe'!O24</f>
        <v>0</v>
      </c>
      <c r="AU23" s="368">
        <f>'Table 5D3 - International'!O24</f>
        <v>0</v>
      </c>
      <c r="AV23" s="368">
        <f>'Table 5D4 - Avoyelles'!O24</f>
        <v>0</v>
      </c>
      <c r="AW23" s="368">
        <f>'Table 5D5 - Delhi'!O24</f>
        <v>-52.2</v>
      </c>
      <c r="AX23" s="368">
        <f>'Table 5D6 - Milestone'!O24</f>
        <v>0</v>
      </c>
      <c r="AY23" s="368">
        <f>'Table 5D7 - Max'!O24</f>
        <v>0</v>
      </c>
      <c r="AZ23" s="368">
        <f>'Table 5D8 - Belle Chasse'!S24</f>
        <v>0</v>
      </c>
      <c r="BA23" s="764">
        <f t="shared" si="45"/>
        <v>629619.80000000005</v>
      </c>
      <c r="BB23" s="47"/>
      <c r="BH23"/>
      <c r="BQ23"/>
    </row>
    <row r="24" spans="1:69">
      <c r="A24" s="101">
        <v>19</v>
      </c>
      <c r="B24" s="311" t="s">
        <v>120</v>
      </c>
      <c r="C24" s="320">
        <f>'Table 2_State Distrib and Adjs'!AD25</f>
        <v>982352</v>
      </c>
      <c r="D24" s="368"/>
      <c r="E24" s="368"/>
      <c r="F24" s="368">
        <f>-'Table 5C1A-Madison Prep'!T25</f>
        <v>0</v>
      </c>
      <c r="G24" s="368">
        <f>-'Table 5C1B-DArbonne'!T25</f>
        <v>0</v>
      </c>
      <c r="H24" s="368">
        <f>-'Table 5C1C-Intl_VIBE'!T25</f>
        <v>0</v>
      </c>
      <c r="I24" s="368">
        <f>-'Table 5C1D-NOMMA'!T25</f>
        <v>0</v>
      </c>
      <c r="J24" s="368"/>
      <c r="K24" s="368">
        <f>-'Table 5C1E-LFNO'!T25</f>
        <v>0</v>
      </c>
      <c r="L24" s="368">
        <f>-'Table 5C1F-Lake Charles Charter'!T25</f>
        <v>0</v>
      </c>
      <c r="M24" s="368">
        <f>-'Table 5C1G-JS Clark Academy'!T25</f>
        <v>0</v>
      </c>
      <c r="N24" s="368">
        <f>-'Table 5C1H-Southwest LA Charter'!T25</f>
        <v>0</v>
      </c>
      <c r="O24" s="368">
        <f>-'Table 5C2 - LA Virtual Admy'!U22</f>
        <v>-1362</v>
      </c>
      <c r="P24" s="368">
        <f>-'Table 5C3 - LA Connections EBR'!U22</f>
        <v>-170</v>
      </c>
      <c r="Q24" s="368">
        <f>-'Table 5D1 - New Vision'!S25</f>
        <v>0</v>
      </c>
      <c r="R24" s="368">
        <f>-'Table 5D2 - Glencoe'!S25</f>
        <v>0</v>
      </c>
      <c r="S24" s="368">
        <f>-'Table 5D3 - International'!S25</f>
        <v>0</v>
      </c>
      <c r="T24" s="368">
        <f>-'Table 5D4 - Avoyelles'!S25</f>
        <v>0</v>
      </c>
      <c r="U24" s="368">
        <f>-'Table 5D5 - Delhi'!S25</f>
        <v>0</v>
      </c>
      <c r="V24" s="368">
        <f>-'Table 5D6 - Milestone'!S25</f>
        <v>0</v>
      </c>
      <c r="W24" s="368">
        <f>-'Table 5D7 - Max'!S25</f>
        <v>0</v>
      </c>
      <c r="X24" s="368">
        <f>-'Table 5D8 - Belle Chasse'!W25</f>
        <v>0</v>
      </c>
      <c r="Y24" s="368">
        <f>-'Table 5E_OJJ'!S25</f>
        <v>-60</v>
      </c>
      <c r="Z24" s="368">
        <f>-'Table 5A2 LSMSA'!L25</f>
        <v>0</v>
      </c>
      <c r="AA24" s="368">
        <f>-'Table 5A3 NOCCA'!L25</f>
        <v>0</v>
      </c>
      <c r="AB24" s="368">
        <f>-'Table 5A4_LSDVI'!L25</f>
        <v>-756</v>
      </c>
      <c r="AC24" s="368">
        <f>-'Table 5A5_SSD'!L25</f>
        <v>-2645</v>
      </c>
      <c r="AD24" s="368"/>
      <c r="AE24" s="764">
        <f t="shared" si="44"/>
        <v>977359</v>
      </c>
      <c r="AF24" s="368"/>
      <c r="AG24" s="368"/>
      <c r="AH24" s="368"/>
      <c r="AI24" s="368">
        <f>'Table 5C1A-Madison Prep'!P25</f>
        <v>0</v>
      </c>
      <c r="AJ24" s="368">
        <f>'Table 5C1B-DArbonne'!P25</f>
        <v>0</v>
      </c>
      <c r="AK24" s="368">
        <f>'Table 5C1C-Intl_VIBE'!P25</f>
        <v>0</v>
      </c>
      <c r="AL24" s="368">
        <f>'Table 5C1D-NOMMA'!P25</f>
        <v>0</v>
      </c>
      <c r="AM24" s="368">
        <f>'Table 5C1E-LFNO'!P25</f>
        <v>0</v>
      </c>
      <c r="AN24" s="368">
        <f>'Table 5C1F-Lake Charles Charter'!P25</f>
        <v>0</v>
      </c>
      <c r="AO24" s="368">
        <f>'Table 5C1G-JS Clark Academy'!P25</f>
        <v>0</v>
      </c>
      <c r="AP24" s="368">
        <f>'Table 5C1H-Southwest LA Charter'!P25</f>
        <v>0</v>
      </c>
      <c r="AQ24" s="368">
        <f>'Table 5C2 - LA Virtual Admy'!Q22</f>
        <v>-41</v>
      </c>
      <c r="AR24" s="368">
        <f>'Table 5C3 - LA Connections EBR'!Q22</f>
        <v>-5</v>
      </c>
      <c r="AS24" s="368">
        <f>'Table 5D1 - New Vision'!O25</f>
        <v>0</v>
      </c>
      <c r="AT24" s="368">
        <f>'Table 5D2 - Glencoe'!O25</f>
        <v>0</v>
      </c>
      <c r="AU24" s="368">
        <f>'Table 5D3 - International'!O25</f>
        <v>0</v>
      </c>
      <c r="AV24" s="368">
        <f>'Table 5D4 - Avoyelles'!O25</f>
        <v>0</v>
      </c>
      <c r="AW24" s="368">
        <f>'Table 5D5 - Delhi'!O25</f>
        <v>0</v>
      </c>
      <c r="AX24" s="368">
        <f>'Table 5D6 - Milestone'!O25</f>
        <v>0</v>
      </c>
      <c r="AY24" s="368">
        <f>'Table 5D7 - Max'!O25</f>
        <v>0</v>
      </c>
      <c r="AZ24" s="368">
        <f>'Table 5D8 - Belle Chasse'!S25</f>
        <v>0</v>
      </c>
      <c r="BA24" s="764">
        <f t="shared" si="45"/>
        <v>977313</v>
      </c>
      <c r="BB24" s="47"/>
      <c r="BH24"/>
      <c r="BQ24"/>
    </row>
    <row r="25" spans="1:69">
      <c r="A25" s="102">
        <v>20</v>
      </c>
      <c r="B25" s="312" t="s">
        <v>121</v>
      </c>
      <c r="C25" s="329">
        <f>'Table 2_State Distrib and Adjs'!AD26</f>
        <v>2914470</v>
      </c>
      <c r="D25" s="369"/>
      <c r="E25" s="369"/>
      <c r="F25" s="369">
        <f>-'Table 5C1A-Madison Prep'!T26</f>
        <v>0</v>
      </c>
      <c r="G25" s="369">
        <f>-'Table 5C1B-DArbonne'!T26</f>
        <v>0</v>
      </c>
      <c r="H25" s="369">
        <f>-'Table 5C1C-Intl_VIBE'!T26</f>
        <v>0</v>
      </c>
      <c r="I25" s="369">
        <f>-'Table 5C1D-NOMMA'!T26</f>
        <v>0</v>
      </c>
      <c r="J25" s="369"/>
      <c r="K25" s="369">
        <f>-'Table 5C1E-LFNO'!T26</f>
        <v>0</v>
      </c>
      <c r="L25" s="369">
        <f>-'Table 5C1F-Lake Charles Charter'!T26</f>
        <v>0</v>
      </c>
      <c r="M25" s="369">
        <f>-'Table 5C1G-JS Clark Academy'!T26</f>
        <v>0</v>
      </c>
      <c r="N25" s="369">
        <f>-'Table 5C1H-Southwest LA Charter'!T26</f>
        <v>0</v>
      </c>
      <c r="O25" s="369">
        <f>-'Table 5C2 - LA Virtual Admy'!U23</f>
        <v>-1381</v>
      </c>
      <c r="P25" s="369">
        <f>-'Table 5C3 - LA Connections EBR'!U23</f>
        <v>-173</v>
      </c>
      <c r="Q25" s="369">
        <f>-'Table 5D1 - New Vision'!S26</f>
        <v>0</v>
      </c>
      <c r="R25" s="369">
        <f>-'Table 5D2 - Glencoe'!S26</f>
        <v>0</v>
      </c>
      <c r="S25" s="369">
        <f>-'Table 5D3 - International'!S26</f>
        <v>0</v>
      </c>
      <c r="T25" s="369">
        <f>-'Table 5D4 - Avoyelles'!S26</f>
        <v>0</v>
      </c>
      <c r="U25" s="369">
        <f>-'Table 5D5 - Delhi'!S26</f>
        <v>0</v>
      </c>
      <c r="V25" s="369">
        <f>-'Table 5D6 - Milestone'!S26</f>
        <v>0</v>
      </c>
      <c r="W25" s="369">
        <f>-'Table 5D7 - Max'!S26</f>
        <v>0</v>
      </c>
      <c r="X25" s="369">
        <f>-'Table 5D8 - Belle Chasse'!W26</f>
        <v>0</v>
      </c>
      <c r="Y25" s="369">
        <f>-'Table 5E_OJJ'!S26</f>
        <v>-858</v>
      </c>
      <c r="Z25" s="369">
        <f>-'Table 5A2 LSMSA'!L26</f>
        <v>-161</v>
      </c>
      <c r="AA25" s="369">
        <f>-'Table 5A3 NOCCA'!L26</f>
        <v>0</v>
      </c>
      <c r="AB25" s="369">
        <f>-'Table 5A4_LSDVI'!L26</f>
        <v>-749</v>
      </c>
      <c r="AC25" s="369">
        <f>-'Table 5A5_SSD'!L26</f>
        <v>-749</v>
      </c>
      <c r="AD25" s="369"/>
      <c r="AE25" s="765">
        <f t="shared" si="44"/>
        <v>2910399</v>
      </c>
      <c r="AF25" s="369"/>
      <c r="AG25" s="369"/>
      <c r="AH25" s="369"/>
      <c r="AI25" s="369">
        <f>'Table 5C1A-Madison Prep'!P26</f>
        <v>0</v>
      </c>
      <c r="AJ25" s="369">
        <f>'Table 5C1B-DArbonne'!P26</f>
        <v>0</v>
      </c>
      <c r="AK25" s="369">
        <f>'Table 5C1C-Intl_VIBE'!P26</f>
        <v>0</v>
      </c>
      <c r="AL25" s="369">
        <f>'Table 5C1D-NOMMA'!P26</f>
        <v>0</v>
      </c>
      <c r="AM25" s="369">
        <f>'Table 5C1E-LFNO'!P26</f>
        <v>0</v>
      </c>
      <c r="AN25" s="369">
        <f>'Table 5C1F-Lake Charles Charter'!P26</f>
        <v>0</v>
      </c>
      <c r="AO25" s="369">
        <f>'Table 5C1G-JS Clark Academy'!P26</f>
        <v>0</v>
      </c>
      <c r="AP25" s="369">
        <f>'Table 5C1H-Southwest LA Charter'!P26</f>
        <v>0</v>
      </c>
      <c r="AQ25" s="369">
        <f>'Table 5C2 - LA Virtual Admy'!Q23</f>
        <v>-42</v>
      </c>
      <c r="AR25" s="369">
        <f>'Table 5C3 - LA Connections EBR'!Q23</f>
        <v>-5</v>
      </c>
      <c r="AS25" s="369">
        <f>'Table 5D1 - New Vision'!O26</f>
        <v>0</v>
      </c>
      <c r="AT25" s="369">
        <f>'Table 5D2 - Glencoe'!O26</f>
        <v>0</v>
      </c>
      <c r="AU25" s="369">
        <f>'Table 5D3 - International'!O26</f>
        <v>0</v>
      </c>
      <c r="AV25" s="369">
        <f>'Table 5D4 - Avoyelles'!O26</f>
        <v>0</v>
      </c>
      <c r="AW25" s="369">
        <f>'Table 5D5 - Delhi'!O26</f>
        <v>0</v>
      </c>
      <c r="AX25" s="369">
        <f>'Table 5D6 - Milestone'!O26</f>
        <v>0</v>
      </c>
      <c r="AY25" s="369">
        <f>'Table 5D7 - Max'!O26</f>
        <v>0</v>
      </c>
      <c r="AZ25" s="369">
        <f>'Table 5D8 - Belle Chasse'!S26</f>
        <v>0</v>
      </c>
      <c r="BA25" s="765">
        <f t="shared" si="45"/>
        <v>2910352</v>
      </c>
      <c r="BB25" s="47"/>
      <c r="BH25"/>
      <c r="BQ25"/>
    </row>
    <row r="26" spans="1:69">
      <c r="A26" s="101">
        <v>21</v>
      </c>
      <c r="B26" s="311" t="s">
        <v>122</v>
      </c>
      <c r="C26" s="320">
        <f>'Table 2_State Distrib and Adjs'!AD27</f>
        <v>1551074</v>
      </c>
      <c r="D26" s="368"/>
      <c r="E26" s="368"/>
      <c r="F26" s="368">
        <f>-'Table 5C1A-Madison Prep'!T27</f>
        <v>0</v>
      </c>
      <c r="G26" s="368">
        <f>-'Table 5C1B-DArbonne'!T27</f>
        <v>0</v>
      </c>
      <c r="H26" s="368">
        <f>-'Table 5C1C-Intl_VIBE'!T27</f>
        <v>0</v>
      </c>
      <c r="I26" s="368">
        <f>-'Table 5C1D-NOMMA'!T27</f>
        <v>0</v>
      </c>
      <c r="J26" s="368"/>
      <c r="K26" s="368">
        <f>-'Table 5C1E-LFNO'!T27</f>
        <v>0</v>
      </c>
      <c r="L26" s="368">
        <f>-'Table 5C1F-Lake Charles Charter'!T27</f>
        <v>0</v>
      </c>
      <c r="M26" s="368">
        <f>-'Table 5C1G-JS Clark Academy'!T27</f>
        <v>0</v>
      </c>
      <c r="N26" s="368">
        <f>-'Table 5C1H-Southwest LA Charter'!T27</f>
        <v>0</v>
      </c>
      <c r="O26" s="368">
        <f>-'Table 5C2 - LA Virtual Admy'!U24</f>
        <v>-504</v>
      </c>
      <c r="P26" s="368">
        <f>-'Table 5C3 - LA Connections EBR'!U24</f>
        <v>-1512</v>
      </c>
      <c r="Q26" s="368">
        <f>-'Table 5D1 - New Vision'!S27</f>
        <v>0</v>
      </c>
      <c r="R26" s="368">
        <f>-'Table 5D2 - Glencoe'!S27</f>
        <v>0</v>
      </c>
      <c r="S26" s="368">
        <f>-'Table 5D3 - International'!S27</f>
        <v>0</v>
      </c>
      <c r="T26" s="368">
        <f>-'Table 5D4 - Avoyelles'!S27</f>
        <v>0</v>
      </c>
      <c r="U26" s="368">
        <f>-'Table 5D5 - Delhi'!S27</f>
        <v>-16236</v>
      </c>
      <c r="V26" s="368">
        <f>-'Table 5D6 - Milestone'!S27</f>
        <v>0</v>
      </c>
      <c r="W26" s="368">
        <f>-'Table 5D7 - Max'!S27</f>
        <v>0</v>
      </c>
      <c r="X26" s="368">
        <f>-'Table 5D8 - Belle Chasse'!W27</f>
        <v>0</v>
      </c>
      <c r="Y26" s="368">
        <f>-'Table 5E_OJJ'!S27</f>
        <v>-681</v>
      </c>
      <c r="Z26" s="368">
        <f>-'Table 5A2 LSMSA'!L27</f>
        <v>0</v>
      </c>
      <c r="AA26" s="368">
        <f>-'Table 5A3 NOCCA'!L27</f>
        <v>0</v>
      </c>
      <c r="AB26" s="368">
        <f>-'Table 5A4_LSDVI'!L27</f>
        <v>0</v>
      </c>
      <c r="AC26" s="368">
        <f>-'Table 5A5_SSD'!L27</f>
        <v>-169</v>
      </c>
      <c r="AD26" s="368"/>
      <c r="AE26" s="764">
        <f t="shared" si="44"/>
        <v>1531972</v>
      </c>
      <c r="AF26" s="368"/>
      <c r="AG26" s="368"/>
      <c r="AH26" s="368"/>
      <c r="AI26" s="368">
        <f>'Table 5C1A-Madison Prep'!P27</f>
        <v>0</v>
      </c>
      <c r="AJ26" s="368">
        <f>'Table 5C1B-DArbonne'!P27</f>
        <v>0</v>
      </c>
      <c r="AK26" s="368">
        <f>'Table 5C1C-Intl_VIBE'!P27</f>
        <v>0</v>
      </c>
      <c r="AL26" s="368">
        <f>'Table 5C1D-NOMMA'!P27</f>
        <v>0</v>
      </c>
      <c r="AM26" s="368">
        <f>'Table 5C1E-LFNO'!P27</f>
        <v>0</v>
      </c>
      <c r="AN26" s="368">
        <f>'Table 5C1F-Lake Charles Charter'!P27</f>
        <v>0</v>
      </c>
      <c r="AO26" s="368">
        <f>'Table 5C1G-JS Clark Academy'!P27</f>
        <v>0</v>
      </c>
      <c r="AP26" s="368">
        <f>'Table 5C1H-Southwest LA Charter'!P27</f>
        <v>0</v>
      </c>
      <c r="AQ26" s="368">
        <f>'Table 5C2 - LA Virtual Admy'!Q24</f>
        <v>-15</v>
      </c>
      <c r="AR26" s="368">
        <f>'Table 5C3 - LA Connections EBR'!Q24</f>
        <v>-45</v>
      </c>
      <c r="AS26" s="368">
        <f>'Table 5D1 - New Vision'!O27</f>
        <v>0</v>
      </c>
      <c r="AT26" s="368">
        <f>'Table 5D2 - Glencoe'!O27</f>
        <v>0</v>
      </c>
      <c r="AU26" s="368">
        <f>'Table 5D3 - International'!O27</f>
        <v>0</v>
      </c>
      <c r="AV26" s="368">
        <f>'Table 5D4 - Avoyelles'!O27</f>
        <v>0</v>
      </c>
      <c r="AW26" s="368">
        <f>'Table 5D5 - Delhi'!O27</f>
        <v>-488.28750000000002</v>
      </c>
      <c r="AX26" s="368">
        <f>'Table 5D6 - Milestone'!O27</f>
        <v>0</v>
      </c>
      <c r="AY26" s="368">
        <f>'Table 5D7 - Max'!O27</f>
        <v>0</v>
      </c>
      <c r="AZ26" s="368">
        <f>'Table 5D8 - Belle Chasse'!S27</f>
        <v>0</v>
      </c>
      <c r="BA26" s="764">
        <f t="shared" si="45"/>
        <v>1531423.7124999999</v>
      </c>
      <c r="BB26" s="47"/>
      <c r="BH26"/>
      <c r="BQ26"/>
    </row>
    <row r="27" spans="1:69">
      <c r="A27" s="101">
        <v>22</v>
      </c>
      <c r="B27" s="311" t="s">
        <v>123</v>
      </c>
      <c r="C27" s="320">
        <f>'Table 2_State Distrib and Adjs'!AD28</f>
        <v>1824770</v>
      </c>
      <c r="D27" s="368"/>
      <c r="E27" s="368"/>
      <c r="F27" s="368">
        <f>-'Table 5C1A-Madison Prep'!T28</f>
        <v>0</v>
      </c>
      <c r="G27" s="368">
        <f>-'Table 5C1B-DArbonne'!T28</f>
        <v>0</v>
      </c>
      <c r="H27" s="368">
        <f>-'Table 5C1C-Intl_VIBE'!T28</f>
        <v>0</v>
      </c>
      <c r="I27" s="368">
        <f>-'Table 5C1D-NOMMA'!T28</f>
        <v>0</v>
      </c>
      <c r="J27" s="368"/>
      <c r="K27" s="368">
        <f>-'Table 5C1E-LFNO'!T28</f>
        <v>0</v>
      </c>
      <c r="L27" s="368">
        <f>-'Table 5C1F-Lake Charles Charter'!T28</f>
        <v>0</v>
      </c>
      <c r="M27" s="368">
        <f>-'Table 5C1G-JS Clark Academy'!T28</f>
        <v>0</v>
      </c>
      <c r="N27" s="368">
        <f>-'Table 5C1H-Southwest LA Charter'!T28</f>
        <v>0</v>
      </c>
      <c r="O27" s="368">
        <f>-'Table 5C2 - LA Virtual Admy'!U25</f>
        <v>-216</v>
      </c>
      <c r="P27" s="368">
        <f>-'Table 5C3 - LA Connections EBR'!U25</f>
        <v>-865</v>
      </c>
      <c r="Q27" s="368">
        <f>-'Table 5D1 - New Vision'!S28</f>
        <v>0</v>
      </c>
      <c r="R27" s="368">
        <f>-'Table 5D2 - Glencoe'!S28</f>
        <v>0</v>
      </c>
      <c r="S27" s="368">
        <f>-'Table 5D3 - International'!S28</f>
        <v>0</v>
      </c>
      <c r="T27" s="368">
        <f>-'Table 5D4 - Avoyelles'!S28</f>
        <v>0</v>
      </c>
      <c r="U27" s="368">
        <f>-'Table 5D5 - Delhi'!S28</f>
        <v>0</v>
      </c>
      <c r="V27" s="368">
        <f>-'Table 5D6 - Milestone'!S28</f>
        <v>0</v>
      </c>
      <c r="W27" s="368">
        <f>-'Table 5D7 - Max'!S28</f>
        <v>0</v>
      </c>
      <c r="X27" s="368">
        <f>-'Table 5D8 - Belle Chasse'!W28</f>
        <v>0</v>
      </c>
      <c r="Y27" s="368">
        <f>-'Table 5E_OJJ'!S28</f>
        <v>-30</v>
      </c>
      <c r="Z27" s="368">
        <f>-'Table 5A2 LSMSA'!L28</f>
        <v>-170</v>
      </c>
      <c r="AA27" s="368">
        <f>-'Table 5A3 NOCCA'!L28</f>
        <v>0</v>
      </c>
      <c r="AB27" s="368">
        <f>-'Table 5A4_LSDVI'!L28</f>
        <v>0</v>
      </c>
      <c r="AC27" s="368">
        <f>-'Table 5A5_SSD'!L28</f>
        <v>-525</v>
      </c>
      <c r="AD27" s="368"/>
      <c r="AE27" s="764">
        <f t="shared" si="44"/>
        <v>1822964</v>
      </c>
      <c r="AF27" s="368"/>
      <c r="AG27" s="368"/>
      <c r="AH27" s="368"/>
      <c r="AI27" s="368">
        <f>'Table 5C1A-Madison Prep'!P28</f>
        <v>0</v>
      </c>
      <c r="AJ27" s="368">
        <f>'Table 5C1B-DArbonne'!P28</f>
        <v>0</v>
      </c>
      <c r="AK27" s="368">
        <f>'Table 5C1C-Intl_VIBE'!P28</f>
        <v>0</v>
      </c>
      <c r="AL27" s="368">
        <f>'Table 5C1D-NOMMA'!P28</f>
        <v>0</v>
      </c>
      <c r="AM27" s="368">
        <f>'Table 5C1E-LFNO'!P28</f>
        <v>0</v>
      </c>
      <c r="AN27" s="368">
        <f>'Table 5C1F-Lake Charles Charter'!P28</f>
        <v>0</v>
      </c>
      <c r="AO27" s="368">
        <f>'Table 5C1G-JS Clark Academy'!P28</f>
        <v>0</v>
      </c>
      <c r="AP27" s="368">
        <f>'Table 5C1H-Southwest LA Charter'!P28</f>
        <v>0</v>
      </c>
      <c r="AQ27" s="368">
        <f>'Table 5C2 - LA Virtual Admy'!Q25</f>
        <v>-7</v>
      </c>
      <c r="AR27" s="368">
        <f>'Table 5C3 - LA Connections EBR'!Q25</f>
        <v>-26</v>
      </c>
      <c r="AS27" s="368">
        <f>'Table 5D1 - New Vision'!O28</f>
        <v>0</v>
      </c>
      <c r="AT27" s="368">
        <f>'Table 5D2 - Glencoe'!O28</f>
        <v>0</v>
      </c>
      <c r="AU27" s="368">
        <f>'Table 5D3 - International'!O28</f>
        <v>0</v>
      </c>
      <c r="AV27" s="368">
        <f>'Table 5D4 - Avoyelles'!O28</f>
        <v>0</v>
      </c>
      <c r="AW27" s="368">
        <f>'Table 5D5 - Delhi'!O28</f>
        <v>0</v>
      </c>
      <c r="AX27" s="368">
        <f>'Table 5D6 - Milestone'!O28</f>
        <v>0</v>
      </c>
      <c r="AY27" s="368">
        <f>'Table 5D7 - Max'!O28</f>
        <v>0</v>
      </c>
      <c r="AZ27" s="368">
        <f>'Table 5D8 - Belle Chasse'!S28</f>
        <v>0</v>
      </c>
      <c r="BA27" s="764">
        <f t="shared" si="45"/>
        <v>1822931</v>
      </c>
      <c r="BB27" s="47"/>
      <c r="BH27"/>
      <c r="BQ27"/>
    </row>
    <row r="28" spans="1:69">
      <c r="A28" s="101">
        <v>23</v>
      </c>
      <c r="B28" s="311" t="s">
        <v>124</v>
      </c>
      <c r="C28" s="320">
        <f>'Table 2_State Distrib and Adjs'!AD29</f>
        <v>6074248</v>
      </c>
      <c r="D28" s="368"/>
      <c r="E28" s="368"/>
      <c r="F28" s="368">
        <f>-'Table 5C1A-Madison Prep'!T29</f>
        <v>0</v>
      </c>
      <c r="G28" s="368">
        <f>-'Table 5C1B-DArbonne'!T29</f>
        <v>0</v>
      </c>
      <c r="H28" s="368">
        <f>-'Table 5C1C-Intl_VIBE'!T29</f>
        <v>0</v>
      </c>
      <c r="I28" s="368">
        <f>-'Table 5C1D-NOMMA'!T29</f>
        <v>0</v>
      </c>
      <c r="J28" s="368"/>
      <c r="K28" s="368">
        <f>-'Table 5C1E-LFNO'!T29</f>
        <v>0</v>
      </c>
      <c r="L28" s="368">
        <f>-'Table 5C1F-Lake Charles Charter'!T29</f>
        <v>0</v>
      </c>
      <c r="M28" s="368">
        <f>-'Table 5C1G-JS Clark Academy'!T29</f>
        <v>0</v>
      </c>
      <c r="N28" s="368">
        <f>-'Table 5C1H-Southwest LA Charter'!T29</f>
        <v>0</v>
      </c>
      <c r="O28" s="368">
        <f>-'Table 5C2 - LA Virtual Admy'!U26</f>
        <v>-2465</v>
      </c>
      <c r="P28" s="368">
        <f>-'Table 5C3 - LA Connections EBR'!U26</f>
        <v>-2712</v>
      </c>
      <c r="Q28" s="368">
        <f>-'Table 5D1 - New Vision'!S29</f>
        <v>0</v>
      </c>
      <c r="R28" s="368">
        <f>-'Table 5D2 - Glencoe'!S29</f>
        <v>-21364</v>
      </c>
      <c r="S28" s="368">
        <f>-'Table 5D3 - International'!S29</f>
        <v>0</v>
      </c>
      <c r="T28" s="368">
        <f>-'Table 5D4 - Avoyelles'!S29</f>
        <v>0</v>
      </c>
      <c r="U28" s="368">
        <f>-'Table 5D5 - Delhi'!S29</f>
        <v>0</v>
      </c>
      <c r="V28" s="368">
        <f>-'Table 5D6 - Milestone'!S29</f>
        <v>0</v>
      </c>
      <c r="W28" s="368">
        <f>-'Table 5D7 - Max'!S29</f>
        <v>0</v>
      </c>
      <c r="X28" s="368">
        <f>-'Table 5D8 - Belle Chasse'!W29</f>
        <v>0</v>
      </c>
      <c r="Y28" s="368">
        <f>-'Table 5E_OJJ'!S29</f>
        <v>-1579</v>
      </c>
      <c r="Z28" s="368">
        <f>-'Table 5A2 LSMSA'!L29</f>
        <v>-118</v>
      </c>
      <c r="AA28" s="368">
        <f>-'Table 5A3 NOCCA'!L29</f>
        <v>0</v>
      </c>
      <c r="AB28" s="368">
        <f>-'Table 5A4_LSDVI'!L29</f>
        <v>-521</v>
      </c>
      <c r="AC28" s="368">
        <f>-'Table 5A5_SSD'!L29</f>
        <v>-1825</v>
      </c>
      <c r="AD28" s="368"/>
      <c r="AE28" s="764">
        <f t="shared" si="44"/>
        <v>6043664</v>
      </c>
      <c r="AF28" s="368"/>
      <c r="AG28" s="368"/>
      <c r="AH28" s="368"/>
      <c r="AI28" s="368">
        <f>'Table 5C1A-Madison Prep'!P29</f>
        <v>0</v>
      </c>
      <c r="AJ28" s="368">
        <f>'Table 5C1B-DArbonne'!P29</f>
        <v>0</v>
      </c>
      <c r="AK28" s="368">
        <f>'Table 5C1C-Intl_VIBE'!P29</f>
        <v>0</v>
      </c>
      <c r="AL28" s="368">
        <f>'Table 5C1D-NOMMA'!P29</f>
        <v>0</v>
      </c>
      <c r="AM28" s="368">
        <f>'Table 5C1E-LFNO'!P29</f>
        <v>0</v>
      </c>
      <c r="AN28" s="368">
        <f>'Table 5C1F-Lake Charles Charter'!P29</f>
        <v>0</v>
      </c>
      <c r="AO28" s="368">
        <f>'Table 5C1G-JS Clark Academy'!P29</f>
        <v>0</v>
      </c>
      <c r="AP28" s="368">
        <f>'Table 5C1H-Southwest LA Charter'!P29</f>
        <v>0</v>
      </c>
      <c r="AQ28" s="368">
        <f>'Table 5C2 - LA Virtual Admy'!Q26</f>
        <v>-74</v>
      </c>
      <c r="AR28" s="368">
        <f>'Table 5C3 - LA Connections EBR'!Q26</f>
        <v>-82</v>
      </c>
      <c r="AS28" s="368">
        <f>'Table 5D1 - New Vision'!O29</f>
        <v>0</v>
      </c>
      <c r="AT28" s="368">
        <f>'Table 5D2 - Glencoe'!O29</f>
        <v>-642.52499999999998</v>
      </c>
      <c r="AU28" s="368">
        <f>'Table 5D3 - International'!O29</f>
        <v>0</v>
      </c>
      <c r="AV28" s="368">
        <f>'Table 5D4 - Avoyelles'!O29</f>
        <v>0</v>
      </c>
      <c r="AW28" s="368">
        <f>'Table 5D5 - Delhi'!O29</f>
        <v>0</v>
      </c>
      <c r="AX28" s="368">
        <f>'Table 5D6 - Milestone'!O29</f>
        <v>0</v>
      </c>
      <c r="AY28" s="368">
        <f>'Table 5D7 - Max'!O29</f>
        <v>0</v>
      </c>
      <c r="AZ28" s="368">
        <f>'Table 5D8 - Belle Chasse'!S29</f>
        <v>0</v>
      </c>
      <c r="BA28" s="764">
        <f t="shared" si="45"/>
        <v>6042865.4749999996</v>
      </c>
      <c r="BB28" s="47"/>
      <c r="BH28"/>
      <c r="BQ28"/>
    </row>
    <row r="29" spans="1:69">
      <c r="A29" s="101">
        <v>24</v>
      </c>
      <c r="B29" s="311" t="s">
        <v>125</v>
      </c>
      <c r="C29" s="320">
        <f>'Table 2_State Distrib and Adjs'!AD30</f>
        <v>1302019</v>
      </c>
      <c r="D29" s="368"/>
      <c r="E29" s="368"/>
      <c r="F29" s="368">
        <f>-'Table 5C1A-Madison Prep'!T30</f>
        <v>0</v>
      </c>
      <c r="G29" s="368">
        <f>-'Table 5C1B-DArbonne'!T30</f>
        <v>0</v>
      </c>
      <c r="H29" s="368">
        <f>-'Table 5C1C-Intl_VIBE'!T30</f>
        <v>0</v>
      </c>
      <c r="I29" s="368">
        <f>-'Table 5C1D-NOMMA'!T30</f>
        <v>0</v>
      </c>
      <c r="J29" s="368"/>
      <c r="K29" s="368">
        <f>-'Table 5C1E-LFNO'!T30</f>
        <v>0</v>
      </c>
      <c r="L29" s="368">
        <f>-'Table 5C1F-Lake Charles Charter'!T30</f>
        <v>0</v>
      </c>
      <c r="M29" s="368">
        <f>-'Table 5C1G-JS Clark Academy'!T30</f>
        <v>0</v>
      </c>
      <c r="N29" s="368">
        <f>-'Table 5C1H-Southwest LA Charter'!T30</f>
        <v>0</v>
      </c>
      <c r="O29" s="368">
        <f>-'Table 5C2 - LA Virtual Admy'!U27</f>
        <v>-5904</v>
      </c>
      <c r="P29" s="368">
        <f>-'Table 5C3 - LA Connections EBR'!U27</f>
        <v>-656</v>
      </c>
      <c r="Q29" s="368">
        <f>-'Table 5D1 - New Vision'!S30</f>
        <v>0</v>
      </c>
      <c r="R29" s="368">
        <f>-'Table 5D2 - Glencoe'!S30</f>
        <v>0</v>
      </c>
      <c r="S29" s="368">
        <f>-'Table 5D3 - International'!S30</f>
        <v>0</v>
      </c>
      <c r="T29" s="368">
        <f>-'Table 5D4 - Avoyelles'!S30</f>
        <v>0</v>
      </c>
      <c r="U29" s="368">
        <f>-'Table 5D5 - Delhi'!S30</f>
        <v>0</v>
      </c>
      <c r="V29" s="368">
        <f>-'Table 5D6 - Milestone'!S30</f>
        <v>0</v>
      </c>
      <c r="W29" s="368">
        <f>-'Table 5D7 - Max'!S30</f>
        <v>0</v>
      </c>
      <c r="X29" s="368">
        <f>-'Table 5D8 - Belle Chasse'!W30</f>
        <v>0</v>
      </c>
      <c r="Y29" s="368">
        <f>-'Table 5E_OJJ'!S30</f>
        <v>-835</v>
      </c>
      <c r="Z29" s="368">
        <f>-'Table 5A2 LSMSA'!L30</f>
        <v>-260</v>
      </c>
      <c r="AA29" s="368">
        <f>-'Table 5A3 NOCCA'!L30</f>
        <v>0</v>
      </c>
      <c r="AB29" s="368">
        <f>-'Table 5A4_LSDVI'!L30</f>
        <v>-3123</v>
      </c>
      <c r="AC29" s="368">
        <f>-'Table 5A5_SSD'!L30</f>
        <v>-446</v>
      </c>
      <c r="AD29" s="368"/>
      <c r="AE29" s="764">
        <f t="shared" si="44"/>
        <v>1290795</v>
      </c>
      <c r="AF29" s="368"/>
      <c r="AG29" s="368"/>
      <c r="AH29" s="368"/>
      <c r="AI29" s="368">
        <f>'Table 5C1A-Madison Prep'!P30</f>
        <v>0</v>
      </c>
      <c r="AJ29" s="368">
        <f>'Table 5C1B-DArbonne'!P30</f>
        <v>0</v>
      </c>
      <c r="AK29" s="368">
        <f>'Table 5C1C-Intl_VIBE'!P30</f>
        <v>0</v>
      </c>
      <c r="AL29" s="368">
        <f>'Table 5C1D-NOMMA'!P30</f>
        <v>0</v>
      </c>
      <c r="AM29" s="368">
        <f>'Table 5C1E-LFNO'!P30</f>
        <v>0</v>
      </c>
      <c r="AN29" s="368">
        <f>'Table 5C1F-Lake Charles Charter'!P30</f>
        <v>0</v>
      </c>
      <c r="AO29" s="368">
        <f>'Table 5C1G-JS Clark Academy'!P30</f>
        <v>0</v>
      </c>
      <c r="AP29" s="368">
        <f>'Table 5C1H-Southwest LA Charter'!P30</f>
        <v>0</v>
      </c>
      <c r="AQ29" s="368">
        <f>'Table 5C2 - LA Virtual Admy'!Q27</f>
        <v>-178</v>
      </c>
      <c r="AR29" s="368">
        <f>'Table 5C3 - LA Connections EBR'!Q27</f>
        <v>-20</v>
      </c>
      <c r="AS29" s="368">
        <f>'Table 5D1 - New Vision'!O30</f>
        <v>0</v>
      </c>
      <c r="AT29" s="368">
        <f>'Table 5D2 - Glencoe'!O30</f>
        <v>0</v>
      </c>
      <c r="AU29" s="368">
        <f>'Table 5D3 - International'!O30</f>
        <v>0</v>
      </c>
      <c r="AV29" s="368">
        <f>'Table 5D4 - Avoyelles'!O30</f>
        <v>0</v>
      </c>
      <c r="AW29" s="368">
        <f>'Table 5D5 - Delhi'!O30</f>
        <v>0</v>
      </c>
      <c r="AX29" s="368">
        <f>'Table 5D6 - Milestone'!O30</f>
        <v>0</v>
      </c>
      <c r="AY29" s="368">
        <f>'Table 5D7 - Max'!O30</f>
        <v>0</v>
      </c>
      <c r="AZ29" s="368">
        <f>'Table 5D8 - Belle Chasse'!S30</f>
        <v>0</v>
      </c>
      <c r="BA29" s="764">
        <f t="shared" si="45"/>
        <v>1290597</v>
      </c>
      <c r="BB29" s="47"/>
      <c r="BH29"/>
      <c r="BQ29"/>
    </row>
    <row r="30" spans="1:69">
      <c r="A30" s="102">
        <v>25</v>
      </c>
      <c r="B30" s="312" t="s">
        <v>126</v>
      </c>
      <c r="C30" s="329">
        <f>'Table 2_State Distrib and Adjs'!AD31</f>
        <v>834439</v>
      </c>
      <c r="D30" s="369"/>
      <c r="E30" s="369"/>
      <c r="F30" s="369">
        <f>-'Table 5C1A-Madison Prep'!T31</f>
        <v>0</v>
      </c>
      <c r="G30" s="369">
        <f>-'Table 5C1B-DArbonne'!T31</f>
        <v>0</v>
      </c>
      <c r="H30" s="369">
        <f>-'Table 5C1C-Intl_VIBE'!T31</f>
        <v>0</v>
      </c>
      <c r="I30" s="369">
        <f>-'Table 5C1D-NOMMA'!T31</f>
        <v>0</v>
      </c>
      <c r="J30" s="369"/>
      <c r="K30" s="369">
        <f>-'Table 5C1E-LFNO'!T31</f>
        <v>0</v>
      </c>
      <c r="L30" s="369">
        <f>-'Table 5C1F-Lake Charles Charter'!T31</f>
        <v>0</v>
      </c>
      <c r="M30" s="369">
        <f>-'Table 5C1G-JS Clark Academy'!T31</f>
        <v>0</v>
      </c>
      <c r="N30" s="369">
        <f>-'Table 5C1H-Southwest LA Charter'!T31</f>
        <v>0</v>
      </c>
      <c r="O30" s="369">
        <f>-'Table 5C2 - LA Virtual Admy'!U28</f>
        <v>-776</v>
      </c>
      <c r="P30" s="369">
        <f>-'Table 5C3 - LA Connections EBR'!U28</f>
        <v>0</v>
      </c>
      <c r="Q30" s="369">
        <f>-'Table 5D1 - New Vision'!S31</f>
        <v>0</v>
      </c>
      <c r="R30" s="369">
        <f>-'Table 5D2 - Glencoe'!S31</f>
        <v>0</v>
      </c>
      <c r="S30" s="369">
        <f>-'Table 5D3 - International'!S31</f>
        <v>0</v>
      </c>
      <c r="T30" s="369">
        <f>-'Table 5D4 - Avoyelles'!S31</f>
        <v>0</v>
      </c>
      <c r="U30" s="369">
        <f>-'Table 5D5 - Delhi'!S31</f>
        <v>0</v>
      </c>
      <c r="V30" s="369">
        <f>-'Table 5D6 - Milestone'!S31</f>
        <v>0</v>
      </c>
      <c r="W30" s="369">
        <f>-'Table 5D7 - Max'!S31</f>
        <v>0</v>
      </c>
      <c r="X30" s="369">
        <f>-'Table 5D8 - Belle Chasse'!W31</f>
        <v>0</v>
      </c>
      <c r="Y30" s="369">
        <f>-'Table 5E_OJJ'!S31</f>
        <v>-144</v>
      </c>
      <c r="Z30" s="369">
        <f>-'Table 5A2 LSMSA'!L31</f>
        <v>0</v>
      </c>
      <c r="AA30" s="369">
        <f>-'Table 5A3 NOCCA'!L31</f>
        <v>0</v>
      </c>
      <c r="AB30" s="369">
        <f>-'Table 5A4_LSDVI'!L31</f>
        <v>0</v>
      </c>
      <c r="AC30" s="369">
        <f>-'Table 5A5_SSD'!L31</f>
        <v>0</v>
      </c>
      <c r="AD30" s="369"/>
      <c r="AE30" s="765">
        <f t="shared" si="44"/>
        <v>833519</v>
      </c>
      <c r="AF30" s="369"/>
      <c r="AG30" s="369"/>
      <c r="AH30" s="369"/>
      <c r="AI30" s="369">
        <f>'Table 5C1A-Madison Prep'!P31</f>
        <v>0</v>
      </c>
      <c r="AJ30" s="369">
        <f>'Table 5C1B-DArbonne'!P31</f>
        <v>0</v>
      </c>
      <c r="AK30" s="369">
        <f>'Table 5C1C-Intl_VIBE'!P31</f>
        <v>0</v>
      </c>
      <c r="AL30" s="369">
        <f>'Table 5C1D-NOMMA'!P31</f>
        <v>0</v>
      </c>
      <c r="AM30" s="369">
        <f>'Table 5C1E-LFNO'!P31</f>
        <v>0</v>
      </c>
      <c r="AN30" s="369">
        <f>'Table 5C1F-Lake Charles Charter'!P31</f>
        <v>0</v>
      </c>
      <c r="AO30" s="369">
        <f>'Table 5C1G-JS Clark Academy'!P31</f>
        <v>0</v>
      </c>
      <c r="AP30" s="369">
        <f>'Table 5C1H-Southwest LA Charter'!P31</f>
        <v>0</v>
      </c>
      <c r="AQ30" s="369">
        <f>'Table 5C2 - LA Virtual Admy'!Q28</f>
        <v>-23</v>
      </c>
      <c r="AR30" s="369">
        <f>'Table 5C3 - LA Connections EBR'!Q28</f>
        <v>0</v>
      </c>
      <c r="AS30" s="369">
        <f>'Table 5D1 - New Vision'!O31</f>
        <v>0</v>
      </c>
      <c r="AT30" s="369">
        <f>'Table 5D2 - Glencoe'!O31</f>
        <v>0</v>
      </c>
      <c r="AU30" s="369">
        <f>'Table 5D3 - International'!O31</f>
        <v>0</v>
      </c>
      <c r="AV30" s="369">
        <f>'Table 5D4 - Avoyelles'!O31</f>
        <v>0</v>
      </c>
      <c r="AW30" s="369">
        <f>'Table 5D5 - Delhi'!O31</f>
        <v>0</v>
      </c>
      <c r="AX30" s="369">
        <f>'Table 5D6 - Milestone'!O31</f>
        <v>0</v>
      </c>
      <c r="AY30" s="369">
        <f>'Table 5D7 - Max'!O31</f>
        <v>0</v>
      </c>
      <c r="AZ30" s="369">
        <f>'Table 5D8 - Belle Chasse'!S31</f>
        <v>0</v>
      </c>
      <c r="BA30" s="765">
        <f t="shared" si="45"/>
        <v>833496</v>
      </c>
      <c r="BB30" s="47"/>
      <c r="BH30"/>
      <c r="BQ30"/>
    </row>
    <row r="31" spans="1:69">
      <c r="A31" s="101">
        <v>26</v>
      </c>
      <c r="B31" s="311" t="s">
        <v>127</v>
      </c>
      <c r="C31" s="320">
        <f>'Table 2_State Distrib and Adjs'!AD32</f>
        <v>14416219</v>
      </c>
      <c r="D31" s="368"/>
      <c r="E31" s="368"/>
      <c r="F31" s="368">
        <f>-'Table 5C1A-Madison Prep'!T32</f>
        <v>0</v>
      </c>
      <c r="G31" s="368">
        <f>-'Table 5C1B-DArbonne'!T32</f>
        <v>0</v>
      </c>
      <c r="H31" s="368">
        <f>-'Table 5C1C-Intl_VIBE'!T32</f>
        <v>-10692.535</v>
      </c>
      <c r="I31" s="368">
        <f>-'Table 5C1D-NOMMA'!T32</f>
        <v>-18233.360833333332</v>
      </c>
      <c r="J31" s="368"/>
      <c r="K31" s="368">
        <f>-'Table 5C1E-LFNO'!T32</f>
        <v>-5184.0074999999997</v>
      </c>
      <c r="L31" s="368">
        <f>-'Table 5C1F-Lake Charles Charter'!T32</f>
        <v>0</v>
      </c>
      <c r="M31" s="368">
        <f>-'Table 5C1G-JS Clark Academy'!T32</f>
        <v>0</v>
      </c>
      <c r="N31" s="368">
        <f>-'Table 5C1H-Southwest LA Charter'!T32</f>
        <v>0</v>
      </c>
      <c r="O31" s="368">
        <f>-'Table 5C2 - LA Virtual Admy'!U29</f>
        <v>-39658</v>
      </c>
      <c r="P31" s="368">
        <f>-'Table 5C3 - LA Connections EBR'!U29</f>
        <v>-15163</v>
      </c>
      <c r="Q31" s="368">
        <f>-'Table 5D1 - New Vision'!S32</f>
        <v>0</v>
      </c>
      <c r="R31" s="368">
        <f>-'Table 5D2 - Glencoe'!S32</f>
        <v>0</v>
      </c>
      <c r="S31" s="368">
        <f>-'Table 5D3 - International'!S32</f>
        <v>-73702</v>
      </c>
      <c r="T31" s="368">
        <f>-'Table 5D4 - Avoyelles'!S32</f>
        <v>0</v>
      </c>
      <c r="U31" s="368">
        <f>-'Table 5D5 - Delhi'!S32</f>
        <v>0</v>
      </c>
      <c r="V31" s="368">
        <f>-'Table 5D6 - Milestone'!S32</f>
        <v>-28944</v>
      </c>
      <c r="W31" s="368">
        <f>-'Table 5D7 - Max'!S32</f>
        <v>0</v>
      </c>
      <c r="X31" s="368">
        <f>-'Table 5D8 - Belle Chasse'!W32</f>
        <v>-107136</v>
      </c>
      <c r="Y31" s="368">
        <f>-'Table 5E_OJJ'!S32</f>
        <v>-14130</v>
      </c>
      <c r="Z31" s="368">
        <f>-'Table 5A2 LSMSA'!L32</f>
        <v>-2051</v>
      </c>
      <c r="AA31" s="368">
        <f>-'Table 5A3 NOCCA'!L32</f>
        <v>-8888</v>
      </c>
      <c r="AB31" s="368">
        <f>-'Table 5A4_LSDVI'!L32</f>
        <v>-2422</v>
      </c>
      <c r="AC31" s="368">
        <f>-'Table 5A5_SSD'!L32</f>
        <v>-10901</v>
      </c>
      <c r="AD31" s="368"/>
      <c r="AE31" s="764">
        <f t="shared" si="44"/>
        <v>14079114.096666666</v>
      </c>
      <c r="AF31" s="368"/>
      <c r="AG31" s="368"/>
      <c r="AH31" s="368"/>
      <c r="AI31" s="368">
        <f>'Table 5C1A-Madison Prep'!P32</f>
        <v>0</v>
      </c>
      <c r="AJ31" s="368">
        <f>'Table 5C1B-DArbonne'!P32</f>
        <v>0</v>
      </c>
      <c r="AK31" s="368">
        <f>'Table 5C1C-Intl_VIBE'!P32</f>
        <v>-321.58</v>
      </c>
      <c r="AL31" s="368">
        <f>'Table 5C1D-NOMMA'!P32</f>
        <v>-571.66999999999996</v>
      </c>
      <c r="AM31" s="368">
        <f>'Table 5C1E-LFNO'!P32</f>
        <v>-155.91</v>
      </c>
      <c r="AN31" s="368">
        <f>'Table 5C1F-Lake Charles Charter'!P32</f>
        <v>0</v>
      </c>
      <c r="AO31" s="368">
        <f>'Table 5C1G-JS Clark Academy'!P32</f>
        <v>0</v>
      </c>
      <c r="AP31" s="368">
        <f>'Table 5C1H-Southwest LA Charter'!P32</f>
        <v>0</v>
      </c>
      <c r="AQ31" s="368">
        <f>'Table 5C2 - LA Virtual Admy'!Q29</f>
        <v>-1193</v>
      </c>
      <c r="AR31" s="368">
        <f>'Table 5C3 - LA Connections EBR'!Q29</f>
        <v>-456</v>
      </c>
      <c r="AS31" s="368">
        <f>'Table 5D1 - New Vision'!O32</f>
        <v>0</v>
      </c>
      <c r="AT31" s="368">
        <f>'Table 5D2 - Glencoe'!O32</f>
        <v>0</v>
      </c>
      <c r="AU31" s="368">
        <f>'Table 5D3 - International'!O32</f>
        <v>-2216.605</v>
      </c>
      <c r="AV31" s="368">
        <f>'Table 5D4 - Avoyelles'!O32</f>
        <v>0</v>
      </c>
      <c r="AW31" s="368">
        <f>'Table 5D5 - Delhi'!O32</f>
        <v>0</v>
      </c>
      <c r="AX31" s="368">
        <f>'Table 5D6 - Milestone'!O32</f>
        <v>-870.49750000000006</v>
      </c>
      <c r="AY31" s="368">
        <f>'Table 5D7 - Max'!O32</f>
        <v>0</v>
      </c>
      <c r="AZ31" s="368">
        <f>'Table 5D8 - Belle Chasse'!S32</f>
        <v>-3222.14</v>
      </c>
      <c r="BA31" s="764">
        <f t="shared" si="45"/>
        <v>14070106.694166664</v>
      </c>
      <c r="BB31" s="47"/>
      <c r="BH31"/>
      <c r="BQ31"/>
    </row>
    <row r="32" spans="1:69">
      <c r="A32" s="101">
        <v>27</v>
      </c>
      <c r="B32" s="311" t="s">
        <v>128</v>
      </c>
      <c r="C32" s="320">
        <f>'Table 2_State Distrib and Adjs'!AD33</f>
        <v>2960898</v>
      </c>
      <c r="D32" s="368"/>
      <c r="E32" s="368"/>
      <c r="F32" s="368">
        <f>-'Table 5C1A-Madison Prep'!T33</f>
        <v>0</v>
      </c>
      <c r="G32" s="368">
        <f>-'Table 5C1B-DArbonne'!T33</f>
        <v>0</v>
      </c>
      <c r="H32" s="368">
        <f>-'Table 5C1C-Intl_VIBE'!T33</f>
        <v>0</v>
      </c>
      <c r="I32" s="368">
        <f>-'Table 5C1D-NOMMA'!T33</f>
        <v>0</v>
      </c>
      <c r="J32" s="368"/>
      <c r="K32" s="368">
        <f>-'Table 5C1E-LFNO'!T33</f>
        <v>0</v>
      </c>
      <c r="L32" s="368">
        <f>-'Table 5C1F-Lake Charles Charter'!T33</f>
        <v>-1021.7725</v>
      </c>
      <c r="M32" s="368">
        <f>-'Table 5C1G-JS Clark Academy'!T33</f>
        <v>0</v>
      </c>
      <c r="N32" s="368">
        <f>-'Table 5C1H-Southwest LA Charter'!T33</f>
        <v>0</v>
      </c>
      <c r="O32" s="368">
        <f>-'Table 5C2 - LA Virtual Admy'!U30</f>
        <v>-1839</v>
      </c>
      <c r="P32" s="368">
        <f>-'Table 5C3 - LA Connections EBR'!U30</f>
        <v>-690</v>
      </c>
      <c r="Q32" s="368">
        <f>-'Table 5D1 - New Vision'!S33</f>
        <v>0</v>
      </c>
      <c r="R32" s="368">
        <f>-'Table 5D2 - Glencoe'!S33</f>
        <v>0</v>
      </c>
      <c r="S32" s="368">
        <f>-'Table 5D3 - International'!S33</f>
        <v>0</v>
      </c>
      <c r="T32" s="368">
        <f>-'Table 5D4 - Avoyelles'!S33</f>
        <v>0</v>
      </c>
      <c r="U32" s="368">
        <f>-'Table 5D5 - Delhi'!S33</f>
        <v>0</v>
      </c>
      <c r="V32" s="368">
        <f>-'Table 5D6 - Milestone'!S33</f>
        <v>0</v>
      </c>
      <c r="W32" s="368">
        <f>-'Table 5D7 - Max'!S33</f>
        <v>0</v>
      </c>
      <c r="X32" s="368">
        <f>-'Table 5D8 - Belle Chasse'!W33</f>
        <v>0</v>
      </c>
      <c r="Y32" s="368">
        <f>-'Table 5E_OJJ'!S33</f>
        <v>-672</v>
      </c>
      <c r="Z32" s="368">
        <f>-'Table 5A2 LSMSA'!L33</f>
        <v>0</v>
      </c>
      <c r="AA32" s="368">
        <f>-'Table 5A3 NOCCA'!L33</f>
        <v>0</v>
      </c>
      <c r="AB32" s="368">
        <f>-'Table 5A4_LSDVI'!L33</f>
        <v>-255</v>
      </c>
      <c r="AC32" s="368">
        <f>-'Table 5A5_SSD'!L33</f>
        <v>-255</v>
      </c>
      <c r="AD32" s="368"/>
      <c r="AE32" s="764">
        <f t="shared" si="44"/>
        <v>2956165.2275</v>
      </c>
      <c r="AF32" s="368"/>
      <c r="AG32" s="368"/>
      <c r="AH32" s="368"/>
      <c r="AI32" s="368">
        <f>'Table 5C1A-Madison Prep'!P33</f>
        <v>0</v>
      </c>
      <c r="AJ32" s="368">
        <f>'Table 5C1B-DArbonne'!P33</f>
        <v>0</v>
      </c>
      <c r="AK32" s="368">
        <f>'Table 5C1C-Intl_VIBE'!P33</f>
        <v>0</v>
      </c>
      <c r="AL32" s="368">
        <f>'Table 5C1D-NOMMA'!P33</f>
        <v>0</v>
      </c>
      <c r="AM32" s="368">
        <f>'Table 5C1E-LFNO'!P33</f>
        <v>0</v>
      </c>
      <c r="AN32" s="368">
        <f>'Table 5C1F-Lake Charles Charter'!P33</f>
        <v>-30.73</v>
      </c>
      <c r="AO32" s="368">
        <f>'Table 5C1G-JS Clark Academy'!P33</f>
        <v>0</v>
      </c>
      <c r="AP32" s="368">
        <f>'Table 5C1H-Southwest LA Charter'!P33</f>
        <v>0</v>
      </c>
      <c r="AQ32" s="368">
        <f>'Table 5C2 - LA Virtual Admy'!Q30</f>
        <v>-55</v>
      </c>
      <c r="AR32" s="368">
        <f>'Table 5C3 - LA Connections EBR'!Q30</f>
        <v>-21</v>
      </c>
      <c r="AS32" s="368">
        <f>'Table 5D1 - New Vision'!O33</f>
        <v>0</v>
      </c>
      <c r="AT32" s="368">
        <f>'Table 5D2 - Glencoe'!O33</f>
        <v>0</v>
      </c>
      <c r="AU32" s="368">
        <f>'Table 5D3 - International'!O33</f>
        <v>0</v>
      </c>
      <c r="AV32" s="368">
        <f>'Table 5D4 - Avoyelles'!O33</f>
        <v>0</v>
      </c>
      <c r="AW32" s="368">
        <f>'Table 5D5 - Delhi'!O33</f>
        <v>0</v>
      </c>
      <c r="AX32" s="368">
        <f>'Table 5D6 - Milestone'!O33</f>
        <v>0</v>
      </c>
      <c r="AY32" s="368">
        <f>'Table 5D7 - Max'!O33</f>
        <v>0</v>
      </c>
      <c r="AZ32" s="368">
        <f>'Table 5D8 - Belle Chasse'!S33</f>
        <v>0</v>
      </c>
      <c r="BA32" s="764">
        <f t="shared" si="45"/>
        <v>2956058.4975000001</v>
      </c>
      <c r="BB32" s="47"/>
      <c r="BH32"/>
      <c r="BQ32"/>
    </row>
    <row r="33" spans="1:69">
      <c r="A33" s="101">
        <v>28</v>
      </c>
      <c r="B33" s="311" t="s">
        <v>129</v>
      </c>
      <c r="C33" s="320">
        <f>'Table 2_State Distrib and Adjs'!AD34</f>
        <v>9566654</v>
      </c>
      <c r="D33" s="368"/>
      <c r="E33" s="368"/>
      <c r="F33" s="368">
        <f>-'Table 5C1A-Madison Prep'!T34</f>
        <v>0</v>
      </c>
      <c r="G33" s="368">
        <f>-'Table 5C1B-DArbonne'!T34</f>
        <v>0</v>
      </c>
      <c r="H33" s="368">
        <f>-'Table 5C1C-Intl_VIBE'!T34</f>
        <v>0</v>
      </c>
      <c r="I33" s="368">
        <f>-'Table 5C1D-NOMMA'!T34</f>
        <v>0</v>
      </c>
      <c r="J33" s="368"/>
      <c r="K33" s="368">
        <f>-'Table 5C1E-LFNO'!T34</f>
        <v>0</v>
      </c>
      <c r="L33" s="368">
        <f>-'Table 5C1F-Lake Charles Charter'!T34</f>
        <v>0</v>
      </c>
      <c r="M33" s="368">
        <f>-'Table 5C1G-JS Clark Academy'!T34</f>
        <v>0</v>
      </c>
      <c r="N33" s="368">
        <f>-'Table 5C1H-Southwest LA Charter'!T34</f>
        <v>0</v>
      </c>
      <c r="O33" s="368">
        <f>-'Table 5C2 - LA Virtual Admy'!U31</f>
        <v>-19773</v>
      </c>
      <c r="P33" s="368">
        <f>-'Table 5C3 - LA Connections EBR'!U31</f>
        <v>-8745</v>
      </c>
      <c r="Q33" s="368">
        <f>-'Table 5D1 - New Vision'!S34</f>
        <v>0</v>
      </c>
      <c r="R33" s="368">
        <f>-'Table 5D2 - Glencoe'!S34</f>
        <v>-422</v>
      </c>
      <c r="S33" s="368">
        <f>-'Table 5D3 - International'!S34</f>
        <v>0</v>
      </c>
      <c r="T33" s="368">
        <f>-'Table 5D4 - Avoyelles'!S34</f>
        <v>0</v>
      </c>
      <c r="U33" s="368">
        <f>-'Table 5D5 - Delhi'!S34</f>
        <v>0</v>
      </c>
      <c r="V33" s="368">
        <f>-'Table 5D6 - Milestone'!S34</f>
        <v>0</v>
      </c>
      <c r="W33" s="368">
        <f>-'Table 5D7 - Max'!S34</f>
        <v>0</v>
      </c>
      <c r="X33" s="368">
        <f>-'Table 5D8 - Belle Chasse'!W34</f>
        <v>0</v>
      </c>
      <c r="Y33" s="368">
        <f>-'Table 5E_OJJ'!S34</f>
        <v>-2617</v>
      </c>
      <c r="Z33" s="368">
        <f>-'Table 5A2 LSMSA'!L34</f>
        <v>-1602</v>
      </c>
      <c r="AA33" s="368">
        <f>-'Table 5A3 NOCCA'!L34</f>
        <v>0</v>
      </c>
      <c r="AB33" s="368">
        <f>-'Table 5A4_LSDVI'!L34</f>
        <v>-347</v>
      </c>
      <c r="AC33" s="368">
        <f>-'Table 5A5_SSD'!L34</f>
        <v>-2431</v>
      </c>
      <c r="AD33" s="368"/>
      <c r="AE33" s="764">
        <f t="shared" si="44"/>
        <v>9530717</v>
      </c>
      <c r="AF33" s="368"/>
      <c r="AG33" s="368"/>
      <c r="AH33" s="368"/>
      <c r="AI33" s="368">
        <f>'Table 5C1A-Madison Prep'!P34</f>
        <v>0</v>
      </c>
      <c r="AJ33" s="368">
        <f>'Table 5C1B-DArbonne'!P34</f>
        <v>0</v>
      </c>
      <c r="AK33" s="368">
        <f>'Table 5C1C-Intl_VIBE'!P34</f>
        <v>0</v>
      </c>
      <c r="AL33" s="368">
        <f>'Table 5C1D-NOMMA'!P34</f>
        <v>0</v>
      </c>
      <c r="AM33" s="368">
        <f>'Table 5C1E-LFNO'!P34</f>
        <v>0</v>
      </c>
      <c r="AN33" s="368">
        <f>'Table 5C1F-Lake Charles Charter'!P34</f>
        <v>0</v>
      </c>
      <c r="AO33" s="368">
        <f>'Table 5C1G-JS Clark Academy'!P34</f>
        <v>0</v>
      </c>
      <c r="AP33" s="368">
        <f>'Table 5C1H-Southwest LA Charter'!P34</f>
        <v>0</v>
      </c>
      <c r="AQ33" s="368">
        <f>'Table 5C2 - LA Virtual Admy'!Q31</f>
        <v>-606</v>
      </c>
      <c r="AR33" s="368">
        <f>'Table 5C3 - LA Connections EBR'!Q31</f>
        <v>-263</v>
      </c>
      <c r="AS33" s="368">
        <f>'Table 5D1 - New Vision'!O34</f>
        <v>0</v>
      </c>
      <c r="AT33" s="368">
        <f>'Table 5D2 - Glencoe'!O34</f>
        <v>-12.705</v>
      </c>
      <c r="AU33" s="368">
        <f>'Table 5D3 - International'!O34</f>
        <v>0</v>
      </c>
      <c r="AV33" s="368">
        <f>'Table 5D4 - Avoyelles'!O34</f>
        <v>0</v>
      </c>
      <c r="AW33" s="368">
        <f>'Table 5D5 - Delhi'!O34</f>
        <v>0</v>
      </c>
      <c r="AX33" s="368">
        <f>'Table 5D6 - Milestone'!O34</f>
        <v>0</v>
      </c>
      <c r="AY33" s="368">
        <f>'Table 5D7 - Max'!O34</f>
        <v>0</v>
      </c>
      <c r="AZ33" s="368">
        <f>'Table 5D8 - Belle Chasse'!S34</f>
        <v>0</v>
      </c>
      <c r="BA33" s="764">
        <f t="shared" si="45"/>
        <v>9529835.2949999999</v>
      </c>
      <c r="BB33" s="47"/>
      <c r="BH33"/>
      <c r="BQ33"/>
    </row>
    <row r="34" spans="1:69">
      <c r="A34" s="101">
        <v>29</v>
      </c>
      <c r="B34" s="311" t="s">
        <v>130</v>
      </c>
      <c r="C34" s="320">
        <f>'Table 2_State Distrib and Adjs'!AD35</f>
        <v>5289409</v>
      </c>
      <c r="D34" s="368"/>
      <c r="E34" s="368"/>
      <c r="F34" s="368">
        <f>-'Table 5C1A-Madison Prep'!T35</f>
        <v>0</v>
      </c>
      <c r="G34" s="368">
        <f>-'Table 5C1B-DArbonne'!T35</f>
        <v>0</v>
      </c>
      <c r="H34" s="368">
        <f>-'Table 5C1C-Intl_VIBE'!T35</f>
        <v>0</v>
      </c>
      <c r="I34" s="368">
        <f>-'Table 5C1D-NOMMA'!T35</f>
        <v>0</v>
      </c>
      <c r="J34" s="368"/>
      <c r="K34" s="368">
        <f>-'Table 5C1E-LFNO'!T35</f>
        <v>0</v>
      </c>
      <c r="L34" s="368">
        <f>-'Table 5C1F-Lake Charles Charter'!T35</f>
        <v>0</v>
      </c>
      <c r="M34" s="368">
        <f>-'Table 5C1G-JS Clark Academy'!T35</f>
        <v>0</v>
      </c>
      <c r="N34" s="368">
        <f>-'Table 5C1H-Southwest LA Charter'!T35</f>
        <v>0</v>
      </c>
      <c r="O34" s="368">
        <f>-'Table 5C2 - LA Virtual Admy'!U32</f>
        <v>-5784</v>
      </c>
      <c r="P34" s="368">
        <f>-'Table 5C3 - LA Connections EBR'!U32</f>
        <v>-1607</v>
      </c>
      <c r="Q34" s="368">
        <f>-'Table 5D1 - New Vision'!S35</f>
        <v>0</v>
      </c>
      <c r="R34" s="368">
        <f>-'Table 5D2 - Glencoe'!S35</f>
        <v>0</v>
      </c>
      <c r="S34" s="368">
        <f>-'Table 5D3 - International'!S35</f>
        <v>0</v>
      </c>
      <c r="T34" s="368">
        <f>-'Table 5D4 - Avoyelles'!S35</f>
        <v>0</v>
      </c>
      <c r="U34" s="368">
        <f>-'Table 5D5 - Delhi'!S35</f>
        <v>0</v>
      </c>
      <c r="V34" s="368">
        <f>-'Table 5D6 - Milestone'!S35</f>
        <v>0</v>
      </c>
      <c r="W34" s="368">
        <f>-'Table 5D7 - Max'!S35</f>
        <v>-18565</v>
      </c>
      <c r="X34" s="368">
        <f>-'Table 5D8 - Belle Chasse'!W35</f>
        <v>0</v>
      </c>
      <c r="Y34" s="368">
        <f>-'Table 5E_OJJ'!S35</f>
        <v>-5632</v>
      </c>
      <c r="Z34" s="368">
        <f>-'Table 5A2 LSMSA'!L35</f>
        <v>-470</v>
      </c>
      <c r="AA34" s="368">
        <f>-'Table 5A3 NOCCA'!L35</f>
        <v>0</v>
      </c>
      <c r="AB34" s="368">
        <f>-'Table 5A4_LSDVI'!L35</f>
        <v>0</v>
      </c>
      <c r="AC34" s="368">
        <f>-'Table 5A5_SSD'!L35</f>
        <v>-899</v>
      </c>
      <c r="AD34" s="368"/>
      <c r="AE34" s="764">
        <f t="shared" si="44"/>
        <v>5256452</v>
      </c>
      <c r="AF34" s="368"/>
      <c r="AG34" s="368"/>
      <c r="AH34" s="368"/>
      <c r="AI34" s="368">
        <f>'Table 5C1A-Madison Prep'!P35</f>
        <v>0</v>
      </c>
      <c r="AJ34" s="368">
        <f>'Table 5C1B-DArbonne'!P35</f>
        <v>0</v>
      </c>
      <c r="AK34" s="368">
        <f>'Table 5C1C-Intl_VIBE'!P35</f>
        <v>0</v>
      </c>
      <c r="AL34" s="368">
        <f>'Table 5C1D-NOMMA'!P35</f>
        <v>0</v>
      </c>
      <c r="AM34" s="368">
        <f>'Table 5C1E-LFNO'!P35</f>
        <v>0</v>
      </c>
      <c r="AN34" s="368">
        <f>'Table 5C1F-Lake Charles Charter'!P35</f>
        <v>0</v>
      </c>
      <c r="AO34" s="368">
        <f>'Table 5C1G-JS Clark Academy'!P35</f>
        <v>0</v>
      </c>
      <c r="AP34" s="368">
        <f>'Table 5C1H-Southwest LA Charter'!P35</f>
        <v>0</v>
      </c>
      <c r="AQ34" s="368">
        <f>'Table 5C2 - LA Virtual Admy'!Q32</f>
        <v>-174</v>
      </c>
      <c r="AR34" s="368">
        <f>'Table 5C3 - LA Connections EBR'!Q32</f>
        <v>-48</v>
      </c>
      <c r="AS34" s="368">
        <f>'Table 5D1 - New Vision'!O35</f>
        <v>0</v>
      </c>
      <c r="AT34" s="368">
        <f>'Table 5D2 - Glencoe'!O35</f>
        <v>0</v>
      </c>
      <c r="AU34" s="368">
        <f>'Table 5D3 - International'!O35</f>
        <v>0</v>
      </c>
      <c r="AV34" s="368">
        <f>'Table 5D4 - Avoyelles'!O35</f>
        <v>0</v>
      </c>
      <c r="AW34" s="368">
        <f>'Table 5D5 - Delhi'!O35</f>
        <v>0</v>
      </c>
      <c r="AX34" s="368">
        <f>'Table 5D6 - Milestone'!O35</f>
        <v>0</v>
      </c>
      <c r="AY34" s="368">
        <f>'Table 5D7 - Max'!O35</f>
        <v>-558.35</v>
      </c>
      <c r="AZ34" s="368">
        <f>'Table 5D8 - Belle Chasse'!S35</f>
        <v>0</v>
      </c>
      <c r="BA34" s="764">
        <f t="shared" si="45"/>
        <v>5255671.6500000004</v>
      </c>
      <c r="BB34" s="47"/>
      <c r="BH34"/>
      <c r="BQ34"/>
    </row>
    <row r="35" spans="1:69">
      <c r="A35" s="102">
        <v>30</v>
      </c>
      <c r="B35" s="312" t="s">
        <v>131</v>
      </c>
      <c r="C35" s="329">
        <f>'Table 2_State Distrib and Adjs'!AD36</f>
        <v>1281258</v>
      </c>
      <c r="D35" s="369"/>
      <c r="E35" s="369"/>
      <c r="F35" s="369">
        <f>-'Table 5C1A-Madison Prep'!T36</f>
        <v>0</v>
      </c>
      <c r="G35" s="369">
        <f>-'Table 5C1B-DArbonne'!T36</f>
        <v>0</v>
      </c>
      <c r="H35" s="369">
        <f>-'Table 5C1C-Intl_VIBE'!T36</f>
        <v>0</v>
      </c>
      <c r="I35" s="369">
        <f>-'Table 5C1D-NOMMA'!T36</f>
        <v>0</v>
      </c>
      <c r="J35" s="369"/>
      <c r="K35" s="369">
        <f>-'Table 5C1E-LFNO'!T36</f>
        <v>0</v>
      </c>
      <c r="L35" s="369">
        <f>-'Table 5C1F-Lake Charles Charter'!T36</f>
        <v>0</v>
      </c>
      <c r="M35" s="369">
        <f>-'Table 5C1G-JS Clark Academy'!T36</f>
        <v>0</v>
      </c>
      <c r="N35" s="369">
        <f>-'Table 5C1H-Southwest LA Charter'!T36</f>
        <v>0</v>
      </c>
      <c r="O35" s="369">
        <f>-'Table 5C2 - LA Virtual Admy'!U33</f>
        <v>-266</v>
      </c>
      <c r="P35" s="369">
        <f>-'Table 5C3 - LA Connections EBR'!U33</f>
        <v>-797</v>
      </c>
      <c r="Q35" s="369">
        <f>-'Table 5D1 - New Vision'!S36</f>
        <v>0</v>
      </c>
      <c r="R35" s="369">
        <f>-'Table 5D2 - Glencoe'!S36</f>
        <v>0</v>
      </c>
      <c r="S35" s="369">
        <f>-'Table 5D3 - International'!S36</f>
        <v>0</v>
      </c>
      <c r="T35" s="369">
        <f>-'Table 5D4 - Avoyelles'!S36</f>
        <v>0</v>
      </c>
      <c r="U35" s="369">
        <f>-'Table 5D5 - Delhi'!S36</f>
        <v>0</v>
      </c>
      <c r="V35" s="369">
        <f>-'Table 5D6 - Milestone'!S36</f>
        <v>0</v>
      </c>
      <c r="W35" s="369">
        <f>-'Table 5D7 - Max'!S36</f>
        <v>0</v>
      </c>
      <c r="X35" s="369">
        <f>-'Table 5D8 - Belle Chasse'!W36</f>
        <v>0</v>
      </c>
      <c r="Y35" s="369">
        <f>-'Table 5E_OJJ'!S36</f>
        <v>0</v>
      </c>
      <c r="Z35" s="369">
        <f>-'Table 5A2 LSMSA'!L36</f>
        <v>-89</v>
      </c>
      <c r="AA35" s="369">
        <f>-'Table 5A3 NOCCA'!L36</f>
        <v>0</v>
      </c>
      <c r="AB35" s="369">
        <f>-'Table 5A4_LSDVI'!L36</f>
        <v>0</v>
      </c>
      <c r="AC35" s="369">
        <f>-'Table 5A5_SSD'!L36</f>
        <v>-250</v>
      </c>
      <c r="AD35" s="369"/>
      <c r="AE35" s="765">
        <f t="shared" si="44"/>
        <v>1279856</v>
      </c>
      <c r="AF35" s="369"/>
      <c r="AG35" s="369"/>
      <c r="AH35" s="369"/>
      <c r="AI35" s="369">
        <f>'Table 5C1A-Madison Prep'!P36</f>
        <v>0</v>
      </c>
      <c r="AJ35" s="369">
        <f>'Table 5C1B-DArbonne'!P36</f>
        <v>0</v>
      </c>
      <c r="AK35" s="369">
        <f>'Table 5C1C-Intl_VIBE'!P36</f>
        <v>0</v>
      </c>
      <c r="AL35" s="369">
        <f>'Table 5C1D-NOMMA'!P36</f>
        <v>0</v>
      </c>
      <c r="AM35" s="369">
        <f>'Table 5C1E-LFNO'!P36</f>
        <v>0</v>
      </c>
      <c r="AN35" s="369">
        <f>'Table 5C1F-Lake Charles Charter'!P36</f>
        <v>0</v>
      </c>
      <c r="AO35" s="369">
        <f>'Table 5C1G-JS Clark Academy'!P36</f>
        <v>0</v>
      </c>
      <c r="AP35" s="369">
        <f>'Table 5C1H-Southwest LA Charter'!P36</f>
        <v>0</v>
      </c>
      <c r="AQ35" s="369">
        <f>'Table 5C2 - LA Virtual Admy'!Q33</f>
        <v>-8</v>
      </c>
      <c r="AR35" s="369">
        <f>'Table 5C3 - LA Connections EBR'!Q33</f>
        <v>-24</v>
      </c>
      <c r="AS35" s="369">
        <f>'Table 5D1 - New Vision'!O36</f>
        <v>0</v>
      </c>
      <c r="AT35" s="369">
        <f>'Table 5D2 - Glencoe'!O36</f>
        <v>0</v>
      </c>
      <c r="AU35" s="369">
        <f>'Table 5D3 - International'!O36</f>
        <v>0</v>
      </c>
      <c r="AV35" s="369">
        <f>'Table 5D4 - Avoyelles'!O36</f>
        <v>0</v>
      </c>
      <c r="AW35" s="369">
        <f>'Table 5D5 - Delhi'!O36</f>
        <v>0</v>
      </c>
      <c r="AX35" s="369">
        <f>'Table 5D6 - Milestone'!O36</f>
        <v>0</v>
      </c>
      <c r="AY35" s="369">
        <f>'Table 5D7 - Max'!O36</f>
        <v>0</v>
      </c>
      <c r="AZ35" s="369">
        <f>'Table 5D8 - Belle Chasse'!S36</f>
        <v>0</v>
      </c>
      <c r="BA35" s="765">
        <f t="shared" si="45"/>
        <v>1279824</v>
      </c>
      <c r="BB35" s="47"/>
      <c r="BH35"/>
      <c r="BQ35"/>
    </row>
    <row r="36" spans="1:69">
      <c r="A36" s="101">
        <v>31</v>
      </c>
      <c r="B36" s="311" t="s">
        <v>132</v>
      </c>
      <c r="C36" s="320">
        <f>'Table 2_State Distrib and Adjs'!AD37</f>
        <v>2567813</v>
      </c>
      <c r="D36" s="368"/>
      <c r="E36" s="368"/>
      <c r="F36" s="368">
        <f>-'Table 5C1A-Madison Prep'!T37</f>
        <v>0</v>
      </c>
      <c r="G36" s="368">
        <f>-'Table 5C1B-DArbonne'!T37</f>
        <v>-784.53375000000005</v>
      </c>
      <c r="H36" s="368">
        <f>-'Table 5C1C-Intl_VIBE'!T37</f>
        <v>0</v>
      </c>
      <c r="I36" s="368">
        <f>-'Table 5C1D-NOMMA'!T37</f>
        <v>0</v>
      </c>
      <c r="J36" s="368"/>
      <c r="K36" s="368">
        <f>-'Table 5C1E-LFNO'!T37</f>
        <v>0</v>
      </c>
      <c r="L36" s="368">
        <f>-'Table 5C1F-Lake Charles Charter'!T37</f>
        <v>0</v>
      </c>
      <c r="M36" s="368">
        <f>-'Table 5C1G-JS Clark Academy'!T37</f>
        <v>0</v>
      </c>
      <c r="N36" s="368">
        <f>-'Table 5C1H-Southwest LA Charter'!T37</f>
        <v>0</v>
      </c>
      <c r="O36" s="368">
        <f>-'Table 5C2 - LA Virtual Admy'!U34</f>
        <v>-706</v>
      </c>
      <c r="P36" s="368">
        <f>-'Table 5C3 - LA Connections EBR'!U34</f>
        <v>-353</v>
      </c>
      <c r="Q36" s="368">
        <f>-'Table 5D1 - New Vision'!S37</f>
        <v>0</v>
      </c>
      <c r="R36" s="368">
        <f>-'Table 5D2 - Glencoe'!S37</f>
        <v>0</v>
      </c>
      <c r="S36" s="368">
        <f>-'Table 5D3 - International'!S37</f>
        <v>0</v>
      </c>
      <c r="T36" s="368">
        <f>-'Table 5D4 - Avoyelles'!S37</f>
        <v>0</v>
      </c>
      <c r="U36" s="368">
        <f>-'Table 5D5 - Delhi'!S37</f>
        <v>0</v>
      </c>
      <c r="V36" s="368">
        <f>-'Table 5D6 - Milestone'!S37</f>
        <v>0</v>
      </c>
      <c r="W36" s="368">
        <f>-'Table 5D7 - Max'!S37</f>
        <v>0</v>
      </c>
      <c r="X36" s="368">
        <f>-'Table 5D8 - Belle Chasse'!W37</f>
        <v>0</v>
      </c>
      <c r="Y36" s="368">
        <f>-'Table 5E_OJJ'!S37</f>
        <v>-440</v>
      </c>
      <c r="Z36" s="368">
        <f>-'Table 5A2 LSMSA'!L37</f>
        <v>0</v>
      </c>
      <c r="AA36" s="368">
        <f>-'Table 5A3 NOCCA'!L37</f>
        <v>0</v>
      </c>
      <c r="AB36" s="368">
        <f>-'Table 5A4_LSDVI'!L37</f>
        <v>-938</v>
      </c>
      <c r="AC36" s="368">
        <f>-'Table 5A5_SSD'!L37</f>
        <v>-1564</v>
      </c>
      <c r="AD36" s="368"/>
      <c r="AE36" s="764">
        <f t="shared" si="44"/>
        <v>2563027.4662500001</v>
      </c>
      <c r="AF36" s="368"/>
      <c r="AG36" s="368"/>
      <c r="AH36" s="368"/>
      <c r="AI36" s="368">
        <f>'Table 5C1A-Madison Prep'!P37</f>
        <v>0</v>
      </c>
      <c r="AJ36" s="368">
        <f>'Table 5C1B-DArbonne'!P37</f>
        <v>-23.594999999999999</v>
      </c>
      <c r="AK36" s="368">
        <f>'Table 5C1C-Intl_VIBE'!P37</f>
        <v>0</v>
      </c>
      <c r="AL36" s="368">
        <f>'Table 5C1D-NOMMA'!P37</f>
        <v>0</v>
      </c>
      <c r="AM36" s="368">
        <f>'Table 5C1E-LFNO'!P37</f>
        <v>0</v>
      </c>
      <c r="AN36" s="368">
        <f>'Table 5C1F-Lake Charles Charter'!P37</f>
        <v>0</v>
      </c>
      <c r="AO36" s="368">
        <f>'Table 5C1G-JS Clark Academy'!P37</f>
        <v>0</v>
      </c>
      <c r="AP36" s="368">
        <f>'Table 5C1H-Southwest LA Charter'!P37</f>
        <v>0</v>
      </c>
      <c r="AQ36" s="368">
        <f>'Table 5C2 - LA Virtual Admy'!Q34</f>
        <v>-21</v>
      </c>
      <c r="AR36" s="368">
        <f>'Table 5C3 - LA Connections EBR'!Q34</f>
        <v>-11</v>
      </c>
      <c r="AS36" s="368">
        <f>'Table 5D1 - New Vision'!O37</f>
        <v>0</v>
      </c>
      <c r="AT36" s="368">
        <f>'Table 5D2 - Glencoe'!O37</f>
        <v>0</v>
      </c>
      <c r="AU36" s="368">
        <f>'Table 5D3 - International'!O37</f>
        <v>0</v>
      </c>
      <c r="AV36" s="368">
        <f>'Table 5D4 - Avoyelles'!O37</f>
        <v>0</v>
      </c>
      <c r="AW36" s="368">
        <f>'Table 5D5 - Delhi'!O37</f>
        <v>0</v>
      </c>
      <c r="AX36" s="368">
        <f>'Table 5D6 - Milestone'!O37</f>
        <v>0</v>
      </c>
      <c r="AY36" s="368">
        <f>'Table 5D7 - Max'!O37</f>
        <v>0</v>
      </c>
      <c r="AZ36" s="368">
        <f>'Table 5D8 - Belle Chasse'!S37</f>
        <v>0</v>
      </c>
      <c r="BA36" s="764">
        <f t="shared" si="45"/>
        <v>2562971.8712499999</v>
      </c>
      <c r="BB36" s="47"/>
      <c r="BH36"/>
      <c r="BQ36"/>
    </row>
    <row r="37" spans="1:69">
      <c r="A37" s="101">
        <v>32</v>
      </c>
      <c r="B37" s="311" t="s">
        <v>133</v>
      </c>
      <c r="C37" s="320">
        <f>'Table 2_State Distrib and Adjs'!AD38</f>
        <v>12240310</v>
      </c>
      <c r="D37" s="368"/>
      <c r="E37" s="368"/>
      <c r="F37" s="368">
        <f>-'Table 5C1A-Madison Prep'!T38</f>
        <v>-164.50437500000001</v>
      </c>
      <c r="G37" s="368">
        <f>-'Table 5C1B-DArbonne'!T38</f>
        <v>0</v>
      </c>
      <c r="H37" s="368">
        <f>-'Table 5C1C-Intl_VIBE'!T38</f>
        <v>0</v>
      </c>
      <c r="I37" s="368">
        <f>-'Table 5C1D-NOMMA'!T38</f>
        <v>0</v>
      </c>
      <c r="J37" s="368"/>
      <c r="K37" s="368">
        <f>-'Table 5C1E-LFNO'!T38</f>
        <v>0</v>
      </c>
      <c r="L37" s="368">
        <f>-'Table 5C1F-Lake Charles Charter'!T38</f>
        <v>0</v>
      </c>
      <c r="M37" s="368">
        <f>-'Table 5C1G-JS Clark Academy'!T38</f>
        <v>0</v>
      </c>
      <c r="N37" s="368">
        <f>-'Table 5C1H-Southwest LA Charter'!T38</f>
        <v>0</v>
      </c>
      <c r="O37" s="368">
        <f>-'Table 5C2 - LA Virtual Admy'!U35</f>
        <v>-5041</v>
      </c>
      <c r="P37" s="368">
        <f>-'Table 5C3 - LA Connections EBR'!U35</f>
        <v>-5330</v>
      </c>
      <c r="Q37" s="368">
        <f>-'Table 5D1 - New Vision'!S38</f>
        <v>0</v>
      </c>
      <c r="R37" s="368">
        <f>-'Table 5D2 - Glencoe'!S38</f>
        <v>0</v>
      </c>
      <c r="S37" s="368">
        <f>-'Table 5D3 - International'!S38</f>
        <v>0</v>
      </c>
      <c r="T37" s="368">
        <f>-'Table 5D4 - Avoyelles'!S38</f>
        <v>0</v>
      </c>
      <c r="U37" s="368">
        <f>-'Table 5D5 - Delhi'!S38</f>
        <v>0</v>
      </c>
      <c r="V37" s="368">
        <f>-'Table 5D6 - Milestone'!S38</f>
        <v>0</v>
      </c>
      <c r="W37" s="368">
        <f>-'Table 5D7 - Max'!S38</f>
        <v>0</v>
      </c>
      <c r="X37" s="368">
        <f>-'Table 5D8 - Belle Chasse'!W38</f>
        <v>0</v>
      </c>
      <c r="Y37" s="368">
        <f>-'Table 5E_OJJ'!S38</f>
        <v>-522</v>
      </c>
      <c r="Z37" s="368">
        <f>-'Table 5A2 LSMSA'!L38</f>
        <v>-799</v>
      </c>
      <c r="AA37" s="368">
        <f>-'Table 5A3 NOCCA'!L38</f>
        <v>0</v>
      </c>
      <c r="AB37" s="368">
        <f>-'Table 5A4_LSDVI'!L38</f>
        <v>-2567</v>
      </c>
      <c r="AC37" s="368">
        <f>-'Table 5A5_SSD'!L38</f>
        <v>-2086</v>
      </c>
      <c r="AD37" s="368"/>
      <c r="AE37" s="764">
        <f t="shared" si="44"/>
        <v>12223800.495625</v>
      </c>
      <c r="AF37" s="368"/>
      <c r="AG37" s="368"/>
      <c r="AH37" s="368"/>
      <c r="AI37" s="368">
        <f>'Table 5C1A-Madison Prep'!P38</f>
        <v>-4.9474999999999998</v>
      </c>
      <c r="AJ37" s="368">
        <f>'Table 5C1B-DArbonne'!P38</f>
        <v>0</v>
      </c>
      <c r="AK37" s="368">
        <f>'Table 5C1C-Intl_VIBE'!P38</f>
        <v>0</v>
      </c>
      <c r="AL37" s="368">
        <f>'Table 5C1D-NOMMA'!P38</f>
        <v>0</v>
      </c>
      <c r="AM37" s="368">
        <f>'Table 5C1E-LFNO'!P38</f>
        <v>0</v>
      </c>
      <c r="AN37" s="368">
        <f>'Table 5C1F-Lake Charles Charter'!P38</f>
        <v>0</v>
      </c>
      <c r="AO37" s="368">
        <f>'Table 5C1G-JS Clark Academy'!P38</f>
        <v>0</v>
      </c>
      <c r="AP37" s="368">
        <f>'Table 5C1H-Southwest LA Charter'!P38</f>
        <v>0</v>
      </c>
      <c r="AQ37" s="368">
        <f>'Table 5C2 - LA Virtual Admy'!Q35</f>
        <v>-156</v>
      </c>
      <c r="AR37" s="368">
        <f>'Table 5C3 - LA Connections EBR'!Q35</f>
        <v>-160</v>
      </c>
      <c r="AS37" s="368">
        <f>'Table 5D1 - New Vision'!O38</f>
        <v>0</v>
      </c>
      <c r="AT37" s="368">
        <f>'Table 5D2 - Glencoe'!O38</f>
        <v>0</v>
      </c>
      <c r="AU37" s="368">
        <f>'Table 5D3 - International'!O38</f>
        <v>0</v>
      </c>
      <c r="AV37" s="368">
        <f>'Table 5D4 - Avoyelles'!O38</f>
        <v>0</v>
      </c>
      <c r="AW37" s="368">
        <f>'Table 5D5 - Delhi'!O38</f>
        <v>0</v>
      </c>
      <c r="AX37" s="368">
        <f>'Table 5D6 - Milestone'!O38</f>
        <v>0</v>
      </c>
      <c r="AY37" s="368">
        <f>'Table 5D7 - Max'!O38</f>
        <v>0</v>
      </c>
      <c r="AZ37" s="368">
        <f>'Table 5D8 - Belle Chasse'!S38</f>
        <v>0</v>
      </c>
      <c r="BA37" s="764">
        <f t="shared" si="45"/>
        <v>12223479.548125001</v>
      </c>
      <c r="BB37" s="47"/>
      <c r="BH37"/>
      <c r="BQ37"/>
    </row>
    <row r="38" spans="1:69">
      <c r="A38" s="101">
        <v>33</v>
      </c>
      <c r="B38" s="311" t="s">
        <v>134</v>
      </c>
      <c r="C38" s="320">
        <f>'Table 2_State Distrib and Adjs'!AD39</f>
        <v>939763</v>
      </c>
      <c r="D38" s="368"/>
      <c r="E38" s="368"/>
      <c r="F38" s="368">
        <f>-'Table 5C1A-Madison Prep'!T39</f>
        <v>0</v>
      </c>
      <c r="G38" s="368">
        <f>-'Table 5C1B-DArbonne'!T39</f>
        <v>0</v>
      </c>
      <c r="H38" s="368">
        <f>-'Table 5C1C-Intl_VIBE'!T39</f>
        <v>0</v>
      </c>
      <c r="I38" s="368">
        <f>-'Table 5C1D-NOMMA'!T39</f>
        <v>0</v>
      </c>
      <c r="J38" s="368"/>
      <c r="K38" s="368">
        <f>-'Table 5C1E-LFNO'!T39</f>
        <v>0</v>
      </c>
      <c r="L38" s="368">
        <f>-'Table 5C1F-Lake Charles Charter'!T39</f>
        <v>0</v>
      </c>
      <c r="M38" s="368">
        <f>-'Table 5C1G-JS Clark Academy'!T39</f>
        <v>0</v>
      </c>
      <c r="N38" s="368">
        <f>-'Table 5C1H-Southwest LA Charter'!T39</f>
        <v>0</v>
      </c>
      <c r="O38" s="368">
        <f>-'Table 5C2 - LA Virtual Admy'!U36</f>
        <v>-457</v>
      </c>
      <c r="P38" s="368">
        <f>-'Table 5C3 - LA Connections EBR'!U36</f>
        <v>-457</v>
      </c>
      <c r="Q38" s="368">
        <f>-'Table 5D1 - New Vision'!S39</f>
        <v>0</v>
      </c>
      <c r="R38" s="368">
        <f>-'Table 5D2 - Glencoe'!S39</f>
        <v>0</v>
      </c>
      <c r="S38" s="368">
        <f>-'Table 5D3 - International'!S39</f>
        <v>0</v>
      </c>
      <c r="T38" s="368">
        <f>-'Table 5D4 - Avoyelles'!S39</f>
        <v>0</v>
      </c>
      <c r="U38" s="368">
        <f>-'Table 5D5 - Delhi'!S39</f>
        <v>-32505</v>
      </c>
      <c r="V38" s="368">
        <f>-'Table 5D6 - Milestone'!S39</f>
        <v>0</v>
      </c>
      <c r="W38" s="368">
        <f>-'Table 5D7 - Max'!S39</f>
        <v>0</v>
      </c>
      <c r="X38" s="368">
        <f>-'Table 5D8 - Belle Chasse'!W39</f>
        <v>0</v>
      </c>
      <c r="Y38" s="368">
        <f>-'Table 5E_OJJ'!S39</f>
        <v>-1183</v>
      </c>
      <c r="Z38" s="368">
        <f>-'Table 5A2 LSMSA'!L39</f>
        <v>0</v>
      </c>
      <c r="AA38" s="368">
        <f>-'Table 5A3 NOCCA'!L39</f>
        <v>0</v>
      </c>
      <c r="AB38" s="368">
        <f>-'Table 5A4_LSDVI'!L39</f>
        <v>-692</v>
      </c>
      <c r="AC38" s="368">
        <f>-'Table 5A5_SSD'!L39</f>
        <v>-461</v>
      </c>
      <c r="AD38" s="368"/>
      <c r="AE38" s="764">
        <f t="shared" si="44"/>
        <v>904008</v>
      </c>
      <c r="AF38" s="368"/>
      <c r="AG38" s="368"/>
      <c r="AH38" s="368"/>
      <c r="AI38" s="368">
        <f>'Table 5C1A-Madison Prep'!P39</f>
        <v>0</v>
      </c>
      <c r="AJ38" s="368">
        <f>'Table 5C1B-DArbonne'!P39</f>
        <v>0</v>
      </c>
      <c r="AK38" s="368">
        <f>'Table 5C1C-Intl_VIBE'!P39</f>
        <v>0</v>
      </c>
      <c r="AL38" s="368">
        <f>'Table 5C1D-NOMMA'!P39</f>
        <v>0</v>
      </c>
      <c r="AM38" s="368">
        <f>'Table 5C1E-LFNO'!P39</f>
        <v>0</v>
      </c>
      <c r="AN38" s="368">
        <f>'Table 5C1F-Lake Charles Charter'!P39</f>
        <v>0</v>
      </c>
      <c r="AO38" s="368">
        <f>'Table 5C1G-JS Clark Academy'!P39</f>
        <v>0</v>
      </c>
      <c r="AP38" s="368">
        <f>'Table 5C1H-Southwest LA Charter'!P39</f>
        <v>0</v>
      </c>
      <c r="AQ38" s="368">
        <f>'Table 5C2 - LA Virtual Admy'!Q36</f>
        <v>-21</v>
      </c>
      <c r="AR38" s="368">
        <f>'Table 5C3 - LA Connections EBR'!Q36</f>
        <v>-14</v>
      </c>
      <c r="AS38" s="368">
        <f>'Table 5D1 - New Vision'!O39</f>
        <v>0</v>
      </c>
      <c r="AT38" s="368">
        <f>'Table 5D2 - Glencoe'!O39</f>
        <v>0</v>
      </c>
      <c r="AU38" s="368">
        <f>'Table 5D3 - International'!O39</f>
        <v>0</v>
      </c>
      <c r="AV38" s="368">
        <f>'Table 5D4 - Avoyelles'!O39</f>
        <v>0</v>
      </c>
      <c r="AW38" s="368">
        <f>'Table 5D5 - Delhi'!O39</f>
        <v>-977.6</v>
      </c>
      <c r="AX38" s="368">
        <f>'Table 5D6 - Milestone'!O39</f>
        <v>0</v>
      </c>
      <c r="AY38" s="368">
        <f>'Table 5D7 - Max'!O39</f>
        <v>0</v>
      </c>
      <c r="AZ38" s="368">
        <f>'Table 5D8 - Belle Chasse'!S39</f>
        <v>0</v>
      </c>
      <c r="BA38" s="764">
        <f t="shared" si="45"/>
        <v>902995.4</v>
      </c>
      <c r="BB38" s="47"/>
      <c r="BH38"/>
      <c r="BQ38"/>
    </row>
    <row r="39" spans="1:69">
      <c r="A39" s="101">
        <v>34</v>
      </c>
      <c r="B39" s="311" t="s">
        <v>135</v>
      </c>
      <c r="C39" s="320">
        <f>'Table 2_State Distrib and Adjs'!AD40</f>
        <v>2331585</v>
      </c>
      <c r="D39" s="368"/>
      <c r="E39" s="368"/>
      <c r="F39" s="368">
        <f>-'Table 5C1A-Madison Prep'!T40</f>
        <v>0</v>
      </c>
      <c r="G39" s="368">
        <f>-'Table 5C1B-DArbonne'!T40</f>
        <v>0</v>
      </c>
      <c r="H39" s="368">
        <f>-'Table 5C1C-Intl_VIBE'!T40</f>
        <v>0</v>
      </c>
      <c r="I39" s="368">
        <f>-'Table 5C1D-NOMMA'!T40</f>
        <v>0</v>
      </c>
      <c r="J39" s="368"/>
      <c r="K39" s="368">
        <f>-'Table 5C1E-LFNO'!T40</f>
        <v>0</v>
      </c>
      <c r="L39" s="368">
        <f>-'Table 5C1F-Lake Charles Charter'!T40</f>
        <v>0</v>
      </c>
      <c r="M39" s="368">
        <f>-'Table 5C1G-JS Clark Academy'!T40</f>
        <v>0</v>
      </c>
      <c r="N39" s="368">
        <f>-'Table 5C1H-Southwest LA Charter'!T40</f>
        <v>0</v>
      </c>
      <c r="O39" s="368">
        <f>-'Table 5C2 - LA Virtual Admy'!U37</f>
        <v>-2498</v>
      </c>
      <c r="P39" s="368">
        <f>-'Table 5C3 - LA Connections EBR'!U37</f>
        <v>-416</v>
      </c>
      <c r="Q39" s="368">
        <f>-'Table 5D1 - New Vision'!S40</f>
        <v>-1850</v>
      </c>
      <c r="R39" s="368">
        <f>-'Table 5D2 - Glencoe'!S40</f>
        <v>0</v>
      </c>
      <c r="S39" s="368">
        <f>-'Table 5D3 - International'!S40</f>
        <v>0</v>
      </c>
      <c r="T39" s="368">
        <f>-'Table 5D4 - Avoyelles'!S40</f>
        <v>0</v>
      </c>
      <c r="U39" s="368">
        <f>-'Table 5D5 - Delhi'!S40</f>
        <v>0</v>
      </c>
      <c r="V39" s="368">
        <f>-'Table 5D6 - Milestone'!S40</f>
        <v>0</v>
      </c>
      <c r="W39" s="368">
        <f>-'Table 5D7 - Max'!S40</f>
        <v>0</v>
      </c>
      <c r="X39" s="368">
        <f>-'Table 5D8 - Belle Chasse'!W40</f>
        <v>0</v>
      </c>
      <c r="Y39" s="368">
        <f>-'Table 5E_OJJ'!S40</f>
        <v>-483</v>
      </c>
      <c r="Z39" s="368">
        <f>-'Table 5A2 LSMSA'!L40</f>
        <v>0</v>
      </c>
      <c r="AA39" s="368">
        <f>-'Table 5A3 NOCCA'!L40</f>
        <v>0</v>
      </c>
      <c r="AB39" s="368">
        <f>-'Table 5A4_LSDVI'!L40</f>
        <v>0</v>
      </c>
      <c r="AC39" s="368">
        <f>-'Table 5A5_SSD'!L40</f>
        <v>0</v>
      </c>
      <c r="AD39" s="368"/>
      <c r="AE39" s="764">
        <f t="shared" si="44"/>
        <v>2326338</v>
      </c>
      <c r="AF39" s="368"/>
      <c r="AG39" s="368"/>
      <c r="AH39" s="368"/>
      <c r="AI39" s="368">
        <f>'Table 5C1A-Madison Prep'!P40</f>
        <v>0</v>
      </c>
      <c r="AJ39" s="368">
        <f>'Table 5C1B-DArbonne'!P40</f>
        <v>0</v>
      </c>
      <c r="AK39" s="368">
        <f>'Table 5C1C-Intl_VIBE'!P40</f>
        <v>0</v>
      </c>
      <c r="AL39" s="368">
        <f>'Table 5C1D-NOMMA'!P40</f>
        <v>0</v>
      </c>
      <c r="AM39" s="368">
        <f>'Table 5C1E-LFNO'!P40</f>
        <v>0</v>
      </c>
      <c r="AN39" s="368">
        <f>'Table 5C1F-Lake Charles Charter'!P40</f>
        <v>0</v>
      </c>
      <c r="AO39" s="368">
        <f>'Table 5C1G-JS Clark Academy'!P40</f>
        <v>0</v>
      </c>
      <c r="AP39" s="368">
        <f>'Table 5C1H-Southwest LA Charter'!P40</f>
        <v>0</v>
      </c>
      <c r="AQ39" s="368">
        <f>'Table 5C2 - LA Virtual Admy'!Q37</f>
        <v>-75</v>
      </c>
      <c r="AR39" s="368">
        <f>'Table 5C3 - LA Connections EBR'!Q37</f>
        <v>-13</v>
      </c>
      <c r="AS39" s="368">
        <f>'Table 5D1 - New Vision'!O40</f>
        <v>-55.64</v>
      </c>
      <c r="AT39" s="368">
        <f>'Table 5D2 - Glencoe'!O40</f>
        <v>0</v>
      </c>
      <c r="AU39" s="368">
        <f>'Table 5D3 - International'!O40</f>
        <v>0</v>
      </c>
      <c r="AV39" s="368">
        <f>'Table 5D4 - Avoyelles'!O40</f>
        <v>0</v>
      </c>
      <c r="AW39" s="368">
        <f>'Table 5D5 - Delhi'!O40</f>
        <v>0</v>
      </c>
      <c r="AX39" s="368">
        <f>'Table 5D6 - Milestone'!O40</f>
        <v>0</v>
      </c>
      <c r="AY39" s="368">
        <f>'Table 5D7 - Max'!O40</f>
        <v>0</v>
      </c>
      <c r="AZ39" s="368">
        <f>'Table 5D8 - Belle Chasse'!S40</f>
        <v>0</v>
      </c>
      <c r="BA39" s="764">
        <f t="shared" si="45"/>
        <v>2326194.36</v>
      </c>
      <c r="BB39" s="47"/>
      <c r="BH39"/>
      <c r="BQ39"/>
    </row>
    <row r="40" spans="1:69">
      <c r="A40" s="102">
        <v>35</v>
      </c>
      <c r="B40" s="312" t="s">
        <v>136</v>
      </c>
      <c r="C40" s="329">
        <f>'Table 2_State Distrib and Adjs'!AD41</f>
        <v>2876526</v>
      </c>
      <c r="D40" s="369"/>
      <c r="E40" s="369"/>
      <c r="F40" s="369">
        <f>-'Table 5C1A-Madison Prep'!T41</f>
        <v>0</v>
      </c>
      <c r="G40" s="369">
        <f>-'Table 5C1B-DArbonne'!T41</f>
        <v>0</v>
      </c>
      <c r="H40" s="369">
        <f>-'Table 5C1C-Intl_VIBE'!T41</f>
        <v>0</v>
      </c>
      <c r="I40" s="369">
        <f>-'Table 5C1D-NOMMA'!T41</f>
        <v>0</v>
      </c>
      <c r="J40" s="369"/>
      <c r="K40" s="369">
        <f>-'Table 5C1E-LFNO'!T41</f>
        <v>0</v>
      </c>
      <c r="L40" s="369">
        <f>-'Table 5C1F-Lake Charles Charter'!T41</f>
        <v>0</v>
      </c>
      <c r="M40" s="369">
        <f>-'Table 5C1G-JS Clark Academy'!T41</f>
        <v>0</v>
      </c>
      <c r="N40" s="369">
        <f>-'Table 5C1H-Southwest LA Charter'!T41</f>
        <v>0</v>
      </c>
      <c r="O40" s="369">
        <f>-'Table 5C2 - LA Virtual Admy'!U38</f>
        <v>-2613</v>
      </c>
      <c r="P40" s="369">
        <f>-'Table 5C3 - LA Connections EBR'!U38</f>
        <v>-2375</v>
      </c>
      <c r="Q40" s="369">
        <f>-'Table 5D1 - New Vision'!S41</f>
        <v>0</v>
      </c>
      <c r="R40" s="369">
        <f>-'Table 5D2 - Glencoe'!S41</f>
        <v>0</v>
      </c>
      <c r="S40" s="369">
        <f>-'Table 5D3 - International'!S41</f>
        <v>0</v>
      </c>
      <c r="T40" s="369">
        <f>-'Table 5D4 - Avoyelles'!S41</f>
        <v>0</v>
      </c>
      <c r="U40" s="369">
        <f>-'Table 5D5 - Delhi'!S41</f>
        <v>0</v>
      </c>
      <c r="V40" s="369">
        <f>-'Table 5D6 - Milestone'!S41</f>
        <v>0</v>
      </c>
      <c r="W40" s="369">
        <f>-'Table 5D7 - Max'!S41</f>
        <v>0</v>
      </c>
      <c r="X40" s="369">
        <f>-'Table 5D8 - Belle Chasse'!W41</f>
        <v>0</v>
      </c>
      <c r="Y40" s="369">
        <f>-'Table 5E_OJJ'!S41</f>
        <v>-351</v>
      </c>
      <c r="Z40" s="369">
        <f>-'Table 5A2 LSMSA'!L41</f>
        <v>-2192</v>
      </c>
      <c r="AA40" s="369">
        <f>-'Table 5A3 NOCCA'!L41</f>
        <v>0</v>
      </c>
      <c r="AB40" s="369">
        <f>-'Table 5A4_LSDVI'!L41</f>
        <v>-813</v>
      </c>
      <c r="AC40" s="369">
        <f>-'Table 5A5_SSD'!L41</f>
        <v>-271</v>
      </c>
      <c r="AD40" s="369"/>
      <c r="AE40" s="765">
        <f t="shared" si="44"/>
        <v>2867911</v>
      </c>
      <c r="AF40" s="369"/>
      <c r="AG40" s="369"/>
      <c r="AH40" s="369"/>
      <c r="AI40" s="369">
        <f>'Table 5C1A-Madison Prep'!P41</f>
        <v>0</v>
      </c>
      <c r="AJ40" s="369">
        <f>'Table 5C1B-DArbonne'!P41</f>
        <v>0</v>
      </c>
      <c r="AK40" s="369">
        <f>'Table 5C1C-Intl_VIBE'!P41</f>
        <v>0</v>
      </c>
      <c r="AL40" s="369">
        <f>'Table 5C1D-NOMMA'!P41</f>
        <v>0</v>
      </c>
      <c r="AM40" s="369">
        <f>'Table 5C1E-LFNO'!P41</f>
        <v>0</v>
      </c>
      <c r="AN40" s="369">
        <f>'Table 5C1F-Lake Charles Charter'!P41</f>
        <v>0</v>
      </c>
      <c r="AO40" s="369">
        <f>'Table 5C1G-JS Clark Academy'!P41</f>
        <v>0</v>
      </c>
      <c r="AP40" s="369">
        <f>'Table 5C1H-Southwest LA Charter'!P41</f>
        <v>0</v>
      </c>
      <c r="AQ40" s="369">
        <f>'Table 5C2 - LA Virtual Admy'!Q38</f>
        <v>-79</v>
      </c>
      <c r="AR40" s="369">
        <f>'Table 5C3 - LA Connections EBR'!Q38</f>
        <v>-71</v>
      </c>
      <c r="AS40" s="369">
        <f>'Table 5D1 - New Vision'!O41</f>
        <v>0</v>
      </c>
      <c r="AT40" s="369">
        <f>'Table 5D2 - Glencoe'!O41</f>
        <v>0</v>
      </c>
      <c r="AU40" s="369">
        <f>'Table 5D3 - International'!O41</f>
        <v>0</v>
      </c>
      <c r="AV40" s="369">
        <f>'Table 5D4 - Avoyelles'!O41</f>
        <v>0</v>
      </c>
      <c r="AW40" s="369">
        <f>'Table 5D5 - Delhi'!O41</f>
        <v>0</v>
      </c>
      <c r="AX40" s="369">
        <f>'Table 5D6 - Milestone'!O41</f>
        <v>0</v>
      </c>
      <c r="AY40" s="369">
        <f>'Table 5D7 - Max'!O41</f>
        <v>0</v>
      </c>
      <c r="AZ40" s="369">
        <f>'Table 5D8 - Belle Chasse'!S41</f>
        <v>0</v>
      </c>
      <c r="BA40" s="765">
        <f t="shared" si="45"/>
        <v>2867761</v>
      </c>
      <c r="BB40" s="47"/>
      <c r="BH40"/>
      <c r="BQ40"/>
    </row>
    <row r="41" spans="1:69">
      <c r="A41" s="101">
        <v>36</v>
      </c>
      <c r="B41" s="311" t="s">
        <v>137</v>
      </c>
      <c r="C41" s="320">
        <f>'Table 2_State Distrib and Adjs'!AD42</f>
        <v>3746921</v>
      </c>
      <c r="D41" s="368"/>
      <c r="E41" s="1106">
        <f>-'[1]July 2012-13 Allocation'!$Y$66</f>
        <v>-9735629.9718750007</v>
      </c>
      <c r="F41" s="368">
        <f>-'Table 5C1A-Madison Prep'!T42</f>
        <v>0</v>
      </c>
      <c r="G41" s="368">
        <f>-'Table 5C1B-DArbonne'!T42</f>
        <v>0</v>
      </c>
      <c r="H41" s="368">
        <f>-'Table 5C1C-Intl_VIBE'!T42</f>
        <v>-93952.03125</v>
      </c>
      <c r="I41" s="368">
        <f>-'Table 5C1D-NOMMA'!T42</f>
        <v>-20683.162500000002</v>
      </c>
      <c r="J41" s="368"/>
      <c r="K41" s="368">
        <f>-'Table 5C1E-LFNO'!T42</f>
        <v>-17103.384374999998</v>
      </c>
      <c r="L41" s="368">
        <f>-'Table 5C1F-Lake Charles Charter'!T42</f>
        <v>0</v>
      </c>
      <c r="M41" s="368">
        <f>-'Table 5C1G-JS Clark Academy'!T42</f>
        <v>0</v>
      </c>
      <c r="N41" s="368">
        <f>-'Table 5C1H-Southwest LA Charter'!T42</f>
        <v>0</v>
      </c>
      <c r="O41" s="368">
        <f>-'Table 5C2 - LA Virtual Admy'!U39</f>
        <v>-26843</v>
      </c>
      <c r="P41" s="368">
        <f>-'Table 5C3 - LA Connections EBR'!U39</f>
        <v>-5012</v>
      </c>
      <c r="Q41" s="368">
        <f>-'Table 5D1 - New Vision'!S42</f>
        <v>0</v>
      </c>
      <c r="R41" s="368">
        <f>-'Table 5D2 - Glencoe'!S42</f>
        <v>0</v>
      </c>
      <c r="S41" s="368">
        <f>-'Table 5D3 - International'!S42</f>
        <v>-135291</v>
      </c>
      <c r="T41" s="368">
        <f>-'Table 5D4 - Avoyelles'!S42</f>
        <v>0</v>
      </c>
      <c r="U41" s="368">
        <f>-'Table 5D5 - Delhi'!S42</f>
        <v>0</v>
      </c>
      <c r="V41" s="368">
        <f>-'Table 5D6 - Milestone'!S42</f>
        <v>-130861</v>
      </c>
      <c r="W41" s="368">
        <f>-'Table 5D7 - Max'!S42</f>
        <v>0</v>
      </c>
      <c r="X41" s="368">
        <f>-'Table 5D8 - Belle Chasse'!W42</f>
        <v>-53299</v>
      </c>
      <c r="Y41" s="368">
        <f>-'Table 5E_OJJ'!S42</f>
        <v>-11839</v>
      </c>
      <c r="Z41" s="368">
        <f>-'Table 5A2 LSMSA'!L42</f>
        <v>-953</v>
      </c>
      <c r="AA41" s="368">
        <f>-'Table 5A3 NOCCA'!L42</f>
        <v>-9146</v>
      </c>
      <c r="AB41" s="368">
        <f>-'Table 5A4_LSDVI'!L42</f>
        <v>-3217</v>
      </c>
      <c r="AC41" s="368">
        <f>-'Table 5A5_SSD'!L42</f>
        <v>-13939</v>
      </c>
      <c r="AD41" s="1191"/>
      <c r="AE41" s="764">
        <f t="shared" si="44"/>
        <v>-6510847.5500000007</v>
      </c>
      <c r="AF41" s="368"/>
      <c r="AG41" s="368"/>
      <c r="AH41" s="368">
        <f>'[1]July 2012-13 Allocation'!$U$66</f>
        <v>-245832.33749999991</v>
      </c>
      <c r="AI41" s="368">
        <f>'Table 5C1A-Madison Prep'!P42</f>
        <v>0</v>
      </c>
      <c r="AJ41" s="368">
        <f>'Table 5C1B-DArbonne'!P42</f>
        <v>0</v>
      </c>
      <c r="AK41" s="368">
        <f>'Table 5C1C-Intl_VIBE'!P42</f>
        <v>-2825.625</v>
      </c>
      <c r="AL41" s="368">
        <f>'Table 5C1D-NOMMA'!P42</f>
        <v>-622.05000000000007</v>
      </c>
      <c r="AM41" s="368">
        <f>'Table 5C1E-LFNO'!P42</f>
        <v>-514.38750000000005</v>
      </c>
      <c r="AN41" s="368">
        <f>'Table 5C1F-Lake Charles Charter'!P42</f>
        <v>0</v>
      </c>
      <c r="AO41" s="368">
        <f>'Table 5C1G-JS Clark Academy'!P42</f>
        <v>0</v>
      </c>
      <c r="AP41" s="368">
        <f>'Table 5C1H-Southwest LA Charter'!P42</f>
        <v>0</v>
      </c>
      <c r="AQ41" s="368">
        <f>'Table 5C2 - LA Virtual Admy'!Q39</f>
        <v>-818</v>
      </c>
      <c r="AR41" s="368">
        <f>'Table 5C3 - LA Connections EBR'!Q39</f>
        <v>-151</v>
      </c>
      <c r="AS41" s="368">
        <f>'Table 5D1 - New Vision'!O42</f>
        <v>0</v>
      </c>
      <c r="AT41" s="368">
        <f>'Table 5D2 - Glencoe'!O42</f>
        <v>0</v>
      </c>
      <c r="AU41" s="368">
        <f>'Table 5D3 - International'!O42</f>
        <v>-4068.9</v>
      </c>
      <c r="AV41" s="368">
        <f>'Table 5D4 - Avoyelles'!O42</f>
        <v>0</v>
      </c>
      <c r="AW41" s="368">
        <f>'Table 5D5 - Delhi'!O42</f>
        <v>0</v>
      </c>
      <c r="AX41" s="368">
        <f>'Table 5D6 - Milestone'!O42</f>
        <v>-3935.6624999999999</v>
      </c>
      <c r="AY41" s="368">
        <f>'Table 5D7 - Max'!O42</f>
        <v>0</v>
      </c>
      <c r="AZ41" s="368">
        <f>'Table 5D8 - Belle Chasse'!S42</f>
        <v>-1602.9750000000001</v>
      </c>
      <c r="BA41" s="764">
        <f t="shared" si="45"/>
        <v>-6771218.4875000007</v>
      </c>
      <c r="BB41" s="758"/>
      <c r="BD41" s="758"/>
      <c r="BE41" s="758"/>
      <c r="BF41" s="758"/>
      <c r="BH41"/>
      <c r="BQ41"/>
    </row>
    <row r="42" spans="1:69">
      <c r="A42" s="101">
        <v>37</v>
      </c>
      <c r="B42" s="311" t="s">
        <v>138</v>
      </c>
      <c r="C42" s="320">
        <f>'Table 2_State Distrib and Adjs'!AD43</f>
        <v>9820381</v>
      </c>
      <c r="D42" s="368"/>
      <c r="E42" s="368"/>
      <c r="F42" s="368">
        <f>-'Table 5C1A-Madison Prep'!T43</f>
        <v>0</v>
      </c>
      <c r="G42" s="368">
        <f>-'Table 5C1B-DArbonne'!T43</f>
        <v>-1552.11</v>
      </c>
      <c r="H42" s="368">
        <f>-'Table 5C1C-Intl_VIBE'!T43</f>
        <v>0</v>
      </c>
      <c r="I42" s="368">
        <f>-'Table 5C1D-NOMMA'!T43</f>
        <v>0</v>
      </c>
      <c r="J42" s="368"/>
      <c r="K42" s="368">
        <f>-'Table 5C1E-LFNO'!T43</f>
        <v>0</v>
      </c>
      <c r="L42" s="368">
        <f>-'Table 5C1F-Lake Charles Charter'!T43</f>
        <v>0</v>
      </c>
      <c r="M42" s="368">
        <f>-'Table 5C1G-JS Clark Academy'!T43</f>
        <v>0</v>
      </c>
      <c r="N42" s="368">
        <f>-'Table 5C1H-Southwest LA Charter'!T43</f>
        <v>0</v>
      </c>
      <c r="O42" s="368">
        <f>-'Table 5C2 - LA Virtual Admy'!U40</f>
        <v>-5355</v>
      </c>
      <c r="P42" s="368">
        <f>-'Table 5C3 - LA Connections EBR'!U40</f>
        <v>-2328</v>
      </c>
      <c r="Q42" s="368">
        <f>-'Table 5D1 - New Vision'!S43</f>
        <v>-36475</v>
      </c>
      <c r="R42" s="368">
        <f>-'Table 5D2 - Glencoe'!S43</f>
        <v>0</v>
      </c>
      <c r="S42" s="368">
        <f>-'Table 5D3 - International'!S43</f>
        <v>0</v>
      </c>
      <c r="T42" s="368">
        <f>-'Table 5D4 - Avoyelles'!S43</f>
        <v>0</v>
      </c>
      <c r="U42" s="368">
        <f>-'Table 5D5 - Delhi'!S43</f>
        <v>0</v>
      </c>
      <c r="V42" s="368">
        <f>-'Table 5D6 - Milestone'!S43</f>
        <v>0</v>
      </c>
      <c r="W42" s="368">
        <f>-'Table 5D7 - Max'!S43</f>
        <v>0</v>
      </c>
      <c r="X42" s="368">
        <f>-'Table 5D8 - Belle Chasse'!W43</f>
        <v>0</v>
      </c>
      <c r="Y42" s="368">
        <f>-'Table 5E_OJJ'!S43</f>
        <v>-622</v>
      </c>
      <c r="Z42" s="368">
        <f>-'Table 5A2 LSMSA'!L43</f>
        <v>-684</v>
      </c>
      <c r="AA42" s="368">
        <f>-'Table 5A3 NOCCA'!L43</f>
        <v>0</v>
      </c>
      <c r="AB42" s="368">
        <f>-'Table 5A4_LSDVI'!L43</f>
        <v>-715</v>
      </c>
      <c r="AC42" s="368">
        <f>-'Table 5A5_SSD'!L43</f>
        <v>-1669</v>
      </c>
      <c r="AD42" s="368"/>
      <c r="AE42" s="764">
        <f t="shared" si="44"/>
        <v>9770980.8900000006</v>
      </c>
      <c r="AF42" s="368"/>
      <c r="AG42" s="368"/>
      <c r="AH42" s="368"/>
      <c r="AI42" s="368">
        <f>'Table 5C1A-Madison Prep'!P43</f>
        <v>0</v>
      </c>
      <c r="AJ42" s="368">
        <f>'Table 5C1B-DArbonne'!P43</f>
        <v>-46.68</v>
      </c>
      <c r="AK42" s="368">
        <f>'Table 5C1C-Intl_VIBE'!P43</f>
        <v>0</v>
      </c>
      <c r="AL42" s="368">
        <f>'Table 5C1D-NOMMA'!P43</f>
        <v>0</v>
      </c>
      <c r="AM42" s="368">
        <f>'Table 5C1E-LFNO'!P43</f>
        <v>0</v>
      </c>
      <c r="AN42" s="368">
        <f>'Table 5C1F-Lake Charles Charter'!P43</f>
        <v>0</v>
      </c>
      <c r="AO42" s="368">
        <f>'Table 5C1G-JS Clark Academy'!P43</f>
        <v>0</v>
      </c>
      <c r="AP42" s="368">
        <f>'Table 5C1H-Southwest LA Charter'!P43</f>
        <v>0</v>
      </c>
      <c r="AQ42" s="368">
        <f>'Table 5C2 - LA Virtual Admy'!Q40</f>
        <v>-161</v>
      </c>
      <c r="AR42" s="368">
        <f>'Table 5C3 - LA Connections EBR'!Q40</f>
        <v>-70</v>
      </c>
      <c r="AS42" s="368">
        <f>'Table 5D1 - New Vision'!O43</f>
        <v>-1096.98</v>
      </c>
      <c r="AT42" s="368">
        <f>'Table 5D2 - Glencoe'!O43</f>
        <v>0</v>
      </c>
      <c r="AU42" s="368">
        <f>'Table 5D3 - International'!O43</f>
        <v>0</v>
      </c>
      <c r="AV42" s="368">
        <f>'Table 5D4 - Avoyelles'!O43</f>
        <v>0</v>
      </c>
      <c r="AW42" s="368">
        <f>'Table 5D5 - Delhi'!O43</f>
        <v>0</v>
      </c>
      <c r="AX42" s="368">
        <f>'Table 5D6 - Milestone'!O43</f>
        <v>0</v>
      </c>
      <c r="AY42" s="368">
        <f>'Table 5D7 - Max'!O43</f>
        <v>0</v>
      </c>
      <c r="AZ42" s="368">
        <f>'Table 5D8 - Belle Chasse'!S43</f>
        <v>0</v>
      </c>
      <c r="BA42" s="764">
        <f t="shared" si="45"/>
        <v>9769606.2300000004</v>
      </c>
      <c r="BB42" s="758"/>
      <c r="BD42" s="758"/>
      <c r="BE42" s="758"/>
      <c r="BF42" s="758"/>
      <c r="BH42"/>
      <c r="BQ42"/>
    </row>
    <row r="43" spans="1:69">
      <c r="A43" s="101">
        <v>38</v>
      </c>
      <c r="B43" s="311" t="s">
        <v>139</v>
      </c>
      <c r="C43" s="320">
        <f>'Table 2_State Distrib and Adjs'!AD44</f>
        <v>942667</v>
      </c>
      <c r="D43" s="368"/>
      <c r="E43" s="368"/>
      <c r="F43" s="368">
        <f>-'Table 5C1A-Madison Prep'!T44</f>
        <v>0</v>
      </c>
      <c r="G43" s="368">
        <f>-'Table 5C1B-DArbonne'!T44</f>
        <v>0</v>
      </c>
      <c r="H43" s="368">
        <f>-'Table 5C1C-Intl_VIBE'!T44</f>
        <v>0</v>
      </c>
      <c r="I43" s="368">
        <f>-'Table 5C1D-NOMMA'!T44</f>
        <v>-4061.0718750000001</v>
      </c>
      <c r="J43" s="368"/>
      <c r="K43" s="368">
        <f>-'Table 5C1E-LFNO'!T44</f>
        <v>0</v>
      </c>
      <c r="L43" s="368">
        <f>-'Table 5C1F-Lake Charles Charter'!T44</f>
        <v>0</v>
      </c>
      <c r="M43" s="368">
        <f>-'Table 5C1G-JS Clark Academy'!T44</f>
        <v>0</v>
      </c>
      <c r="N43" s="368">
        <f>-'Table 5C1H-Southwest LA Charter'!T44</f>
        <v>0</v>
      </c>
      <c r="O43" s="368">
        <f>-'Table 5C2 - LA Virtual Admy'!U41</f>
        <v>-2924</v>
      </c>
      <c r="P43" s="368">
        <f>-'Table 5C3 - LA Connections EBR'!U41</f>
        <v>0</v>
      </c>
      <c r="Q43" s="368">
        <f>-'Table 5D1 - New Vision'!S44</f>
        <v>0</v>
      </c>
      <c r="R43" s="368">
        <f>-'Table 5D2 - Glencoe'!S44</f>
        <v>0</v>
      </c>
      <c r="S43" s="368">
        <f>-'Table 5D3 - International'!S44</f>
        <v>-812</v>
      </c>
      <c r="T43" s="368">
        <f>-'Table 5D4 - Avoyelles'!S44</f>
        <v>0</v>
      </c>
      <c r="U43" s="368">
        <f>-'Table 5D5 - Delhi'!S44</f>
        <v>0</v>
      </c>
      <c r="V43" s="368">
        <f>-'Table 5D6 - Milestone'!S44</f>
        <v>0</v>
      </c>
      <c r="W43" s="368">
        <f>-'Table 5D7 - Max'!S44</f>
        <v>0</v>
      </c>
      <c r="X43" s="368">
        <f>-'Table 5D8 - Belle Chasse'!W44</f>
        <v>-63353</v>
      </c>
      <c r="Y43" s="368">
        <f>-'Table 5E_OJJ'!S44</f>
        <v>-250</v>
      </c>
      <c r="Z43" s="368">
        <f>-'Table 5A2 LSMSA'!L44</f>
        <v>-629</v>
      </c>
      <c r="AA43" s="368">
        <f>-'Table 5A3 NOCCA'!L44</f>
        <v>0</v>
      </c>
      <c r="AB43" s="368">
        <f>-'Table 5A4_LSDVI'!L44</f>
        <v>0</v>
      </c>
      <c r="AC43" s="368">
        <f>-'Table 5A5_SSD'!L44</f>
        <v>0</v>
      </c>
      <c r="AD43" s="368"/>
      <c r="AE43" s="764">
        <f t="shared" si="44"/>
        <v>870637.92812499998</v>
      </c>
      <c r="AF43" s="368"/>
      <c r="AG43" s="368"/>
      <c r="AH43" s="368"/>
      <c r="AI43" s="368">
        <f>'Table 5C1A-Madison Prep'!P44</f>
        <v>0</v>
      </c>
      <c r="AJ43" s="368">
        <f>'Table 5C1B-DArbonne'!P44</f>
        <v>0</v>
      </c>
      <c r="AK43" s="368">
        <f>'Table 5C1C-Intl_VIBE'!P44</f>
        <v>0</v>
      </c>
      <c r="AL43" s="368">
        <f>'Table 5C1D-NOMMA'!P44</f>
        <v>-122.1375</v>
      </c>
      <c r="AM43" s="368">
        <f>'Table 5C1E-LFNO'!P44</f>
        <v>0</v>
      </c>
      <c r="AN43" s="368">
        <f>'Table 5C1F-Lake Charles Charter'!P44</f>
        <v>0</v>
      </c>
      <c r="AO43" s="368">
        <f>'Table 5C1G-JS Clark Academy'!P44</f>
        <v>0</v>
      </c>
      <c r="AP43" s="368">
        <f>'Table 5C1H-Southwest LA Charter'!P44</f>
        <v>0</v>
      </c>
      <c r="AQ43" s="368">
        <f>'Table 5C2 - LA Virtual Admy'!Q41</f>
        <v>-88</v>
      </c>
      <c r="AR43" s="368">
        <f>'Table 5C3 - LA Connections EBR'!Q41</f>
        <v>0</v>
      </c>
      <c r="AS43" s="368">
        <f>'Table 5D1 - New Vision'!O44</f>
        <v>0</v>
      </c>
      <c r="AT43" s="368">
        <f>'Table 5D2 - Glencoe'!O44</f>
        <v>0</v>
      </c>
      <c r="AU43" s="368">
        <f>'Table 5D3 - International'!O44</f>
        <v>-24.427500000000002</v>
      </c>
      <c r="AV43" s="368">
        <f>'Table 5D4 - Avoyelles'!O44</f>
        <v>0</v>
      </c>
      <c r="AW43" s="368">
        <f>'Table 5D5 - Delhi'!O44</f>
        <v>0</v>
      </c>
      <c r="AX43" s="368">
        <f>'Table 5D6 - Milestone'!O44</f>
        <v>0</v>
      </c>
      <c r="AY43" s="368">
        <f>'Table 5D7 - Max'!O44</f>
        <v>0</v>
      </c>
      <c r="AZ43" s="368">
        <f>'Table 5D8 - Belle Chasse'!S44</f>
        <v>-1905.345</v>
      </c>
      <c r="BA43" s="764">
        <f t="shared" si="45"/>
        <v>868498.01812500006</v>
      </c>
      <c r="BB43" s="758"/>
      <c r="BD43" s="758"/>
      <c r="BE43" s="758"/>
      <c r="BF43" s="758"/>
      <c r="BH43"/>
      <c r="BQ43"/>
    </row>
    <row r="44" spans="1:69">
      <c r="A44" s="101">
        <v>39</v>
      </c>
      <c r="B44" s="311" t="s">
        <v>140</v>
      </c>
      <c r="C44" s="320">
        <f>'Table 2_State Distrib and Adjs'!AD45</f>
        <v>961097</v>
      </c>
      <c r="D44" s="368">
        <f>-'Table 5B2_RSD_LA'!X23</f>
        <v>-93718.333333333328</v>
      </c>
      <c r="E44" s="368"/>
      <c r="F44" s="368">
        <f>-'Table 5C1A-Madison Prep'!T45</f>
        <v>0</v>
      </c>
      <c r="G44" s="368">
        <f>-'Table 5C1B-DArbonne'!T45</f>
        <v>0</v>
      </c>
      <c r="H44" s="368">
        <f>-'Table 5C1C-Intl_VIBE'!T45</f>
        <v>0</v>
      </c>
      <c r="I44" s="368">
        <f>-'Table 5C1D-NOMMA'!T45</f>
        <v>0</v>
      </c>
      <c r="J44" s="368"/>
      <c r="K44" s="368">
        <f>-'Table 5C1E-LFNO'!T45</f>
        <v>0</v>
      </c>
      <c r="L44" s="368">
        <f>-'Table 5C1F-Lake Charles Charter'!T45</f>
        <v>0</v>
      </c>
      <c r="M44" s="368">
        <f>-'Table 5C1G-JS Clark Academy'!T45</f>
        <v>0</v>
      </c>
      <c r="N44" s="368">
        <f>-'Table 5C1H-Southwest LA Charter'!T45</f>
        <v>0</v>
      </c>
      <c r="O44" s="368">
        <f>-'Table 5C2 - LA Virtual Admy'!U42</f>
        <v>-2194</v>
      </c>
      <c r="P44" s="368">
        <f>-'Table 5C3 - LA Connections EBR'!U42</f>
        <v>-1881</v>
      </c>
      <c r="Q44" s="368">
        <f>-'Table 5D1 - New Vision'!S45</f>
        <v>0</v>
      </c>
      <c r="R44" s="368">
        <f>-'Table 5D2 - Glencoe'!S45</f>
        <v>0</v>
      </c>
      <c r="S44" s="368">
        <f>-'Table 5D3 - International'!S45</f>
        <v>0</v>
      </c>
      <c r="T44" s="368">
        <f>-'Table 5D4 - Avoyelles'!S45</f>
        <v>-697</v>
      </c>
      <c r="U44" s="368">
        <f>-'Table 5D5 - Delhi'!S45</f>
        <v>0</v>
      </c>
      <c r="V44" s="368">
        <f>-'Table 5D6 - Milestone'!S45</f>
        <v>0</v>
      </c>
      <c r="W44" s="368">
        <f>-'Table 5D7 - Max'!S45</f>
        <v>0</v>
      </c>
      <c r="X44" s="368">
        <f>-'Table 5D8 - Belle Chasse'!W45</f>
        <v>0</v>
      </c>
      <c r="Y44" s="368">
        <f>-'Table 5E_OJJ'!S45</f>
        <v>-650</v>
      </c>
      <c r="Z44" s="368">
        <f>-'Table 5A2 LSMSA'!L45</f>
        <v>-1003</v>
      </c>
      <c r="AA44" s="368">
        <f>-'Table 5A3 NOCCA'!L45</f>
        <v>0</v>
      </c>
      <c r="AB44" s="368">
        <f>-'Table 5A4_LSDVI'!L45</f>
        <v>-2414</v>
      </c>
      <c r="AC44" s="368">
        <f>-'Table 5A5_SSD'!L45</f>
        <v>-345</v>
      </c>
      <c r="AD44" s="368"/>
      <c r="AE44" s="764">
        <f t="shared" si="44"/>
        <v>858194.66666666663</v>
      </c>
      <c r="AF44" s="368" t="str">
        <f>'Table 5B2_RSD_LA'!R23</f>
        <v>N/A</v>
      </c>
      <c r="AG44" s="368" t="str">
        <f>'Table 5B2_RSD_LA'!S23</f>
        <v>N/A</v>
      </c>
      <c r="AH44" s="368"/>
      <c r="AI44" s="368">
        <f>'Table 5C1A-Madison Prep'!P45</f>
        <v>0</v>
      </c>
      <c r="AJ44" s="368">
        <f>'Table 5C1B-DArbonne'!P45</f>
        <v>0</v>
      </c>
      <c r="AK44" s="368">
        <f>'Table 5C1C-Intl_VIBE'!P45</f>
        <v>0</v>
      </c>
      <c r="AL44" s="368">
        <f>'Table 5C1D-NOMMA'!P45</f>
        <v>0</v>
      </c>
      <c r="AM44" s="368">
        <f>'Table 5C1E-LFNO'!P45</f>
        <v>0</v>
      </c>
      <c r="AN44" s="368">
        <f>'Table 5C1F-Lake Charles Charter'!P45</f>
        <v>0</v>
      </c>
      <c r="AO44" s="368">
        <f>'Table 5C1G-JS Clark Academy'!P45</f>
        <v>0</v>
      </c>
      <c r="AP44" s="368">
        <f>'Table 5C1H-Southwest LA Charter'!P45</f>
        <v>0</v>
      </c>
      <c r="AQ44" s="368">
        <f>'Table 5C2 - LA Virtual Admy'!Q42</f>
        <v>-66</v>
      </c>
      <c r="AR44" s="368">
        <f>'Table 5C3 - LA Connections EBR'!Q42</f>
        <v>-57</v>
      </c>
      <c r="AS44" s="368">
        <f>'Table 5D1 - New Vision'!O45</f>
        <v>0</v>
      </c>
      <c r="AT44" s="368">
        <f>'Table 5D2 - Glencoe'!O45</f>
        <v>0</v>
      </c>
      <c r="AU44" s="368">
        <f>'Table 5D3 - International'!O45</f>
        <v>0</v>
      </c>
      <c r="AV44" s="368">
        <f>'Table 5D4 - Avoyelles'!O45</f>
        <v>-20.95</v>
      </c>
      <c r="AW44" s="368">
        <f>'Table 5D5 - Delhi'!O45</f>
        <v>0</v>
      </c>
      <c r="AX44" s="368">
        <f>'Table 5D6 - Milestone'!O45</f>
        <v>0</v>
      </c>
      <c r="AY44" s="368">
        <f>'Table 5D7 - Max'!O45</f>
        <v>0</v>
      </c>
      <c r="AZ44" s="368">
        <f>'Table 5D8 - Belle Chasse'!S45</f>
        <v>0</v>
      </c>
      <c r="BA44" s="764">
        <f t="shared" si="45"/>
        <v>858050.71666666667</v>
      </c>
      <c r="BB44" s="766"/>
      <c r="BD44" s="585"/>
      <c r="BE44" s="585"/>
      <c r="BF44" s="585"/>
      <c r="BH44"/>
      <c r="BQ44"/>
    </row>
    <row r="45" spans="1:69">
      <c r="A45" s="102">
        <v>40</v>
      </c>
      <c r="B45" s="312" t="s">
        <v>141</v>
      </c>
      <c r="C45" s="329">
        <f>'Table 2_State Distrib and Adjs'!AD46</f>
        <v>10651446</v>
      </c>
      <c r="D45" s="369"/>
      <c r="E45" s="369"/>
      <c r="F45" s="369">
        <f>-'Table 5C1A-Madison Prep'!T46</f>
        <v>0</v>
      </c>
      <c r="G45" s="369">
        <f>-'Table 5C1B-DArbonne'!T46</f>
        <v>0</v>
      </c>
      <c r="H45" s="369">
        <f>-'Table 5C1C-Intl_VIBE'!T46</f>
        <v>0</v>
      </c>
      <c r="I45" s="369">
        <f>-'Table 5C1D-NOMMA'!T46</f>
        <v>0</v>
      </c>
      <c r="J45" s="369"/>
      <c r="K45" s="369">
        <f>-'Table 5C1E-LFNO'!T46</f>
        <v>0</v>
      </c>
      <c r="L45" s="369">
        <f>-'Table 5C1F-Lake Charles Charter'!T46</f>
        <v>0</v>
      </c>
      <c r="M45" s="369">
        <f>-'Table 5C1G-JS Clark Academy'!T46</f>
        <v>0</v>
      </c>
      <c r="N45" s="369">
        <f>-'Table 5C1H-Southwest LA Charter'!T46</f>
        <v>0</v>
      </c>
      <c r="O45" s="369">
        <f>-'Table 5C2 - LA Virtual Admy'!U43</f>
        <v>-6696</v>
      </c>
      <c r="P45" s="369">
        <f>-'Table 5C3 - LA Connections EBR'!U43</f>
        <v>-5184</v>
      </c>
      <c r="Q45" s="369">
        <f>-'Table 5D1 - New Vision'!S46</f>
        <v>0</v>
      </c>
      <c r="R45" s="369">
        <f>-'Table 5D2 - Glencoe'!S46</f>
        <v>0</v>
      </c>
      <c r="S45" s="369">
        <f>-'Table 5D3 - International'!S46</f>
        <v>0</v>
      </c>
      <c r="T45" s="369">
        <f>-'Table 5D4 - Avoyelles'!S46</f>
        <v>-960</v>
      </c>
      <c r="U45" s="369">
        <f>-'Table 5D5 - Delhi'!S46</f>
        <v>0</v>
      </c>
      <c r="V45" s="369">
        <f>-'Table 5D6 - Milestone'!S46</f>
        <v>0</v>
      </c>
      <c r="W45" s="369">
        <f>-'Table 5D7 - Max'!S46</f>
        <v>0</v>
      </c>
      <c r="X45" s="369">
        <f>-'Table 5D8 - Belle Chasse'!W46</f>
        <v>0</v>
      </c>
      <c r="Y45" s="369">
        <f>-'Table 5E_OJJ'!S46</f>
        <v>-760</v>
      </c>
      <c r="Z45" s="369">
        <f>-'Table 5A2 LSMSA'!L46</f>
        <v>-874</v>
      </c>
      <c r="AA45" s="369">
        <f>-'Table 5A3 NOCCA'!L46</f>
        <v>0</v>
      </c>
      <c r="AB45" s="369">
        <f>-'Table 5A4_LSDVI'!L46</f>
        <v>-968</v>
      </c>
      <c r="AC45" s="369">
        <f>-'Table 5A5_SSD'!L46</f>
        <v>-5809</v>
      </c>
      <c r="AD45" s="369"/>
      <c r="AE45" s="765">
        <f t="shared" si="44"/>
        <v>10630195</v>
      </c>
      <c r="AF45" s="369"/>
      <c r="AG45" s="369"/>
      <c r="AH45" s="369"/>
      <c r="AI45" s="369">
        <f>'Table 5C1A-Madison Prep'!P46</f>
        <v>0</v>
      </c>
      <c r="AJ45" s="369">
        <f>'Table 5C1B-DArbonne'!P46</f>
        <v>0</v>
      </c>
      <c r="AK45" s="369">
        <f>'Table 5C1C-Intl_VIBE'!P46</f>
        <v>0</v>
      </c>
      <c r="AL45" s="369">
        <f>'Table 5C1D-NOMMA'!P46</f>
        <v>0</v>
      </c>
      <c r="AM45" s="369">
        <f>'Table 5C1E-LFNO'!P46</f>
        <v>0</v>
      </c>
      <c r="AN45" s="369">
        <f>'Table 5C1F-Lake Charles Charter'!P46</f>
        <v>0</v>
      </c>
      <c r="AO45" s="369">
        <f>'Table 5C1G-JS Clark Academy'!P46</f>
        <v>0</v>
      </c>
      <c r="AP45" s="369">
        <f>'Table 5C1H-Southwest LA Charter'!P46</f>
        <v>0</v>
      </c>
      <c r="AQ45" s="369">
        <f>'Table 5C2 - LA Virtual Admy'!Q43</f>
        <v>-201</v>
      </c>
      <c r="AR45" s="369">
        <f>'Table 5C3 - LA Connections EBR'!Q43</f>
        <v>-156</v>
      </c>
      <c r="AS45" s="369">
        <f>'Table 5D1 - New Vision'!O46</f>
        <v>0</v>
      </c>
      <c r="AT45" s="369">
        <f>'Table 5D2 - Glencoe'!O46</f>
        <v>0</v>
      </c>
      <c r="AU45" s="369">
        <f>'Table 5D3 - International'!O46</f>
        <v>0</v>
      </c>
      <c r="AV45" s="369">
        <f>'Table 5D4 - Avoyelles'!O46</f>
        <v>-28.87</v>
      </c>
      <c r="AW45" s="369">
        <f>'Table 5D5 - Delhi'!O46</f>
        <v>0</v>
      </c>
      <c r="AX45" s="369">
        <f>'Table 5D6 - Milestone'!O46</f>
        <v>0</v>
      </c>
      <c r="AY45" s="369">
        <f>'Table 5D7 - Max'!O46</f>
        <v>0</v>
      </c>
      <c r="AZ45" s="369">
        <f>'Table 5D8 - Belle Chasse'!S46</f>
        <v>0</v>
      </c>
      <c r="BA45" s="765">
        <f t="shared" si="45"/>
        <v>10629809.130000001</v>
      </c>
      <c r="BB45" s="47"/>
      <c r="BH45"/>
      <c r="BQ45"/>
    </row>
    <row r="46" spans="1:69">
      <c r="A46" s="101">
        <v>41</v>
      </c>
      <c r="B46" s="311" t="s">
        <v>142</v>
      </c>
      <c r="C46" s="320">
        <f>'Table 2_State Distrib and Adjs'!AD47</f>
        <v>290791</v>
      </c>
      <c r="D46" s="368"/>
      <c r="E46" s="368"/>
      <c r="F46" s="368">
        <f>-'Table 5C1A-Madison Prep'!T47</f>
        <v>0</v>
      </c>
      <c r="G46" s="368">
        <f>-'Table 5C1B-DArbonne'!T47</f>
        <v>0</v>
      </c>
      <c r="H46" s="368">
        <f>-'Table 5C1C-Intl_VIBE'!T47</f>
        <v>0</v>
      </c>
      <c r="I46" s="368">
        <f>-'Table 5C1D-NOMMA'!T47</f>
        <v>0</v>
      </c>
      <c r="J46" s="368"/>
      <c r="K46" s="368">
        <f>-'Table 5C1E-LFNO'!T47</f>
        <v>0</v>
      </c>
      <c r="L46" s="368">
        <f>-'Table 5C1F-Lake Charles Charter'!T47</f>
        <v>0</v>
      </c>
      <c r="M46" s="368">
        <f>-'Table 5C1G-JS Clark Academy'!T47</f>
        <v>0</v>
      </c>
      <c r="N46" s="368">
        <f>-'Table 5C1H-Southwest LA Charter'!T47</f>
        <v>0</v>
      </c>
      <c r="O46" s="368">
        <f>-'Table 5C2 - LA Virtual Admy'!U44</f>
        <v>-1866</v>
      </c>
      <c r="P46" s="368">
        <f>-'Table 5C3 - LA Connections EBR'!U44</f>
        <v>-933</v>
      </c>
      <c r="Q46" s="368">
        <f>-'Table 5D1 - New Vision'!S47</f>
        <v>0</v>
      </c>
      <c r="R46" s="368">
        <f>-'Table 5D2 - Glencoe'!S47</f>
        <v>0</v>
      </c>
      <c r="S46" s="368">
        <f>-'Table 5D3 - International'!S47</f>
        <v>0</v>
      </c>
      <c r="T46" s="368">
        <f>-'Table 5D4 - Avoyelles'!S47</f>
        <v>0</v>
      </c>
      <c r="U46" s="368">
        <f>-'Table 5D5 - Delhi'!S47</f>
        <v>0</v>
      </c>
      <c r="V46" s="368">
        <f>-'Table 5D6 - Milestone'!S47</f>
        <v>0</v>
      </c>
      <c r="W46" s="368">
        <f>-'Table 5D7 - Max'!S47</f>
        <v>0</v>
      </c>
      <c r="X46" s="368">
        <f>-'Table 5D8 - Belle Chasse'!W47</f>
        <v>0</v>
      </c>
      <c r="Y46" s="368">
        <f>-'Table 5E_OJJ'!S47</f>
        <v>-402</v>
      </c>
      <c r="Z46" s="368">
        <f>-'Table 5A2 LSMSA'!L47</f>
        <v>0</v>
      </c>
      <c r="AA46" s="368">
        <f>-'Table 5A3 NOCCA'!L47</f>
        <v>0</v>
      </c>
      <c r="AB46" s="368">
        <f>-'Table 5A4_LSDVI'!L47</f>
        <v>-535</v>
      </c>
      <c r="AC46" s="368">
        <f>-'Table 5A5_SSD'!L47</f>
        <v>-1070</v>
      </c>
      <c r="AD46" s="368"/>
      <c r="AE46" s="764">
        <f t="shared" si="44"/>
        <v>285985</v>
      </c>
      <c r="AF46" s="368"/>
      <c r="AG46" s="368"/>
      <c r="AH46" s="368"/>
      <c r="AI46" s="368">
        <f>'Table 5C1A-Madison Prep'!P47</f>
        <v>0</v>
      </c>
      <c r="AJ46" s="368">
        <f>'Table 5C1B-DArbonne'!P47</f>
        <v>0</v>
      </c>
      <c r="AK46" s="368">
        <f>'Table 5C1C-Intl_VIBE'!P47</f>
        <v>0</v>
      </c>
      <c r="AL46" s="368">
        <f>'Table 5C1D-NOMMA'!P47</f>
        <v>0</v>
      </c>
      <c r="AM46" s="368">
        <f>'Table 5C1E-LFNO'!P47</f>
        <v>0</v>
      </c>
      <c r="AN46" s="368">
        <f>'Table 5C1F-Lake Charles Charter'!P47</f>
        <v>0</v>
      </c>
      <c r="AO46" s="368">
        <f>'Table 5C1G-JS Clark Academy'!P47</f>
        <v>0</v>
      </c>
      <c r="AP46" s="368">
        <f>'Table 5C1H-Southwest LA Charter'!P47</f>
        <v>0</v>
      </c>
      <c r="AQ46" s="368">
        <f>'Table 5C2 - LA Virtual Admy'!Q44</f>
        <v>-56</v>
      </c>
      <c r="AR46" s="368">
        <f>'Table 5C3 - LA Connections EBR'!Q44</f>
        <v>-28</v>
      </c>
      <c r="AS46" s="368">
        <f>'Table 5D1 - New Vision'!O47</f>
        <v>0</v>
      </c>
      <c r="AT46" s="368">
        <f>'Table 5D2 - Glencoe'!O47</f>
        <v>0</v>
      </c>
      <c r="AU46" s="368">
        <f>'Table 5D3 - International'!O47</f>
        <v>0</v>
      </c>
      <c r="AV46" s="368">
        <f>'Table 5D4 - Avoyelles'!O47</f>
        <v>0</v>
      </c>
      <c r="AW46" s="368">
        <f>'Table 5D5 - Delhi'!O47</f>
        <v>0</v>
      </c>
      <c r="AX46" s="368">
        <f>'Table 5D6 - Milestone'!O47</f>
        <v>0</v>
      </c>
      <c r="AY46" s="368">
        <f>'Table 5D7 - Max'!O47</f>
        <v>0</v>
      </c>
      <c r="AZ46" s="368">
        <f>'Table 5D8 - Belle Chasse'!S47</f>
        <v>0</v>
      </c>
      <c r="BA46" s="764">
        <f t="shared" si="45"/>
        <v>285901</v>
      </c>
      <c r="BB46" s="47"/>
      <c r="BH46"/>
      <c r="BQ46"/>
    </row>
    <row r="47" spans="1:69">
      <c r="A47" s="101">
        <v>42</v>
      </c>
      <c r="B47" s="311" t="s">
        <v>143</v>
      </c>
      <c r="C47" s="320">
        <f>'Table 2_State Distrib and Adjs'!AD48</f>
        <v>1651302</v>
      </c>
      <c r="D47" s="368"/>
      <c r="E47" s="368"/>
      <c r="F47" s="368">
        <f>-'Table 5C1A-Madison Prep'!T48</f>
        <v>0</v>
      </c>
      <c r="G47" s="368">
        <f>-'Table 5C1B-DArbonne'!T48</f>
        <v>0</v>
      </c>
      <c r="H47" s="368">
        <f>-'Table 5C1C-Intl_VIBE'!T48</f>
        <v>0</v>
      </c>
      <c r="I47" s="368">
        <f>-'Table 5C1D-NOMMA'!T48</f>
        <v>0</v>
      </c>
      <c r="J47" s="368"/>
      <c r="K47" s="368">
        <f>-'Table 5C1E-LFNO'!T48</f>
        <v>0</v>
      </c>
      <c r="L47" s="368">
        <f>-'Table 5C1F-Lake Charles Charter'!T48</f>
        <v>0</v>
      </c>
      <c r="M47" s="368">
        <f>-'Table 5C1G-JS Clark Academy'!T48</f>
        <v>0</v>
      </c>
      <c r="N47" s="368">
        <f>-'Table 5C1H-Southwest LA Charter'!T48</f>
        <v>0</v>
      </c>
      <c r="O47" s="368">
        <f>-'Table 5C2 - LA Virtual Admy'!U45</f>
        <v>-1936</v>
      </c>
      <c r="P47" s="368">
        <f>-'Table 5C3 - LA Connections EBR'!U45</f>
        <v>0</v>
      </c>
      <c r="Q47" s="368">
        <f>-'Table 5D1 - New Vision'!S48</f>
        <v>-391</v>
      </c>
      <c r="R47" s="368">
        <f>-'Table 5D2 - Glencoe'!S48</f>
        <v>0</v>
      </c>
      <c r="S47" s="368">
        <f>-'Table 5D3 - International'!S48</f>
        <v>0</v>
      </c>
      <c r="T47" s="368">
        <f>-'Table 5D4 - Avoyelles'!S48</f>
        <v>0</v>
      </c>
      <c r="U47" s="368">
        <f>-'Table 5D5 - Delhi'!S48</f>
        <v>-77064</v>
      </c>
      <c r="V47" s="368">
        <f>-'Table 5D6 - Milestone'!S48</f>
        <v>0</v>
      </c>
      <c r="W47" s="368">
        <f>-'Table 5D7 - Max'!S48</f>
        <v>0</v>
      </c>
      <c r="X47" s="368">
        <f>-'Table 5D8 - Belle Chasse'!W48</f>
        <v>0</v>
      </c>
      <c r="Y47" s="368">
        <f>-'Table 5E_OJJ'!S48</f>
        <v>-596</v>
      </c>
      <c r="Z47" s="368">
        <f>-'Table 5A2 LSMSA'!L48</f>
        <v>0</v>
      </c>
      <c r="AA47" s="368">
        <f>-'Table 5A3 NOCCA'!L48</f>
        <v>0</v>
      </c>
      <c r="AB47" s="368">
        <f>-'Table 5A4_LSDVI'!L48</f>
        <v>0</v>
      </c>
      <c r="AC47" s="368">
        <f>-'Table 5A5_SSD'!L48</f>
        <v>-227</v>
      </c>
      <c r="AD47" s="368"/>
      <c r="AE47" s="764">
        <f t="shared" si="44"/>
        <v>1571088</v>
      </c>
      <c r="AF47" s="368"/>
      <c r="AG47" s="368"/>
      <c r="AH47" s="368"/>
      <c r="AI47" s="368">
        <f>'Table 5C1A-Madison Prep'!P48</f>
        <v>0</v>
      </c>
      <c r="AJ47" s="368">
        <f>'Table 5C1B-DArbonne'!P48</f>
        <v>0</v>
      </c>
      <c r="AK47" s="368">
        <f>'Table 5C1C-Intl_VIBE'!P48</f>
        <v>0</v>
      </c>
      <c r="AL47" s="368">
        <f>'Table 5C1D-NOMMA'!P48</f>
        <v>0</v>
      </c>
      <c r="AM47" s="368">
        <f>'Table 5C1E-LFNO'!P48</f>
        <v>0</v>
      </c>
      <c r="AN47" s="368">
        <f>'Table 5C1F-Lake Charles Charter'!P48</f>
        <v>0</v>
      </c>
      <c r="AO47" s="368">
        <f>'Table 5C1G-JS Clark Academy'!P48</f>
        <v>0</v>
      </c>
      <c r="AP47" s="368">
        <f>'Table 5C1H-Southwest LA Charter'!P48</f>
        <v>0</v>
      </c>
      <c r="AQ47" s="368">
        <f>'Table 5C2 - LA Virtual Admy'!Q45</f>
        <v>-58</v>
      </c>
      <c r="AR47" s="368">
        <f>'Table 5C3 - LA Connections EBR'!Q45</f>
        <v>0</v>
      </c>
      <c r="AS47" s="368">
        <f>'Table 5D1 - New Vision'!O48</f>
        <v>-11.765000000000001</v>
      </c>
      <c r="AT47" s="368">
        <f>'Table 5D2 - Glencoe'!O48</f>
        <v>0</v>
      </c>
      <c r="AU47" s="368">
        <f>'Table 5D3 - International'!O48</f>
        <v>0</v>
      </c>
      <c r="AV47" s="368">
        <f>'Table 5D4 - Avoyelles'!O48</f>
        <v>0</v>
      </c>
      <c r="AW47" s="368">
        <f>'Table 5D5 - Delhi'!O48</f>
        <v>-2317.7049999999999</v>
      </c>
      <c r="AX47" s="368">
        <f>'Table 5D6 - Milestone'!O48</f>
        <v>0</v>
      </c>
      <c r="AY47" s="368">
        <f>'Table 5D7 - Max'!O48</f>
        <v>0</v>
      </c>
      <c r="AZ47" s="368">
        <f>'Table 5D8 - Belle Chasse'!S48</f>
        <v>0</v>
      </c>
      <c r="BA47" s="764">
        <f t="shared" si="45"/>
        <v>1568700.53</v>
      </c>
      <c r="BB47" s="47"/>
      <c r="BH47"/>
      <c r="BQ47"/>
    </row>
    <row r="48" spans="1:69">
      <c r="A48" s="101">
        <v>43</v>
      </c>
      <c r="B48" s="311" t="s">
        <v>144</v>
      </c>
      <c r="C48" s="320">
        <f>'Table 2_State Distrib and Adjs'!AD49</f>
        <v>2035932</v>
      </c>
      <c r="D48" s="368"/>
      <c r="E48" s="368"/>
      <c r="F48" s="368">
        <f>-'Table 5C1A-Madison Prep'!T49</f>
        <v>0</v>
      </c>
      <c r="G48" s="368">
        <f>-'Table 5C1B-DArbonne'!T49</f>
        <v>0</v>
      </c>
      <c r="H48" s="368">
        <f>-'Table 5C1C-Intl_VIBE'!T49</f>
        <v>0</v>
      </c>
      <c r="I48" s="368">
        <f>-'Table 5C1D-NOMMA'!T49</f>
        <v>0</v>
      </c>
      <c r="J48" s="368"/>
      <c r="K48" s="368">
        <f>-'Table 5C1E-LFNO'!T49</f>
        <v>0</v>
      </c>
      <c r="L48" s="368">
        <f>-'Table 5C1F-Lake Charles Charter'!T49</f>
        <v>0</v>
      </c>
      <c r="M48" s="368">
        <f>-'Table 5C1G-JS Clark Academy'!T49</f>
        <v>0</v>
      </c>
      <c r="N48" s="368">
        <f>-'Table 5C1H-Southwest LA Charter'!T49</f>
        <v>0</v>
      </c>
      <c r="O48" s="368">
        <f>-'Table 5C2 - LA Virtual Admy'!U46</f>
        <v>-6283</v>
      </c>
      <c r="P48" s="368">
        <f>-'Table 5C3 - LA Connections EBR'!U46</f>
        <v>-2513</v>
      </c>
      <c r="Q48" s="368">
        <f>-'Table 5D1 - New Vision'!S49</f>
        <v>0</v>
      </c>
      <c r="R48" s="368">
        <f>-'Table 5D2 - Glencoe'!S49</f>
        <v>0</v>
      </c>
      <c r="S48" s="368">
        <f>-'Table 5D3 - International'!S49</f>
        <v>0</v>
      </c>
      <c r="T48" s="368">
        <f>-'Table 5D4 - Avoyelles'!S49</f>
        <v>0</v>
      </c>
      <c r="U48" s="368">
        <f>-'Table 5D5 - Delhi'!S49</f>
        <v>0</v>
      </c>
      <c r="V48" s="368">
        <f>-'Table 5D6 - Milestone'!S49</f>
        <v>0</v>
      </c>
      <c r="W48" s="368">
        <f>-'Table 5D7 - Max'!S49</f>
        <v>0</v>
      </c>
      <c r="X48" s="368">
        <f>-'Table 5D8 - Belle Chasse'!W49</f>
        <v>0</v>
      </c>
      <c r="Y48" s="368">
        <f>-'Table 5E_OJJ'!S49</f>
        <v>-62</v>
      </c>
      <c r="Z48" s="368">
        <f>-'Table 5A2 LSMSA'!L49</f>
        <v>-412</v>
      </c>
      <c r="AA48" s="368">
        <f>-'Table 5A3 NOCCA'!L49</f>
        <v>0</v>
      </c>
      <c r="AB48" s="368">
        <f>-'Table 5A4_LSDVI'!L49</f>
        <v>-280</v>
      </c>
      <c r="AC48" s="368">
        <f>-'Table 5A5_SSD'!L49</f>
        <v>0</v>
      </c>
      <c r="AD48" s="368"/>
      <c r="AE48" s="764">
        <f t="shared" si="44"/>
        <v>2026382</v>
      </c>
      <c r="AF48" s="368"/>
      <c r="AG48" s="368"/>
      <c r="AH48" s="368"/>
      <c r="AI48" s="368">
        <f>'Table 5C1A-Madison Prep'!P49</f>
        <v>0</v>
      </c>
      <c r="AJ48" s="368">
        <f>'Table 5C1B-DArbonne'!P49</f>
        <v>0</v>
      </c>
      <c r="AK48" s="368">
        <f>'Table 5C1C-Intl_VIBE'!P49</f>
        <v>0</v>
      </c>
      <c r="AL48" s="368">
        <f>'Table 5C1D-NOMMA'!P49</f>
        <v>0</v>
      </c>
      <c r="AM48" s="368">
        <f>'Table 5C1E-LFNO'!P49</f>
        <v>0</v>
      </c>
      <c r="AN48" s="368">
        <f>'Table 5C1F-Lake Charles Charter'!P49</f>
        <v>0</v>
      </c>
      <c r="AO48" s="368">
        <f>'Table 5C1G-JS Clark Academy'!P49</f>
        <v>0</v>
      </c>
      <c r="AP48" s="368">
        <f>'Table 5C1H-Southwest LA Charter'!P49</f>
        <v>0</v>
      </c>
      <c r="AQ48" s="368">
        <f>'Table 5C2 - LA Virtual Admy'!Q46</f>
        <v>-189</v>
      </c>
      <c r="AR48" s="368">
        <f>'Table 5C3 - LA Connections EBR'!Q46</f>
        <v>-76</v>
      </c>
      <c r="AS48" s="368">
        <f>'Table 5D1 - New Vision'!O49</f>
        <v>0</v>
      </c>
      <c r="AT48" s="368">
        <f>'Table 5D2 - Glencoe'!O49</f>
        <v>0</v>
      </c>
      <c r="AU48" s="368">
        <f>'Table 5D3 - International'!O49</f>
        <v>0</v>
      </c>
      <c r="AV48" s="368">
        <f>'Table 5D4 - Avoyelles'!O49</f>
        <v>0</v>
      </c>
      <c r="AW48" s="368">
        <f>'Table 5D5 - Delhi'!O49</f>
        <v>0</v>
      </c>
      <c r="AX48" s="368">
        <f>'Table 5D6 - Milestone'!O49</f>
        <v>0</v>
      </c>
      <c r="AY48" s="368">
        <f>'Table 5D7 - Max'!O49</f>
        <v>0</v>
      </c>
      <c r="AZ48" s="368">
        <f>'Table 5D8 - Belle Chasse'!S49</f>
        <v>0</v>
      </c>
      <c r="BA48" s="764">
        <f t="shared" si="45"/>
        <v>2026117</v>
      </c>
      <c r="BB48" s="47"/>
      <c r="BH48"/>
      <c r="BQ48"/>
    </row>
    <row r="49" spans="1:69">
      <c r="A49" s="101">
        <v>44</v>
      </c>
      <c r="B49" s="311" t="s">
        <v>145</v>
      </c>
      <c r="C49" s="320">
        <f>'Table 2_State Distrib and Adjs'!AD50</f>
        <v>2326276</v>
      </c>
      <c r="D49" s="368"/>
      <c r="E49" s="368"/>
      <c r="F49" s="368">
        <f>-'Table 5C1A-Madison Prep'!T50</f>
        <v>0</v>
      </c>
      <c r="G49" s="368">
        <f>-'Table 5C1B-DArbonne'!T50</f>
        <v>0</v>
      </c>
      <c r="H49" s="368">
        <f>-'Table 5C1C-Intl_VIBE'!T50</f>
        <v>-346.29874999999998</v>
      </c>
      <c r="I49" s="368">
        <f>-'Table 5C1D-NOMMA'!T50</f>
        <v>0</v>
      </c>
      <c r="J49" s="368"/>
      <c r="K49" s="368">
        <f>-'Table 5C1E-LFNO'!T50</f>
        <v>0</v>
      </c>
      <c r="L49" s="368">
        <f>-'Table 5C1F-Lake Charles Charter'!T50</f>
        <v>0</v>
      </c>
      <c r="M49" s="368">
        <f>-'Table 5C1G-JS Clark Academy'!T50</f>
        <v>0</v>
      </c>
      <c r="N49" s="368">
        <f>-'Table 5C1H-Southwest LA Charter'!T50</f>
        <v>0</v>
      </c>
      <c r="O49" s="368">
        <f>-'Table 5C2 - LA Virtual Admy'!U47</f>
        <v>-1744</v>
      </c>
      <c r="P49" s="368">
        <f>-'Table 5C3 - LA Connections EBR'!U47</f>
        <v>-1395</v>
      </c>
      <c r="Q49" s="368">
        <f>-'Table 5D1 - New Vision'!S50</f>
        <v>0</v>
      </c>
      <c r="R49" s="368">
        <f>-'Table 5D2 - Glencoe'!S50</f>
        <v>0</v>
      </c>
      <c r="S49" s="368">
        <f>-'Table 5D3 - International'!S50</f>
        <v>-4156</v>
      </c>
      <c r="T49" s="368">
        <f>-'Table 5D4 - Avoyelles'!S50</f>
        <v>0</v>
      </c>
      <c r="U49" s="368">
        <f>-'Table 5D5 - Delhi'!S50</f>
        <v>0</v>
      </c>
      <c r="V49" s="368">
        <f>-'Table 5D6 - Milestone'!S50</f>
        <v>-387</v>
      </c>
      <c r="W49" s="368">
        <f>-'Table 5D7 - Max'!S50</f>
        <v>0</v>
      </c>
      <c r="X49" s="368">
        <f>-'Table 5D8 - Belle Chasse'!W50</f>
        <v>0</v>
      </c>
      <c r="Y49" s="368">
        <f>-'Table 5E_OJJ'!S50</f>
        <v>-261</v>
      </c>
      <c r="Z49" s="368">
        <f>-'Table 5A2 LSMSA'!L50</f>
        <v>-483</v>
      </c>
      <c r="AA49" s="368">
        <f>-'Table 5A3 NOCCA'!L50</f>
        <v>-1448</v>
      </c>
      <c r="AB49" s="368">
        <f>-'Table 5A4_LSDVI'!L50</f>
        <v>-1639</v>
      </c>
      <c r="AC49" s="368">
        <f>-'Table 5A5_SSD'!L50</f>
        <v>-655</v>
      </c>
      <c r="AD49" s="368"/>
      <c r="AE49" s="764">
        <f t="shared" si="44"/>
        <v>2313761.7012499999</v>
      </c>
      <c r="AF49" s="368"/>
      <c r="AG49" s="368"/>
      <c r="AH49" s="368"/>
      <c r="AI49" s="368">
        <f>'Table 5C1A-Madison Prep'!P50</f>
        <v>0</v>
      </c>
      <c r="AJ49" s="368">
        <f>'Table 5C1B-DArbonne'!P50</f>
        <v>0</v>
      </c>
      <c r="AK49" s="368">
        <f>'Table 5C1C-Intl_VIBE'!P50</f>
        <v>-10.415000000000001</v>
      </c>
      <c r="AL49" s="368">
        <f>'Table 5C1D-NOMMA'!P50</f>
        <v>0</v>
      </c>
      <c r="AM49" s="368">
        <f>'Table 5C1E-LFNO'!P50</f>
        <v>0</v>
      </c>
      <c r="AN49" s="368">
        <f>'Table 5C1F-Lake Charles Charter'!P50</f>
        <v>0</v>
      </c>
      <c r="AO49" s="368">
        <f>'Table 5C1G-JS Clark Academy'!P50</f>
        <v>0</v>
      </c>
      <c r="AP49" s="368">
        <f>'Table 5C1H-Southwest LA Charter'!P50</f>
        <v>0</v>
      </c>
      <c r="AQ49" s="368">
        <f>'Table 5C2 - LA Virtual Admy'!Q47</f>
        <v>-52</v>
      </c>
      <c r="AR49" s="368">
        <f>'Table 5C3 - LA Connections EBR'!Q47</f>
        <v>-42</v>
      </c>
      <c r="AS49" s="368">
        <f>'Table 5D1 - New Vision'!O50</f>
        <v>0</v>
      </c>
      <c r="AT49" s="368">
        <f>'Table 5D2 - Glencoe'!O50</f>
        <v>0</v>
      </c>
      <c r="AU49" s="368">
        <f>'Table 5D3 - International'!O50</f>
        <v>-124.98</v>
      </c>
      <c r="AV49" s="368">
        <f>'Table 5D4 - Avoyelles'!O50</f>
        <v>0</v>
      </c>
      <c r="AW49" s="368">
        <f>'Table 5D5 - Delhi'!O50</f>
        <v>0</v>
      </c>
      <c r="AX49" s="368">
        <f>'Table 5D6 - Milestone'!O50</f>
        <v>-11.6525</v>
      </c>
      <c r="AY49" s="368">
        <f>'Table 5D7 - Max'!O50</f>
        <v>0</v>
      </c>
      <c r="AZ49" s="368">
        <f>'Table 5D8 - Belle Chasse'!S50</f>
        <v>0</v>
      </c>
      <c r="BA49" s="764">
        <f t="shared" si="45"/>
        <v>2313520.6537500001</v>
      </c>
      <c r="BB49" s="47"/>
      <c r="BH49"/>
      <c r="BQ49"/>
    </row>
    <row r="50" spans="1:69">
      <c r="A50" s="102">
        <v>45</v>
      </c>
      <c r="B50" s="312" t="s">
        <v>146</v>
      </c>
      <c r="C50" s="329">
        <f>'Table 2_State Distrib and Adjs'!AD51</f>
        <v>2481979</v>
      </c>
      <c r="D50" s="369"/>
      <c r="E50" s="369"/>
      <c r="F50" s="369">
        <f>-'Table 5C1A-Madison Prep'!T51</f>
        <v>0</v>
      </c>
      <c r="G50" s="369">
        <f>-'Table 5C1B-DArbonne'!T51</f>
        <v>0</v>
      </c>
      <c r="H50" s="369">
        <f>-'Table 5C1C-Intl_VIBE'!T51</f>
        <v>-1716.365</v>
      </c>
      <c r="I50" s="369">
        <f>-'Table 5C1D-NOMMA'!T51</f>
        <v>-968.40625</v>
      </c>
      <c r="J50" s="369"/>
      <c r="K50" s="369">
        <f>-'Table 5C1E-LFNO'!T51</f>
        <v>0</v>
      </c>
      <c r="L50" s="369">
        <f>-'Table 5C1F-Lake Charles Charter'!T51</f>
        <v>0</v>
      </c>
      <c r="M50" s="369">
        <f>-'Table 5C1G-JS Clark Academy'!T51</f>
        <v>0</v>
      </c>
      <c r="N50" s="369">
        <f>-'Table 5C1H-Southwest LA Charter'!T51</f>
        <v>0</v>
      </c>
      <c r="O50" s="369">
        <f>-'Table 5C2 - LA Virtual Admy'!U48</f>
        <v>-1743</v>
      </c>
      <c r="P50" s="369">
        <f>-'Table 5C3 - LA Connections EBR'!U48</f>
        <v>-5229</v>
      </c>
      <c r="Q50" s="369">
        <f>-'Table 5D1 - New Vision'!S51</f>
        <v>0</v>
      </c>
      <c r="R50" s="369">
        <f>-'Table 5D2 - Glencoe'!S51</f>
        <v>0</v>
      </c>
      <c r="S50" s="369">
        <f>-'Table 5D3 - International'!S51</f>
        <v>-4291</v>
      </c>
      <c r="T50" s="369">
        <f>-'Table 5D4 - Avoyelles'!S51</f>
        <v>0</v>
      </c>
      <c r="U50" s="369">
        <f>-'Table 5D5 - Delhi'!S51</f>
        <v>0</v>
      </c>
      <c r="V50" s="369">
        <f>-'Table 5D6 - Milestone'!S51</f>
        <v>0</v>
      </c>
      <c r="W50" s="369">
        <f>-'Table 5D7 - Max'!S51</f>
        <v>-3874</v>
      </c>
      <c r="X50" s="369">
        <f>-'Table 5D8 - Belle Chasse'!W51</f>
        <v>-968</v>
      </c>
      <c r="Y50" s="369">
        <f>-'Table 5E_OJJ'!S51</f>
        <v>-1037</v>
      </c>
      <c r="Z50" s="369">
        <f>-'Table 5A2 LSMSA'!L51</f>
        <v>-1631</v>
      </c>
      <c r="AA50" s="369">
        <f>-'Table 5A3 NOCCA'!L51</f>
        <v>-1903</v>
      </c>
      <c r="AB50" s="369">
        <f>-'Table 5A4_LSDVI'!L51</f>
        <v>0</v>
      </c>
      <c r="AC50" s="369">
        <f>-'Table 5A5_SSD'!L51</f>
        <v>-1669</v>
      </c>
      <c r="AD50" s="369"/>
      <c r="AE50" s="765">
        <f t="shared" si="44"/>
        <v>2456949.2287499998</v>
      </c>
      <c r="AF50" s="369"/>
      <c r="AG50" s="369"/>
      <c r="AH50" s="369"/>
      <c r="AI50" s="369">
        <f>'Table 5C1A-Madison Prep'!P51</f>
        <v>0</v>
      </c>
      <c r="AJ50" s="369">
        <f>'Table 5C1B-DArbonne'!P51</f>
        <v>0</v>
      </c>
      <c r="AK50" s="1373">
        <f>'Table 5C1C-Intl_VIBE'!P51</f>
        <v>-51.620000000000005</v>
      </c>
      <c r="AL50" s="369">
        <f>'Table 5C1D-NOMMA'!P51</f>
        <v>-29.125</v>
      </c>
      <c r="AM50" s="369">
        <f>'Table 5C1E-LFNO'!P51</f>
        <v>0</v>
      </c>
      <c r="AN50" s="369">
        <f>'Table 5C1F-Lake Charles Charter'!P51</f>
        <v>0</v>
      </c>
      <c r="AO50" s="369">
        <f>'Table 5C1G-JS Clark Academy'!P51</f>
        <v>0</v>
      </c>
      <c r="AP50" s="369">
        <f>'Table 5C1H-Southwest LA Charter'!P51</f>
        <v>0</v>
      </c>
      <c r="AQ50" s="369">
        <f>'Table 5C2 - LA Virtual Admy'!Q48</f>
        <v>-52</v>
      </c>
      <c r="AR50" s="369">
        <f>'Table 5C3 - LA Connections EBR'!Q48</f>
        <v>-157</v>
      </c>
      <c r="AS50" s="369">
        <f>'Table 5D1 - New Vision'!O51</f>
        <v>0</v>
      </c>
      <c r="AT50" s="369">
        <f>'Table 5D2 - Glencoe'!O51</f>
        <v>0</v>
      </c>
      <c r="AU50" s="369">
        <f>'Table 5D3 - International'!O51</f>
        <v>-129.05000000000001</v>
      </c>
      <c r="AV50" s="369">
        <f>'Table 5D4 - Avoyelles'!O51</f>
        <v>0</v>
      </c>
      <c r="AW50" s="369">
        <f>'Table 5D5 - Delhi'!O51</f>
        <v>0</v>
      </c>
      <c r="AX50" s="369">
        <f>'Table 5D6 - Milestone'!O51</f>
        <v>0</v>
      </c>
      <c r="AY50" s="369">
        <f>'Table 5D7 - Max'!O51</f>
        <v>-116.5</v>
      </c>
      <c r="AZ50" s="369">
        <f>'Table 5D8 - Belle Chasse'!S51</f>
        <v>-29.125</v>
      </c>
      <c r="BA50" s="765">
        <f t="shared" si="45"/>
        <v>2456384.8087499999</v>
      </c>
      <c r="BB50" s="47"/>
      <c r="BH50"/>
      <c r="BQ50"/>
    </row>
    <row r="51" spans="1:69">
      <c r="A51" s="101">
        <v>46</v>
      </c>
      <c r="B51" s="311" t="s">
        <v>147</v>
      </c>
      <c r="C51" s="320">
        <f>'Table 2_State Distrib and Adjs'!AD52</f>
        <v>405473</v>
      </c>
      <c r="D51" s="368">
        <f>-'Table 5B2_RSD_LA'!X35</f>
        <v>-27001.75</v>
      </c>
      <c r="E51" s="368"/>
      <c r="F51" s="368">
        <f>-'Table 5C1A-Madison Prep'!T52</f>
        <v>0</v>
      </c>
      <c r="G51" s="368">
        <f>-'Table 5C1B-DArbonne'!T52</f>
        <v>0</v>
      </c>
      <c r="H51" s="368">
        <f>-'Table 5C1C-Intl_VIBE'!T52</f>
        <v>0</v>
      </c>
      <c r="I51" s="368">
        <f>-'Table 5C1D-NOMMA'!T52</f>
        <v>0</v>
      </c>
      <c r="J51" s="368"/>
      <c r="K51" s="368">
        <f>-'Table 5C1E-LFNO'!T52</f>
        <v>0</v>
      </c>
      <c r="L51" s="368">
        <f>-'Table 5C1F-Lake Charles Charter'!T52</f>
        <v>0</v>
      </c>
      <c r="M51" s="368">
        <f>-'Table 5C1G-JS Clark Academy'!T52</f>
        <v>0</v>
      </c>
      <c r="N51" s="368">
        <f>-'Table 5C1H-Southwest LA Charter'!T52</f>
        <v>0</v>
      </c>
      <c r="O51" s="368">
        <f>-'Table 5C2 - LA Virtual Admy'!U49</f>
        <v>-937</v>
      </c>
      <c r="P51" s="368">
        <f>-'Table 5C3 - LA Connections EBR'!U49</f>
        <v>0</v>
      </c>
      <c r="Q51" s="368">
        <f>-'Table 5D1 - New Vision'!S52</f>
        <v>0</v>
      </c>
      <c r="R51" s="368">
        <f>-'Table 5D2 - Glencoe'!S52</f>
        <v>0</v>
      </c>
      <c r="S51" s="368">
        <f>-'Table 5D3 - International'!S52</f>
        <v>0</v>
      </c>
      <c r="T51" s="368">
        <f>-'Table 5D4 - Avoyelles'!S52</f>
        <v>0</v>
      </c>
      <c r="U51" s="368">
        <f>-'Table 5D5 - Delhi'!S52</f>
        <v>0</v>
      </c>
      <c r="V51" s="368">
        <f>-'Table 5D6 - Milestone'!S52</f>
        <v>0</v>
      </c>
      <c r="W51" s="368">
        <f>-'Table 5D7 - Max'!S52</f>
        <v>0</v>
      </c>
      <c r="X51" s="368">
        <f>-'Table 5D8 - Belle Chasse'!W52</f>
        <v>0</v>
      </c>
      <c r="Y51" s="368">
        <f>-'Table 5E_OJJ'!S52</f>
        <v>0</v>
      </c>
      <c r="Z51" s="368">
        <f>-'Table 5A2 LSMSA'!L52</f>
        <v>0</v>
      </c>
      <c r="AA51" s="368">
        <f>-'Table 5A3 NOCCA'!L52</f>
        <v>0</v>
      </c>
      <c r="AB51" s="368">
        <f>-'Table 5A4_LSDVI'!L52</f>
        <v>0</v>
      </c>
      <c r="AC51" s="368">
        <f>-'Table 5A5_SSD'!L52</f>
        <v>0</v>
      </c>
      <c r="AD51" s="368"/>
      <c r="AE51" s="764">
        <f t="shared" si="44"/>
        <v>377534.25</v>
      </c>
      <c r="AF51" s="368"/>
      <c r="AG51" s="368"/>
      <c r="AH51" s="368"/>
      <c r="AI51" s="368">
        <f>'Table 5C1A-Madison Prep'!P52</f>
        <v>0</v>
      </c>
      <c r="AJ51" s="368">
        <f>'Table 5C1B-DArbonne'!P52</f>
        <v>0</v>
      </c>
      <c r="AK51" s="368">
        <f>'Table 5C1C-Intl_VIBE'!P52</f>
        <v>0</v>
      </c>
      <c r="AL51" s="368">
        <f>'Table 5C1D-NOMMA'!P52</f>
        <v>0</v>
      </c>
      <c r="AM51" s="368">
        <f>'Table 5C1E-LFNO'!P52</f>
        <v>0</v>
      </c>
      <c r="AN51" s="368">
        <f>'Table 5C1F-Lake Charles Charter'!P52</f>
        <v>0</v>
      </c>
      <c r="AO51" s="368">
        <f>'Table 5C1G-JS Clark Academy'!P52</f>
        <v>0</v>
      </c>
      <c r="AP51" s="368">
        <f>'Table 5C1H-Southwest LA Charter'!P52</f>
        <v>0</v>
      </c>
      <c r="AQ51" s="368">
        <f>'Table 5C2 - LA Virtual Admy'!Q49</f>
        <v>-28</v>
      </c>
      <c r="AR51" s="368">
        <f>'Table 5C3 - LA Connections EBR'!Q49</f>
        <v>0</v>
      </c>
      <c r="AS51" s="368">
        <f>'Table 5D1 - New Vision'!O52</f>
        <v>0</v>
      </c>
      <c r="AT51" s="368">
        <f>'Table 5D2 - Glencoe'!O52</f>
        <v>0</v>
      </c>
      <c r="AU51" s="368">
        <f>'Table 5D3 - International'!O52</f>
        <v>0</v>
      </c>
      <c r="AV51" s="368">
        <f>'Table 5D4 - Avoyelles'!O52</f>
        <v>0</v>
      </c>
      <c r="AW51" s="368">
        <f>'Table 5D5 - Delhi'!O52</f>
        <v>0</v>
      </c>
      <c r="AX51" s="368">
        <f>'Table 5D6 - Milestone'!O52</f>
        <v>0</v>
      </c>
      <c r="AY51" s="368">
        <f>'Table 5D7 - Max'!O52</f>
        <v>0</v>
      </c>
      <c r="AZ51" s="368">
        <f>'Table 5D8 - Belle Chasse'!S52</f>
        <v>0</v>
      </c>
      <c r="BA51" s="764">
        <f t="shared" si="45"/>
        <v>377506.25</v>
      </c>
      <c r="BB51" s="47"/>
      <c r="BH51"/>
      <c r="BQ51"/>
    </row>
    <row r="52" spans="1:69">
      <c r="A52" s="101">
        <v>47</v>
      </c>
      <c r="B52" s="311" t="s">
        <v>148</v>
      </c>
      <c r="C52" s="320">
        <f>'Table 2_State Distrib and Adjs'!AD53</f>
        <v>1240615</v>
      </c>
      <c r="D52" s="368"/>
      <c r="E52" s="368"/>
      <c r="F52" s="368">
        <f>-'Table 5C1A-Madison Prep'!T53</f>
        <v>0</v>
      </c>
      <c r="G52" s="368">
        <f>-'Table 5C1B-DArbonne'!T53</f>
        <v>0</v>
      </c>
      <c r="H52" s="368">
        <f>-'Table 5C1C-Intl_VIBE'!T53</f>
        <v>0</v>
      </c>
      <c r="I52" s="368">
        <f>-'Table 5C1D-NOMMA'!T53</f>
        <v>0</v>
      </c>
      <c r="J52" s="368"/>
      <c r="K52" s="368">
        <f>-'Table 5C1E-LFNO'!T53</f>
        <v>0</v>
      </c>
      <c r="L52" s="368">
        <f>-'Table 5C1F-Lake Charles Charter'!T53</f>
        <v>0</v>
      </c>
      <c r="M52" s="368">
        <f>-'Table 5C1G-JS Clark Academy'!T53</f>
        <v>0</v>
      </c>
      <c r="N52" s="368">
        <f>-'Table 5C1H-Southwest LA Charter'!T53</f>
        <v>0</v>
      </c>
      <c r="O52" s="368">
        <f>-'Table 5C2 - LA Virtual Admy'!U50</f>
        <v>-2232</v>
      </c>
      <c r="P52" s="368">
        <f>-'Table 5C3 - LA Connections EBR'!U50</f>
        <v>0</v>
      </c>
      <c r="Q52" s="368">
        <f>-'Table 5D1 - New Vision'!S53</f>
        <v>0</v>
      </c>
      <c r="R52" s="368">
        <f>-'Table 5D2 - Glencoe'!S53</f>
        <v>0</v>
      </c>
      <c r="S52" s="368">
        <f>-'Table 5D3 - International'!S53</f>
        <v>0</v>
      </c>
      <c r="T52" s="368">
        <f>-'Table 5D4 - Avoyelles'!S53</f>
        <v>0</v>
      </c>
      <c r="U52" s="368">
        <f>-'Table 5D5 - Delhi'!S53</f>
        <v>0</v>
      </c>
      <c r="V52" s="368">
        <f>-'Table 5D6 - Milestone'!S53</f>
        <v>0</v>
      </c>
      <c r="W52" s="368">
        <f>-'Table 5D7 - Max'!S53</f>
        <v>-3307</v>
      </c>
      <c r="X52" s="368">
        <f>-'Table 5D8 - Belle Chasse'!W53</f>
        <v>0</v>
      </c>
      <c r="Y52" s="368">
        <f>-'Table 5E_OJJ'!S53</f>
        <v>0</v>
      </c>
      <c r="Z52" s="368">
        <f>-'Table 5A2 LSMSA'!L53</f>
        <v>-693</v>
      </c>
      <c r="AA52" s="368">
        <f>-'Table 5A3 NOCCA'!L53</f>
        <v>0</v>
      </c>
      <c r="AB52" s="368">
        <f>-'Table 5A4_LSDVI'!L53</f>
        <v>-431</v>
      </c>
      <c r="AC52" s="368">
        <f>-'Table 5A5_SSD'!L53</f>
        <v>0</v>
      </c>
      <c r="AD52" s="368"/>
      <c r="AE52" s="764">
        <f t="shared" si="44"/>
        <v>1233952</v>
      </c>
      <c r="AF52" s="368"/>
      <c r="AG52" s="368"/>
      <c r="AH52" s="368"/>
      <c r="AI52" s="368">
        <f>'Table 5C1A-Madison Prep'!P53</f>
        <v>0</v>
      </c>
      <c r="AJ52" s="368">
        <f>'Table 5C1B-DArbonne'!P53</f>
        <v>0</v>
      </c>
      <c r="AK52" s="368">
        <f>'Table 5C1C-Intl_VIBE'!P53</f>
        <v>0</v>
      </c>
      <c r="AL52" s="368">
        <f>'Table 5C1D-NOMMA'!P53</f>
        <v>0</v>
      </c>
      <c r="AM52" s="368">
        <f>'Table 5C1E-LFNO'!P53</f>
        <v>0</v>
      </c>
      <c r="AN52" s="368">
        <f>'Table 5C1F-Lake Charles Charter'!P53</f>
        <v>0</v>
      </c>
      <c r="AO52" s="368">
        <f>'Table 5C1G-JS Clark Academy'!P53</f>
        <v>0</v>
      </c>
      <c r="AP52" s="368">
        <f>'Table 5C1H-Southwest LA Charter'!P53</f>
        <v>0</v>
      </c>
      <c r="AQ52" s="368">
        <f>'Table 5C2 - LA Virtual Admy'!Q50</f>
        <v>-67</v>
      </c>
      <c r="AR52" s="368">
        <f>'Table 5C3 - LA Connections EBR'!Q50</f>
        <v>0</v>
      </c>
      <c r="AS52" s="368">
        <f>'Table 5D1 - New Vision'!O53</f>
        <v>0</v>
      </c>
      <c r="AT52" s="368">
        <f>'Table 5D2 - Glencoe'!O53</f>
        <v>0</v>
      </c>
      <c r="AU52" s="368">
        <f>'Table 5D3 - International'!O53</f>
        <v>0</v>
      </c>
      <c r="AV52" s="368">
        <f>'Table 5D4 - Avoyelles'!O53</f>
        <v>0</v>
      </c>
      <c r="AW52" s="368">
        <f>'Table 5D5 - Delhi'!O53</f>
        <v>0</v>
      </c>
      <c r="AX52" s="368">
        <f>'Table 5D6 - Milestone'!O53</f>
        <v>0</v>
      </c>
      <c r="AY52" s="368">
        <f>'Table 5D7 - Max'!O53</f>
        <v>-99.47</v>
      </c>
      <c r="AZ52" s="368">
        <f>'Table 5D8 - Belle Chasse'!S53</f>
        <v>0</v>
      </c>
      <c r="BA52" s="764">
        <f t="shared" si="45"/>
        <v>1233785.53</v>
      </c>
      <c r="BB52" s="47"/>
      <c r="BH52"/>
      <c r="BQ52"/>
    </row>
    <row r="53" spans="1:69">
      <c r="A53" s="101">
        <v>48</v>
      </c>
      <c r="B53" s="311" t="s">
        <v>222</v>
      </c>
      <c r="C53" s="320">
        <f>'Table 2_State Distrib and Adjs'!AD54</f>
        <v>2649717</v>
      </c>
      <c r="D53" s="368"/>
      <c r="E53" s="368"/>
      <c r="F53" s="368">
        <f>-'Table 5C1A-Madison Prep'!T54</f>
        <v>0</v>
      </c>
      <c r="G53" s="368">
        <f>-'Table 5C1B-DArbonne'!T54</f>
        <v>0</v>
      </c>
      <c r="H53" s="368">
        <f>-'Table 5C1C-Intl_VIBE'!T54</f>
        <v>-714.875</v>
      </c>
      <c r="I53" s="368">
        <f>-'Table 5C1D-NOMMA'!T54</f>
        <v>0</v>
      </c>
      <c r="J53" s="368"/>
      <c r="K53" s="368">
        <f>-'Table 5C1E-LFNO'!T54</f>
        <v>0</v>
      </c>
      <c r="L53" s="368">
        <f>-'Table 5C1F-Lake Charles Charter'!T54</f>
        <v>0</v>
      </c>
      <c r="M53" s="368">
        <f>-'Table 5C1G-JS Clark Academy'!T54</f>
        <v>0</v>
      </c>
      <c r="N53" s="368">
        <f>-'Table 5C1H-Southwest LA Charter'!T54</f>
        <v>0</v>
      </c>
      <c r="O53" s="368">
        <f>-'Table 5C2 - LA Virtual Admy'!U51</f>
        <v>-5179</v>
      </c>
      <c r="P53" s="368">
        <f>-'Table 5C3 - LA Connections EBR'!U51</f>
        <v>-1195</v>
      </c>
      <c r="Q53" s="368">
        <f>-'Table 5D1 - New Vision'!S54</f>
        <v>0</v>
      </c>
      <c r="R53" s="368">
        <f>-'Table 5D2 - Glencoe'!S54</f>
        <v>0</v>
      </c>
      <c r="S53" s="368">
        <f>-'Table 5D3 - International'!S54</f>
        <v>-2502</v>
      </c>
      <c r="T53" s="368">
        <f>-'Table 5D4 - Avoyelles'!S54</f>
        <v>0</v>
      </c>
      <c r="U53" s="368">
        <f>-'Table 5D5 - Delhi'!S54</f>
        <v>0</v>
      </c>
      <c r="V53" s="368">
        <f>-'Table 5D6 - Milestone'!S54</f>
        <v>-885</v>
      </c>
      <c r="W53" s="368">
        <f>-'Table 5D7 - Max'!S54</f>
        <v>-443</v>
      </c>
      <c r="X53" s="368">
        <f>-'Table 5D8 - Belle Chasse'!W54</f>
        <v>0</v>
      </c>
      <c r="Y53" s="368">
        <f>-'Table 5E_OJJ'!S54</f>
        <v>0</v>
      </c>
      <c r="Z53" s="368">
        <f>-'Table 5A2 LSMSA'!L54</f>
        <v>-479</v>
      </c>
      <c r="AA53" s="368">
        <f>-'Table 5A3 NOCCA'!L54</f>
        <v>0</v>
      </c>
      <c r="AB53" s="368">
        <f>-'Table 5A4_LSDVI'!L54</f>
        <v>-1009</v>
      </c>
      <c r="AC53" s="368">
        <f>-'Table 5A5_SSD'!L54</f>
        <v>0</v>
      </c>
      <c r="AD53" s="368"/>
      <c r="AE53" s="764">
        <f t="shared" si="44"/>
        <v>2637310.125</v>
      </c>
      <c r="AF53" s="368"/>
      <c r="AG53" s="368"/>
      <c r="AH53" s="368"/>
      <c r="AI53" s="368">
        <f>'Table 5C1A-Madison Prep'!P54</f>
        <v>0</v>
      </c>
      <c r="AJ53" s="368">
        <f>'Table 5C1B-DArbonne'!P54</f>
        <v>0</v>
      </c>
      <c r="AK53" s="368">
        <f>'Table 5C1C-Intl_VIBE'!P54</f>
        <v>-21.5</v>
      </c>
      <c r="AL53" s="368">
        <f>'Table 5C1D-NOMMA'!P54</f>
        <v>0</v>
      </c>
      <c r="AM53" s="368">
        <f>'Table 5C1E-LFNO'!P54</f>
        <v>0</v>
      </c>
      <c r="AN53" s="368">
        <f>'Table 5C1F-Lake Charles Charter'!P54</f>
        <v>0</v>
      </c>
      <c r="AO53" s="368">
        <f>'Table 5C1G-JS Clark Academy'!P54</f>
        <v>0</v>
      </c>
      <c r="AP53" s="368">
        <f>'Table 5C1H-Southwest LA Charter'!P54</f>
        <v>0</v>
      </c>
      <c r="AQ53" s="368">
        <f>'Table 5C2 - LA Virtual Admy'!Q51</f>
        <v>-156</v>
      </c>
      <c r="AR53" s="368">
        <f>'Table 5C3 - LA Connections EBR'!Q51</f>
        <v>-36</v>
      </c>
      <c r="AS53" s="368">
        <f>'Table 5D1 - New Vision'!O54</f>
        <v>0</v>
      </c>
      <c r="AT53" s="368">
        <f>'Table 5D2 - Glencoe'!O54</f>
        <v>0</v>
      </c>
      <c r="AU53" s="368">
        <f>'Table 5D3 - International'!O54</f>
        <v>-75.25</v>
      </c>
      <c r="AV53" s="368">
        <f>'Table 5D4 - Avoyelles'!O54</f>
        <v>0</v>
      </c>
      <c r="AW53" s="368">
        <f>'Table 5D5 - Delhi'!O54</f>
        <v>0</v>
      </c>
      <c r="AX53" s="368">
        <f>'Table 5D6 - Milestone'!O54</f>
        <v>-26.625</v>
      </c>
      <c r="AY53" s="368">
        <f>'Table 5D7 - Max'!O54</f>
        <v>-13.3125</v>
      </c>
      <c r="AZ53" s="368">
        <f>'Table 5D8 - Belle Chasse'!S54</f>
        <v>0</v>
      </c>
      <c r="BA53" s="764">
        <f t="shared" si="45"/>
        <v>2636981.4375</v>
      </c>
      <c r="BB53" s="47"/>
      <c r="BH53"/>
      <c r="BQ53"/>
    </row>
    <row r="54" spans="1:69">
      <c r="A54" s="101">
        <v>49</v>
      </c>
      <c r="B54" s="311" t="s">
        <v>149</v>
      </c>
      <c r="C54" s="320">
        <f>'Table 2_State Distrib and Adjs'!AD55</f>
        <v>6453653</v>
      </c>
      <c r="D54" s="368"/>
      <c r="E54" s="368"/>
      <c r="F54" s="368">
        <f>-'Table 5C1A-Madison Prep'!T55</f>
        <v>0</v>
      </c>
      <c r="G54" s="368">
        <f>-'Table 5C1B-DArbonne'!T55</f>
        <v>0</v>
      </c>
      <c r="H54" s="368">
        <f>-'Table 5C1C-Intl_VIBE'!T55</f>
        <v>0</v>
      </c>
      <c r="I54" s="368">
        <f>-'Table 5C1D-NOMMA'!T55</f>
        <v>0</v>
      </c>
      <c r="J54" s="368"/>
      <c r="K54" s="368">
        <f>-'Table 5C1E-LFNO'!T55</f>
        <v>0</v>
      </c>
      <c r="L54" s="368">
        <f>-'Table 5C1F-Lake Charles Charter'!T55</f>
        <v>0</v>
      </c>
      <c r="M54" s="368">
        <f>-'Table 5C1G-JS Clark Academy'!T55</f>
        <v>-34802.775000000001</v>
      </c>
      <c r="N54" s="368">
        <f>-'Table 5C1H-Southwest LA Charter'!T55</f>
        <v>0</v>
      </c>
      <c r="O54" s="368">
        <f>-'Table 5C2 - LA Virtual Admy'!U52</f>
        <v>-8701</v>
      </c>
      <c r="P54" s="368">
        <f>-'Table 5C3 - LA Connections EBR'!U52</f>
        <v>-1740</v>
      </c>
      <c r="Q54" s="368">
        <f>-'Table 5D1 - New Vision'!S55</f>
        <v>0</v>
      </c>
      <c r="R54" s="368">
        <f>-'Table 5D2 - Glencoe'!S55</f>
        <v>0</v>
      </c>
      <c r="S54" s="368">
        <f>-'Table 5D3 - International'!S55</f>
        <v>0</v>
      </c>
      <c r="T54" s="368">
        <f>-'Table 5D4 - Avoyelles'!S55</f>
        <v>-773</v>
      </c>
      <c r="U54" s="368">
        <f>-'Table 5D5 - Delhi'!S55</f>
        <v>0</v>
      </c>
      <c r="V54" s="368">
        <f>-'Table 5D6 - Milestone'!S55</f>
        <v>0</v>
      </c>
      <c r="W54" s="368">
        <f>-'Table 5D7 - Max'!S55</f>
        <v>0</v>
      </c>
      <c r="X54" s="368">
        <f>-'Table 5D8 - Belle Chasse'!W55</f>
        <v>0</v>
      </c>
      <c r="Y54" s="368">
        <f>-'Table 5E_OJJ'!S55</f>
        <v>-999</v>
      </c>
      <c r="Z54" s="368">
        <f>-'Table 5A2 LSMSA'!L55</f>
        <v>-201</v>
      </c>
      <c r="AA54" s="368">
        <f>-'Table 5A3 NOCCA'!L55</f>
        <v>0</v>
      </c>
      <c r="AB54" s="368">
        <f>-'Table 5A4_LSDVI'!L55</f>
        <v>-562</v>
      </c>
      <c r="AC54" s="368">
        <f>-'Table 5A5_SSD'!L55</f>
        <v>-375</v>
      </c>
      <c r="AD54" s="368"/>
      <c r="AE54" s="764">
        <f t="shared" si="44"/>
        <v>6405499.2249999996</v>
      </c>
      <c r="AF54" s="368"/>
      <c r="AG54" s="368"/>
      <c r="AH54" s="368"/>
      <c r="AI54" s="368">
        <f>'Table 5C1A-Madison Prep'!P55</f>
        <v>0</v>
      </c>
      <c r="AJ54" s="368">
        <f>'Table 5C1B-DArbonne'!P55</f>
        <v>0</v>
      </c>
      <c r="AK54" s="368">
        <f>'Table 5C1C-Intl_VIBE'!P55</f>
        <v>0</v>
      </c>
      <c r="AL54" s="368">
        <f>'Table 5C1D-NOMMA'!P55</f>
        <v>0</v>
      </c>
      <c r="AM54" s="368">
        <f>'Table 5C1E-LFNO'!P55</f>
        <v>0</v>
      </c>
      <c r="AN54" s="368">
        <f>'Table 5C1F-Lake Charles Charter'!P55</f>
        <v>0</v>
      </c>
      <c r="AO54" s="368">
        <f>'Table 5C1G-JS Clark Academy'!P55</f>
        <v>-1046.7</v>
      </c>
      <c r="AP54" s="368">
        <f>'Table 5C1H-Southwest LA Charter'!P55</f>
        <v>0</v>
      </c>
      <c r="AQ54" s="368">
        <f>'Table 5C2 - LA Virtual Admy'!Q52</f>
        <v>-262</v>
      </c>
      <c r="AR54" s="368">
        <f>'Table 5C3 - LA Connections EBR'!Q52</f>
        <v>-52</v>
      </c>
      <c r="AS54" s="368">
        <f>'Table 5D1 - New Vision'!O55</f>
        <v>0</v>
      </c>
      <c r="AT54" s="368">
        <f>'Table 5D2 - Glencoe'!O55</f>
        <v>0</v>
      </c>
      <c r="AU54" s="368">
        <f>'Table 5D3 - International'!O55</f>
        <v>0</v>
      </c>
      <c r="AV54" s="368">
        <f>'Table 5D4 - Avoyelles'!O55</f>
        <v>-23.26</v>
      </c>
      <c r="AW54" s="368">
        <f>'Table 5D5 - Delhi'!O55</f>
        <v>0</v>
      </c>
      <c r="AX54" s="368">
        <f>'Table 5D6 - Milestone'!O55</f>
        <v>0</v>
      </c>
      <c r="AY54" s="368">
        <f>'Table 5D7 - Max'!O55</f>
        <v>0</v>
      </c>
      <c r="AZ54" s="368">
        <f>'Table 5D8 - Belle Chasse'!S55</f>
        <v>0</v>
      </c>
      <c r="BA54" s="764">
        <f t="shared" si="45"/>
        <v>6404115.2649999997</v>
      </c>
      <c r="BB54" s="47"/>
      <c r="BH54"/>
      <c r="BQ54"/>
    </row>
    <row r="55" spans="1:69">
      <c r="A55" s="102">
        <v>50</v>
      </c>
      <c r="B55" s="312" t="s">
        <v>150</v>
      </c>
      <c r="C55" s="329">
        <f>'Table 2_State Distrib and Adjs'!AD56</f>
        <v>3778869</v>
      </c>
      <c r="D55" s="369"/>
      <c r="E55" s="369"/>
      <c r="F55" s="369">
        <f>-'Table 5C1A-Madison Prep'!T56</f>
        <v>0</v>
      </c>
      <c r="G55" s="369">
        <f>-'Table 5C1B-DArbonne'!T56</f>
        <v>0</v>
      </c>
      <c r="H55" s="369">
        <f>-'Table 5C1C-Intl_VIBE'!T56</f>
        <v>0</v>
      </c>
      <c r="I55" s="369">
        <f>-'Table 5C1D-NOMMA'!T56</f>
        <v>0</v>
      </c>
      <c r="J55" s="369"/>
      <c r="K55" s="369">
        <f>-'Table 5C1E-LFNO'!T56</f>
        <v>0</v>
      </c>
      <c r="L55" s="369">
        <f>-'Table 5C1F-Lake Charles Charter'!T56</f>
        <v>0</v>
      </c>
      <c r="M55" s="369">
        <f>-'Table 5C1G-JS Clark Academy'!T56</f>
        <v>0</v>
      </c>
      <c r="N55" s="369">
        <f>-'Table 5C1H-Southwest LA Charter'!T56</f>
        <v>0</v>
      </c>
      <c r="O55" s="369">
        <f>-'Table 5C2 - LA Virtual Admy'!U53</f>
        <v>-1348</v>
      </c>
      <c r="P55" s="369">
        <f>-'Table 5C3 - LA Connections EBR'!U53</f>
        <v>-2889</v>
      </c>
      <c r="Q55" s="369">
        <f>-'Table 5D1 - New Vision'!S56</f>
        <v>0</v>
      </c>
      <c r="R55" s="369">
        <f>-'Table 5D2 - Glencoe'!S56</f>
        <v>0</v>
      </c>
      <c r="S55" s="369">
        <f>-'Table 5D3 - International'!S56</f>
        <v>0</v>
      </c>
      <c r="T55" s="369">
        <f>-'Table 5D4 - Avoyelles'!S56</f>
        <v>0</v>
      </c>
      <c r="U55" s="369">
        <f>-'Table 5D5 - Delhi'!S56</f>
        <v>0</v>
      </c>
      <c r="V55" s="369">
        <f>-'Table 5D6 - Milestone'!S56</f>
        <v>0</v>
      </c>
      <c r="W55" s="369">
        <f>-'Table 5D7 - Max'!S56</f>
        <v>0</v>
      </c>
      <c r="X55" s="369">
        <f>-'Table 5D8 - Belle Chasse'!W56</f>
        <v>0</v>
      </c>
      <c r="Y55" s="369">
        <f>-'Table 5E_OJJ'!S56</f>
        <v>-947</v>
      </c>
      <c r="Z55" s="369">
        <f>-'Table 5A2 LSMSA'!L56</f>
        <v>-195</v>
      </c>
      <c r="AA55" s="369">
        <f>-'Table 5A3 NOCCA'!L56</f>
        <v>0</v>
      </c>
      <c r="AB55" s="369">
        <f>-'Table 5A4_LSDVI'!L56</f>
        <v>-219</v>
      </c>
      <c r="AC55" s="369">
        <f>-'Table 5A5_SSD'!L56</f>
        <v>0</v>
      </c>
      <c r="AD55" s="369"/>
      <c r="AE55" s="765">
        <f t="shared" si="44"/>
        <v>3773271</v>
      </c>
      <c r="AF55" s="369"/>
      <c r="AG55" s="369"/>
      <c r="AH55" s="369"/>
      <c r="AI55" s="369">
        <f>'Table 5C1A-Madison Prep'!P56</f>
        <v>0</v>
      </c>
      <c r="AJ55" s="369">
        <f>'Table 5C1B-DArbonne'!P56</f>
        <v>0</v>
      </c>
      <c r="AK55" s="369">
        <f>'Table 5C1C-Intl_VIBE'!P56</f>
        <v>0</v>
      </c>
      <c r="AL55" s="369">
        <f>'Table 5C1D-NOMMA'!P56</f>
        <v>0</v>
      </c>
      <c r="AM55" s="369">
        <f>'Table 5C1E-LFNO'!P56</f>
        <v>0</v>
      </c>
      <c r="AN55" s="369">
        <f>'Table 5C1F-Lake Charles Charter'!P56</f>
        <v>0</v>
      </c>
      <c r="AO55" s="369">
        <f>'Table 5C1G-JS Clark Academy'!P56</f>
        <v>0</v>
      </c>
      <c r="AP55" s="369">
        <f>'Table 5C1H-Southwest LA Charter'!P56</f>
        <v>0</v>
      </c>
      <c r="AQ55" s="369">
        <f>'Table 5C2 - LA Virtual Admy'!Q53</f>
        <v>-41</v>
      </c>
      <c r="AR55" s="369">
        <f>'Table 5C3 - LA Connections EBR'!Q53</f>
        <v>-87</v>
      </c>
      <c r="AS55" s="369">
        <f>'Table 5D1 - New Vision'!O56</f>
        <v>0</v>
      </c>
      <c r="AT55" s="369">
        <f>'Table 5D2 - Glencoe'!O56</f>
        <v>0</v>
      </c>
      <c r="AU55" s="369">
        <f>'Table 5D3 - International'!O56</f>
        <v>0</v>
      </c>
      <c r="AV55" s="369">
        <f>'Table 5D4 - Avoyelles'!O56</f>
        <v>0</v>
      </c>
      <c r="AW55" s="369">
        <f>'Table 5D5 - Delhi'!O56</f>
        <v>0</v>
      </c>
      <c r="AX55" s="369">
        <f>'Table 5D6 - Milestone'!O56</f>
        <v>0</v>
      </c>
      <c r="AY55" s="369">
        <f>'Table 5D7 - Max'!O56</f>
        <v>0</v>
      </c>
      <c r="AZ55" s="369">
        <f>'Table 5D8 - Belle Chasse'!S56</f>
        <v>0</v>
      </c>
      <c r="BA55" s="765">
        <f t="shared" si="45"/>
        <v>3773143</v>
      </c>
      <c r="BB55" s="47"/>
      <c r="BH55"/>
      <c r="BQ55"/>
    </row>
    <row r="56" spans="1:69">
      <c r="A56" s="101">
        <v>51</v>
      </c>
      <c r="B56" s="311" t="s">
        <v>151</v>
      </c>
      <c r="C56" s="320">
        <f>'Table 2_State Distrib and Adjs'!AD57</f>
        <v>3834247</v>
      </c>
      <c r="D56" s="368"/>
      <c r="E56" s="368"/>
      <c r="F56" s="368">
        <f>-'Table 5C1A-Madison Prep'!T57</f>
        <v>0</v>
      </c>
      <c r="G56" s="368">
        <f>-'Table 5C1B-DArbonne'!T57</f>
        <v>0</v>
      </c>
      <c r="H56" s="368">
        <f>-'Table 5C1C-Intl_VIBE'!T57</f>
        <v>0</v>
      </c>
      <c r="I56" s="368">
        <f>-'Table 5C1D-NOMMA'!T57</f>
        <v>0</v>
      </c>
      <c r="J56" s="368"/>
      <c r="K56" s="368">
        <f>-'Table 5C1E-LFNO'!T57</f>
        <v>0</v>
      </c>
      <c r="L56" s="368">
        <f>-'Table 5C1F-Lake Charles Charter'!T57</f>
        <v>0</v>
      </c>
      <c r="M56" s="368">
        <f>-'Table 5C1G-JS Clark Academy'!T57</f>
        <v>0</v>
      </c>
      <c r="N56" s="368">
        <f>-'Table 5C1H-Southwest LA Charter'!T57</f>
        <v>0</v>
      </c>
      <c r="O56" s="368">
        <f>-'Table 5C2 - LA Virtual Admy'!U54</f>
        <v>-2065</v>
      </c>
      <c r="P56" s="368">
        <f>-'Table 5C3 - LA Connections EBR'!U54</f>
        <v>-1475</v>
      </c>
      <c r="Q56" s="368">
        <f>-'Table 5D1 - New Vision'!S57</f>
        <v>0</v>
      </c>
      <c r="R56" s="368">
        <f>-'Table 5D2 - Glencoe'!S57</f>
        <v>-94068</v>
      </c>
      <c r="S56" s="368">
        <f>-'Table 5D3 - International'!S57</f>
        <v>0</v>
      </c>
      <c r="T56" s="368">
        <f>-'Table 5D4 - Avoyelles'!S57</f>
        <v>0</v>
      </c>
      <c r="U56" s="368">
        <f>-'Table 5D5 - Delhi'!S57</f>
        <v>0</v>
      </c>
      <c r="V56" s="368">
        <f>-'Table 5D6 - Milestone'!S57</f>
        <v>0</v>
      </c>
      <c r="W56" s="368">
        <f>-'Table 5D7 - Max'!S57</f>
        <v>-656</v>
      </c>
      <c r="X56" s="368">
        <f>-'Table 5D8 - Belle Chasse'!W57</f>
        <v>0</v>
      </c>
      <c r="Y56" s="368">
        <f>-'Table 5E_OJJ'!S57</f>
        <v>-594</v>
      </c>
      <c r="Z56" s="368">
        <f>-'Table 5A2 LSMSA'!L57</f>
        <v>-607</v>
      </c>
      <c r="AA56" s="368">
        <f>-'Table 5A3 NOCCA'!L57</f>
        <v>0</v>
      </c>
      <c r="AB56" s="368">
        <f>-'Table 5A4_LSDVI'!L57</f>
        <v>-649</v>
      </c>
      <c r="AC56" s="368">
        <f>-'Table 5A5_SSD'!L57</f>
        <v>-1622</v>
      </c>
      <c r="AD56" s="368"/>
      <c r="AE56" s="764">
        <f t="shared" si="44"/>
        <v>3732511</v>
      </c>
      <c r="AF56" s="368"/>
      <c r="AG56" s="368"/>
      <c r="AH56" s="368"/>
      <c r="AI56" s="368">
        <f>'Table 5C1A-Madison Prep'!P57</f>
        <v>0</v>
      </c>
      <c r="AJ56" s="368">
        <f>'Table 5C1B-DArbonne'!P57</f>
        <v>0</v>
      </c>
      <c r="AK56" s="368">
        <f>'Table 5C1C-Intl_VIBE'!P57</f>
        <v>0</v>
      </c>
      <c r="AL56" s="368">
        <f>'Table 5C1D-NOMMA'!P57</f>
        <v>0</v>
      </c>
      <c r="AM56" s="368">
        <f>'Table 5C1E-LFNO'!P57</f>
        <v>0</v>
      </c>
      <c r="AN56" s="368">
        <f>'Table 5C1F-Lake Charles Charter'!P57</f>
        <v>0</v>
      </c>
      <c r="AO56" s="368">
        <f>'Table 5C1G-JS Clark Academy'!P57</f>
        <v>0</v>
      </c>
      <c r="AP56" s="368">
        <f>'Table 5C1H-Southwest LA Charter'!P57</f>
        <v>0</v>
      </c>
      <c r="AQ56" s="368">
        <f>'Table 5C2 - LA Virtual Admy'!Q54</f>
        <v>-62</v>
      </c>
      <c r="AR56" s="368">
        <f>'Table 5C3 - LA Connections EBR'!Q54</f>
        <v>-44</v>
      </c>
      <c r="AS56" s="368">
        <f>'Table 5D1 - New Vision'!O57</f>
        <v>0</v>
      </c>
      <c r="AT56" s="368">
        <f>'Table 5D2 - Glencoe'!O57</f>
        <v>-2829.1025</v>
      </c>
      <c r="AU56" s="368">
        <f>'Table 5D3 - International'!O57</f>
        <v>0</v>
      </c>
      <c r="AV56" s="368">
        <f>'Table 5D4 - Avoyelles'!O57</f>
        <v>0</v>
      </c>
      <c r="AW56" s="368">
        <f>'Table 5D5 - Delhi'!O57</f>
        <v>0</v>
      </c>
      <c r="AX56" s="368">
        <f>'Table 5D6 - Milestone'!O57</f>
        <v>0</v>
      </c>
      <c r="AY56" s="368">
        <f>'Table 5D7 - Max'!O57</f>
        <v>-19.715</v>
      </c>
      <c r="AZ56" s="368">
        <f>'Table 5D8 - Belle Chasse'!S57</f>
        <v>0</v>
      </c>
      <c r="BA56" s="764">
        <f t="shared" si="45"/>
        <v>3729556.1825000001</v>
      </c>
      <c r="BB56" s="47"/>
      <c r="BH56"/>
      <c r="BQ56"/>
    </row>
    <row r="57" spans="1:69">
      <c r="A57" s="101">
        <v>52</v>
      </c>
      <c r="B57" s="311" t="s">
        <v>152</v>
      </c>
      <c r="C57" s="320">
        <f>'Table 2_State Distrib and Adjs'!AD58</f>
        <v>16920894</v>
      </c>
      <c r="D57" s="368"/>
      <c r="E57" s="368"/>
      <c r="F57" s="368">
        <f>-'Table 5C1A-Madison Prep'!T58</f>
        <v>0</v>
      </c>
      <c r="G57" s="368">
        <f>-'Table 5C1B-DArbonne'!T58</f>
        <v>0</v>
      </c>
      <c r="H57" s="368">
        <f>-'Table 5C1C-Intl_VIBE'!T58</f>
        <v>-326.68125000000003</v>
      </c>
      <c r="I57" s="368">
        <f>-'Table 5C1D-NOMMA'!T58</f>
        <v>-394.84375</v>
      </c>
      <c r="J57" s="368"/>
      <c r="K57" s="368">
        <f>-'Table 5C1E-LFNO'!T58</f>
        <v>0</v>
      </c>
      <c r="L57" s="368">
        <f>-'Table 5C1F-Lake Charles Charter'!T58</f>
        <v>0</v>
      </c>
      <c r="M57" s="368">
        <f>-'Table 5C1G-JS Clark Academy'!T58</f>
        <v>0</v>
      </c>
      <c r="N57" s="368">
        <f>-'Table 5C1H-Southwest LA Charter'!T58</f>
        <v>0</v>
      </c>
      <c r="O57" s="368">
        <f>-'Table 5C2 - LA Virtual Admy'!U55</f>
        <v>-24514</v>
      </c>
      <c r="P57" s="368">
        <f>-'Table 5C3 - LA Connections EBR'!U55</f>
        <v>-18123</v>
      </c>
      <c r="Q57" s="368">
        <f>-'Table 5D1 - New Vision'!S58</f>
        <v>0</v>
      </c>
      <c r="R57" s="368">
        <f>-'Table 5D2 - Glencoe'!S58</f>
        <v>0</v>
      </c>
      <c r="S57" s="368">
        <f>-'Table 5D3 - International'!S58</f>
        <v>-3267</v>
      </c>
      <c r="T57" s="368">
        <f>-'Table 5D4 - Avoyelles'!S58</f>
        <v>0</v>
      </c>
      <c r="U57" s="368">
        <f>-'Table 5D5 - Delhi'!S58</f>
        <v>0</v>
      </c>
      <c r="V57" s="368">
        <f>-'Table 5D6 - Milestone'!S58</f>
        <v>0</v>
      </c>
      <c r="W57" s="368">
        <f>-'Table 5D7 - Max'!S58</f>
        <v>0</v>
      </c>
      <c r="X57" s="368">
        <f>-'Table 5D8 - Belle Chasse'!W58</f>
        <v>-2764</v>
      </c>
      <c r="Y57" s="368">
        <f>-'Table 5E_OJJ'!S58</f>
        <v>-3924</v>
      </c>
      <c r="Z57" s="368">
        <f>-'Table 5A2 LSMSA'!L58</f>
        <v>-3417</v>
      </c>
      <c r="AA57" s="368">
        <f>-'Table 5A3 NOCCA'!L58</f>
        <v>-886</v>
      </c>
      <c r="AB57" s="368">
        <f>-'Table 5A4_LSDVI'!L58</f>
        <v>-2376</v>
      </c>
      <c r="AC57" s="368">
        <f>-'Table 5A5_SSD'!L58</f>
        <v>-5050</v>
      </c>
      <c r="AD57" s="368"/>
      <c r="AE57" s="764">
        <f t="shared" si="44"/>
        <v>16855851.475000001</v>
      </c>
      <c r="AF57" s="368"/>
      <c r="AG57" s="368"/>
      <c r="AH57" s="368"/>
      <c r="AI57" s="368">
        <f>'Table 5C1A-Madison Prep'!P58</f>
        <v>0</v>
      </c>
      <c r="AJ57" s="368">
        <f>'Table 5C1B-DArbonne'!P58</f>
        <v>0</v>
      </c>
      <c r="AK57" s="368">
        <f>'Table 5C1C-Intl_VIBE'!P58</f>
        <v>-9.8250000000000011</v>
      </c>
      <c r="AL57" s="368">
        <f>'Table 5C1D-NOMMA'!P58</f>
        <v>-11.875</v>
      </c>
      <c r="AM57" s="368">
        <f>'Table 5C1E-LFNO'!P58</f>
        <v>0</v>
      </c>
      <c r="AN57" s="368">
        <f>'Table 5C1F-Lake Charles Charter'!P58</f>
        <v>0</v>
      </c>
      <c r="AO57" s="368">
        <f>'Table 5C1G-JS Clark Academy'!P58</f>
        <v>0</v>
      </c>
      <c r="AP57" s="368">
        <f>'Table 5C1H-Southwest LA Charter'!P58</f>
        <v>0</v>
      </c>
      <c r="AQ57" s="368">
        <f>'Table 5C2 - LA Virtual Admy'!Q55</f>
        <v>-748</v>
      </c>
      <c r="AR57" s="368">
        <f>'Table 5C3 - LA Connections EBR'!Q55</f>
        <v>-545</v>
      </c>
      <c r="AS57" s="368">
        <f>'Table 5D1 - New Vision'!O58</f>
        <v>0</v>
      </c>
      <c r="AT57" s="368">
        <f>'Table 5D2 - Glencoe'!O58</f>
        <v>0</v>
      </c>
      <c r="AU57" s="368">
        <f>'Table 5D3 - International'!O58</f>
        <v>-98.25</v>
      </c>
      <c r="AV57" s="368">
        <f>'Table 5D4 - Avoyelles'!O58</f>
        <v>0</v>
      </c>
      <c r="AW57" s="368">
        <f>'Table 5D5 - Delhi'!O58</f>
        <v>0</v>
      </c>
      <c r="AX57" s="368">
        <f>'Table 5D6 - Milestone'!O58</f>
        <v>0</v>
      </c>
      <c r="AY57" s="368">
        <f>'Table 5D7 - Max'!O58</f>
        <v>0</v>
      </c>
      <c r="AZ57" s="368">
        <f>'Table 5D8 - Belle Chasse'!S58</f>
        <v>-83.125</v>
      </c>
      <c r="BA57" s="764">
        <f t="shared" si="45"/>
        <v>16854355.400000002</v>
      </c>
      <c r="BB57" s="47"/>
      <c r="BH57"/>
      <c r="BQ57"/>
    </row>
    <row r="58" spans="1:69">
      <c r="A58" s="101">
        <v>53</v>
      </c>
      <c r="B58" s="311" t="s">
        <v>153</v>
      </c>
      <c r="C58" s="320">
        <f>'Table 2_State Distrib and Adjs'!AD59</f>
        <v>8634718</v>
      </c>
      <c r="D58" s="368"/>
      <c r="E58" s="368"/>
      <c r="F58" s="368">
        <f>-'Table 5C1A-Madison Prep'!T59</f>
        <v>0</v>
      </c>
      <c r="G58" s="368">
        <f>-'Table 5C1B-DArbonne'!T59</f>
        <v>0</v>
      </c>
      <c r="H58" s="368">
        <f>-'Table 5C1C-Intl_VIBE'!T59</f>
        <v>0</v>
      </c>
      <c r="I58" s="368">
        <f>-'Table 5C1D-NOMMA'!T59</f>
        <v>0</v>
      </c>
      <c r="J58" s="368"/>
      <c r="K58" s="368">
        <f>-'Table 5C1E-LFNO'!T59</f>
        <v>0</v>
      </c>
      <c r="L58" s="368">
        <f>-'Table 5C1F-Lake Charles Charter'!T59</f>
        <v>0</v>
      </c>
      <c r="M58" s="368">
        <f>-'Table 5C1G-JS Clark Academy'!T59</f>
        <v>0</v>
      </c>
      <c r="N58" s="368">
        <f>-'Table 5C1H-Southwest LA Charter'!T59</f>
        <v>0</v>
      </c>
      <c r="O58" s="368">
        <f>-'Table 5C2 - LA Virtual Admy'!U56</f>
        <v>-7585</v>
      </c>
      <c r="P58" s="368">
        <f>-'Table 5C3 - LA Connections EBR'!U56</f>
        <v>-3149</v>
      </c>
      <c r="Q58" s="368">
        <f>-'Table 5D1 - New Vision'!S59</f>
        <v>0</v>
      </c>
      <c r="R58" s="368">
        <f>-'Table 5D2 - Glencoe'!S59</f>
        <v>0</v>
      </c>
      <c r="S58" s="368">
        <f>-'Table 5D3 - International'!S59</f>
        <v>0</v>
      </c>
      <c r="T58" s="368">
        <f>-'Table 5D4 - Avoyelles'!S59</f>
        <v>0</v>
      </c>
      <c r="U58" s="368">
        <f>-'Table 5D5 - Delhi'!S59</f>
        <v>0</v>
      </c>
      <c r="V58" s="368">
        <f>-'Table 5D6 - Milestone'!S59</f>
        <v>0</v>
      </c>
      <c r="W58" s="368">
        <f>-'Table 5D7 - Max'!S59</f>
        <v>0</v>
      </c>
      <c r="X58" s="368">
        <f>-'Table 5D8 - Belle Chasse'!W59</f>
        <v>-159</v>
      </c>
      <c r="Y58" s="368">
        <f>-'Table 5E_OJJ'!S59</f>
        <v>-1373</v>
      </c>
      <c r="Z58" s="368">
        <f>-'Table 5A2 LSMSA'!L59</f>
        <v>-912</v>
      </c>
      <c r="AA58" s="368">
        <f>-'Table 5A3 NOCCA'!L59</f>
        <v>0</v>
      </c>
      <c r="AB58" s="368">
        <f>-'Table 5A4_LSDVI'!L59</f>
        <v>-643</v>
      </c>
      <c r="AC58" s="368">
        <f>-'Table 5A5_SSD'!L59</f>
        <v>-1125</v>
      </c>
      <c r="AD58" s="368"/>
      <c r="AE58" s="764">
        <f t="shared" si="44"/>
        <v>8619772</v>
      </c>
      <c r="AF58" s="368"/>
      <c r="AG58" s="368"/>
      <c r="AH58" s="368"/>
      <c r="AI58" s="368">
        <f>'Table 5C1A-Madison Prep'!P59</f>
        <v>0</v>
      </c>
      <c r="AJ58" s="368">
        <f>'Table 5C1B-DArbonne'!P59</f>
        <v>0</v>
      </c>
      <c r="AK58" s="368">
        <f>'Table 5C1C-Intl_VIBE'!P59</f>
        <v>0</v>
      </c>
      <c r="AL58" s="368">
        <f>'Table 5C1D-NOMMA'!P59</f>
        <v>0</v>
      </c>
      <c r="AM58" s="368">
        <f>'Table 5C1E-LFNO'!P59</f>
        <v>0</v>
      </c>
      <c r="AN58" s="368">
        <f>'Table 5C1F-Lake Charles Charter'!P59</f>
        <v>0</v>
      </c>
      <c r="AO58" s="368">
        <f>'Table 5C1G-JS Clark Academy'!P59</f>
        <v>0</v>
      </c>
      <c r="AP58" s="368">
        <f>'Table 5C1H-Southwest LA Charter'!P59</f>
        <v>0</v>
      </c>
      <c r="AQ58" s="368">
        <f>'Table 5C2 - LA Virtual Admy'!Q56</f>
        <v>-228</v>
      </c>
      <c r="AR58" s="368">
        <f>'Table 5C3 - LA Connections EBR'!Q56</f>
        <v>-95</v>
      </c>
      <c r="AS58" s="368">
        <f>'Table 5D1 - New Vision'!O59</f>
        <v>0</v>
      </c>
      <c r="AT58" s="368">
        <f>'Table 5D2 - Glencoe'!O59</f>
        <v>0</v>
      </c>
      <c r="AU58" s="368">
        <f>'Table 5D3 - International'!O59</f>
        <v>0</v>
      </c>
      <c r="AV58" s="368">
        <f>'Table 5D4 - Avoyelles'!O59</f>
        <v>0</v>
      </c>
      <c r="AW58" s="368">
        <f>'Table 5D5 - Delhi'!O59</f>
        <v>0</v>
      </c>
      <c r="AX58" s="368">
        <f>'Table 5D6 - Milestone'!O59</f>
        <v>0</v>
      </c>
      <c r="AY58" s="368">
        <f>'Table 5D7 - Max'!O59</f>
        <v>0</v>
      </c>
      <c r="AZ58" s="368">
        <f>'Table 5D8 - Belle Chasse'!S59</f>
        <v>-4.7824999999999998</v>
      </c>
      <c r="BA58" s="764">
        <f t="shared" si="45"/>
        <v>8619444.2174999993</v>
      </c>
      <c r="BB58" s="47"/>
      <c r="BH58"/>
      <c r="BQ58"/>
    </row>
    <row r="59" spans="1:69">
      <c r="A59" s="101">
        <v>54</v>
      </c>
      <c r="B59" s="311" t="s">
        <v>154</v>
      </c>
      <c r="C59" s="320">
        <f>'Table 2_State Distrib and Adjs'!AD60</f>
        <v>402255</v>
      </c>
      <c r="D59" s="368"/>
      <c r="E59" s="368"/>
      <c r="F59" s="368">
        <f>-'Table 5C1A-Madison Prep'!T60</f>
        <v>0</v>
      </c>
      <c r="G59" s="368">
        <f>-'Table 5C1B-DArbonne'!T60</f>
        <v>0</v>
      </c>
      <c r="H59" s="368">
        <f>-'Table 5C1C-Intl_VIBE'!T60</f>
        <v>0</v>
      </c>
      <c r="I59" s="368">
        <f>-'Table 5C1D-NOMMA'!T60</f>
        <v>0</v>
      </c>
      <c r="J59" s="368"/>
      <c r="K59" s="368">
        <f>-'Table 5C1E-LFNO'!T60</f>
        <v>0</v>
      </c>
      <c r="L59" s="368">
        <f>-'Table 5C1F-Lake Charles Charter'!T60</f>
        <v>0</v>
      </c>
      <c r="M59" s="368">
        <f>-'Table 5C1G-JS Clark Academy'!T60</f>
        <v>0</v>
      </c>
      <c r="N59" s="368">
        <f>-'Table 5C1H-Southwest LA Charter'!T60</f>
        <v>0</v>
      </c>
      <c r="O59" s="368">
        <f>-'Table 5C2 - LA Virtual Admy'!U57</f>
        <v>0</v>
      </c>
      <c r="P59" s="368">
        <f>-'Table 5C3 - LA Connections EBR'!U57</f>
        <v>-488</v>
      </c>
      <c r="Q59" s="368">
        <f>-'Table 5D1 - New Vision'!S60</f>
        <v>0</v>
      </c>
      <c r="R59" s="368">
        <f>-'Table 5D2 - Glencoe'!S60</f>
        <v>0</v>
      </c>
      <c r="S59" s="368">
        <f>-'Table 5D3 - International'!S60</f>
        <v>0</v>
      </c>
      <c r="T59" s="368">
        <f>-'Table 5D4 - Avoyelles'!S60</f>
        <v>0</v>
      </c>
      <c r="U59" s="368">
        <f>-'Table 5D5 - Delhi'!S60</f>
        <v>-543</v>
      </c>
      <c r="V59" s="368">
        <f>-'Table 5D6 - Milestone'!S60</f>
        <v>0</v>
      </c>
      <c r="W59" s="368">
        <f>-'Table 5D7 - Max'!S60</f>
        <v>0</v>
      </c>
      <c r="X59" s="368">
        <f>-'Table 5D8 - Belle Chasse'!W60</f>
        <v>0</v>
      </c>
      <c r="Y59" s="368">
        <f>-'Table 5E_OJJ'!S60</f>
        <v>-545</v>
      </c>
      <c r="Z59" s="368">
        <f>-'Table 5A2 LSMSA'!L60</f>
        <v>0</v>
      </c>
      <c r="AA59" s="368">
        <f>-'Table 5A3 NOCCA'!L60</f>
        <v>0</v>
      </c>
      <c r="AB59" s="368">
        <f>-'Table 5A4_LSDVI'!L60</f>
        <v>0</v>
      </c>
      <c r="AC59" s="368">
        <f>-'Table 5A5_SSD'!L60</f>
        <v>0</v>
      </c>
      <c r="AD59" s="368"/>
      <c r="AE59" s="764">
        <f t="shared" si="44"/>
        <v>400679</v>
      </c>
      <c r="AF59" s="368"/>
      <c r="AG59" s="368"/>
      <c r="AH59" s="368"/>
      <c r="AI59" s="368">
        <f>'Table 5C1A-Madison Prep'!P60</f>
        <v>0</v>
      </c>
      <c r="AJ59" s="368">
        <f>'Table 5C1B-DArbonne'!P60</f>
        <v>0</v>
      </c>
      <c r="AK59" s="368">
        <f>'Table 5C1C-Intl_VIBE'!P60</f>
        <v>0</v>
      </c>
      <c r="AL59" s="368">
        <f>'Table 5C1D-NOMMA'!P60</f>
        <v>0</v>
      </c>
      <c r="AM59" s="368">
        <f>'Table 5C1E-LFNO'!P60</f>
        <v>0</v>
      </c>
      <c r="AN59" s="368">
        <f>'Table 5C1F-Lake Charles Charter'!P60</f>
        <v>0</v>
      </c>
      <c r="AO59" s="368">
        <f>'Table 5C1G-JS Clark Academy'!P60</f>
        <v>0</v>
      </c>
      <c r="AP59" s="368">
        <f>'Table 5C1H-Southwest LA Charter'!P60</f>
        <v>0</v>
      </c>
      <c r="AQ59" s="368">
        <f>'Table 5C2 - LA Virtual Admy'!Q57</f>
        <v>0</v>
      </c>
      <c r="AR59" s="368">
        <f>'Table 5C3 - LA Connections EBR'!Q57</f>
        <v>-15</v>
      </c>
      <c r="AS59" s="368">
        <f>'Table 5D1 - New Vision'!O60</f>
        <v>0</v>
      </c>
      <c r="AT59" s="368">
        <f>'Table 5D2 - Glencoe'!O60</f>
        <v>0</v>
      </c>
      <c r="AU59" s="368">
        <f>'Table 5D3 - International'!O60</f>
        <v>0</v>
      </c>
      <c r="AV59" s="368">
        <f>'Table 5D4 - Avoyelles'!O60</f>
        <v>0</v>
      </c>
      <c r="AW59" s="368">
        <f>'Table 5D5 - Delhi'!O60</f>
        <v>-16.32</v>
      </c>
      <c r="AX59" s="368">
        <f>'Table 5D6 - Milestone'!O60</f>
        <v>0</v>
      </c>
      <c r="AY59" s="368">
        <f>'Table 5D7 - Max'!O60</f>
        <v>0</v>
      </c>
      <c r="AZ59" s="368">
        <f>'Table 5D8 - Belle Chasse'!S60</f>
        <v>0</v>
      </c>
      <c r="BA59" s="764">
        <f t="shared" si="45"/>
        <v>400647.67999999999</v>
      </c>
      <c r="BB59" s="47"/>
      <c r="BH59"/>
      <c r="BQ59"/>
    </row>
    <row r="60" spans="1:69">
      <c r="A60" s="102">
        <v>55</v>
      </c>
      <c r="B60" s="312" t="s">
        <v>155</v>
      </c>
      <c r="C60" s="329">
        <f>'Table 2_State Distrib and Adjs'!AD61</f>
        <v>7181896</v>
      </c>
      <c r="D60" s="369"/>
      <c r="E60" s="369"/>
      <c r="F60" s="369">
        <f>-'Table 5C1A-Madison Prep'!T61</f>
        <v>0</v>
      </c>
      <c r="G60" s="369">
        <f>-'Table 5C1B-DArbonne'!T61</f>
        <v>0</v>
      </c>
      <c r="H60" s="369">
        <f>-'Table 5C1C-Intl_VIBE'!T61</f>
        <v>0</v>
      </c>
      <c r="I60" s="369">
        <f>-'Table 5C1D-NOMMA'!T61</f>
        <v>0</v>
      </c>
      <c r="J60" s="369"/>
      <c r="K60" s="369">
        <f>-'Table 5C1E-LFNO'!T61</f>
        <v>0</v>
      </c>
      <c r="L60" s="369">
        <f>-'Table 5C1F-Lake Charles Charter'!T61</f>
        <v>0</v>
      </c>
      <c r="M60" s="369">
        <f>-'Table 5C1G-JS Clark Academy'!T61</f>
        <v>0</v>
      </c>
      <c r="N60" s="369">
        <f>-'Table 5C1H-Southwest LA Charter'!T61</f>
        <v>0</v>
      </c>
      <c r="O60" s="369">
        <f>-'Table 5C2 - LA Virtual Admy'!U58</f>
        <v>-5744</v>
      </c>
      <c r="P60" s="369">
        <f>-'Table 5C3 - LA Connections EBR'!U58</f>
        <v>-2987</v>
      </c>
      <c r="Q60" s="369">
        <f>-'Table 5D1 - New Vision'!S61</f>
        <v>0</v>
      </c>
      <c r="R60" s="369">
        <f>-'Table 5D2 - Glencoe'!S61</f>
        <v>0</v>
      </c>
      <c r="S60" s="369">
        <f>-'Table 5D3 - International'!S61</f>
        <v>0</v>
      </c>
      <c r="T60" s="369">
        <f>-'Table 5D4 - Avoyelles'!S61</f>
        <v>0</v>
      </c>
      <c r="U60" s="369">
        <f>-'Table 5D5 - Delhi'!S61</f>
        <v>0</v>
      </c>
      <c r="V60" s="369">
        <f>-'Table 5D6 - Milestone'!S61</f>
        <v>0</v>
      </c>
      <c r="W60" s="369">
        <f>-'Table 5D7 - Max'!S61</f>
        <v>-9445</v>
      </c>
      <c r="X60" s="369">
        <f>-'Table 5D8 - Belle Chasse'!W61</f>
        <v>0</v>
      </c>
      <c r="Y60" s="369">
        <f>-'Table 5E_OJJ'!S61</f>
        <v>-3388</v>
      </c>
      <c r="Z60" s="369">
        <f>-'Table 5A2 LSMSA'!L61</f>
        <v>-1450</v>
      </c>
      <c r="AA60" s="369">
        <f>-'Table 5A3 NOCCA'!L61</f>
        <v>0</v>
      </c>
      <c r="AB60" s="369">
        <f>-'Table 5A4_LSDVI'!L61</f>
        <v>-1011</v>
      </c>
      <c r="AC60" s="369">
        <f>-'Table 5A5_SSD'!L61</f>
        <v>-1770</v>
      </c>
      <c r="AD60" s="369"/>
      <c r="AE60" s="765">
        <f t="shared" si="44"/>
        <v>7156101</v>
      </c>
      <c r="AF60" s="369"/>
      <c r="AG60" s="369"/>
      <c r="AH60" s="369"/>
      <c r="AI60" s="369">
        <f>'Table 5C1A-Madison Prep'!P61</f>
        <v>0</v>
      </c>
      <c r="AJ60" s="369">
        <f>'Table 5C1B-DArbonne'!P61</f>
        <v>0</v>
      </c>
      <c r="AK60" s="369">
        <f>'Table 5C1C-Intl_VIBE'!P61</f>
        <v>0</v>
      </c>
      <c r="AL60" s="369">
        <f>'Table 5C1D-NOMMA'!P61</f>
        <v>0</v>
      </c>
      <c r="AM60" s="369">
        <f>'Table 5C1E-LFNO'!P61</f>
        <v>0</v>
      </c>
      <c r="AN60" s="369">
        <f>'Table 5C1F-Lake Charles Charter'!P61</f>
        <v>0</v>
      </c>
      <c r="AO60" s="369">
        <f>'Table 5C1G-JS Clark Academy'!P61</f>
        <v>0</v>
      </c>
      <c r="AP60" s="369">
        <f>'Table 5C1H-Southwest LA Charter'!P61</f>
        <v>0</v>
      </c>
      <c r="AQ60" s="369">
        <f>'Table 5C2 - LA Virtual Admy'!Q58</f>
        <v>-173</v>
      </c>
      <c r="AR60" s="369">
        <f>'Table 5C3 - LA Connections EBR'!Q58</f>
        <v>-90</v>
      </c>
      <c r="AS60" s="369">
        <f>'Table 5D1 - New Vision'!O61</f>
        <v>0</v>
      </c>
      <c r="AT60" s="369">
        <f>'Table 5D2 - Glencoe'!O61</f>
        <v>0</v>
      </c>
      <c r="AU60" s="369">
        <f>'Table 5D3 - International'!O61</f>
        <v>0</v>
      </c>
      <c r="AV60" s="369">
        <f>'Table 5D4 - Avoyelles'!O61</f>
        <v>0</v>
      </c>
      <c r="AW60" s="369">
        <f>'Table 5D5 - Delhi'!O61</f>
        <v>0</v>
      </c>
      <c r="AX60" s="369">
        <f>'Table 5D6 - Milestone'!O61</f>
        <v>0</v>
      </c>
      <c r="AY60" s="369">
        <f>'Table 5D7 - Max'!O61</f>
        <v>-284.0675</v>
      </c>
      <c r="AZ60" s="369">
        <f>'Table 5D8 - Belle Chasse'!S61</f>
        <v>0</v>
      </c>
      <c r="BA60" s="765">
        <f t="shared" si="45"/>
        <v>7155553.9325000001</v>
      </c>
      <c r="BB60" s="47"/>
      <c r="BH60"/>
      <c r="BQ60"/>
    </row>
    <row r="61" spans="1:69">
      <c r="A61" s="101">
        <v>56</v>
      </c>
      <c r="B61" s="311" t="s">
        <v>156</v>
      </c>
      <c r="C61" s="320">
        <f>'Table 2_State Distrib and Adjs'!AD62</f>
        <v>1166862</v>
      </c>
      <c r="D61" s="368"/>
      <c r="E61" s="368"/>
      <c r="F61" s="368">
        <f>-'Table 5C1A-Madison Prep'!T62</f>
        <v>0</v>
      </c>
      <c r="G61" s="368">
        <f>-'Table 5C1B-DArbonne'!T62</f>
        <v>-76953.8</v>
      </c>
      <c r="H61" s="368">
        <f>-'Table 5C1C-Intl_VIBE'!T62</f>
        <v>0</v>
      </c>
      <c r="I61" s="368">
        <f>-'Table 5C1D-NOMMA'!T62</f>
        <v>0</v>
      </c>
      <c r="J61" s="368"/>
      <c r="K61" s="368">
        <f>-'Table 5C1E-LFNO'!T62</f>
        <v>0</v>
      </c>
      <c r="L61" s="368">
        <f>-'Table 5C1F-Lake Charles Charter'!T62</f>
        <v>0</v>
      </c>
      <c r="M61" s="368">
        <f>-'Table 5C1G-JS Clark Academy'!T62</f>
        <v>0</v>
      </c>
      <c r="N61" s="368">
        <f>-'Table 5C1H-Southwest LA Charter'!T62</f>
        <v>0</v>
      </c>
      <c r="O61" s="368">
        <f>-'Table 5C2 - LA Virtual Admy'!U59</f>
        <v>-787</v>
      </c>
      <c r="P61" s="368">
        <f>-'Table 5C3 - LA Connections EBR'!U59</f>
        <v>-590</v>
      </c>
      <c r="Q61" s="368">
        <f>-'Table 5D1 - New Vision'!S62</f>
        <v>0</v>
      </c>
      <c r="R61" s="368">
        <f>-'Table 5D2 - Glencoe'!S62</f>
        <v>0</v>
      </c>
      <c r="S61" s="368">
        <f>-'Table 5D3 - International'!S62</f>
        <v>0</v>
      </c>
      <c r="T61" s="368">
        <f>-'Table 5D4 - Avoyelles'!S62</f>
        <v>0</v>
      </c>
      <c r="U61" s="368">
        <f>-'Table 5D5 - Delhi'!S62</f>
        <v>0</v>
      </c>
      <c r="V61" s="368">
        <f>-'Table 5D6 - Milestone'!S62</f>
        <v>0</v>
      </c>
      <c r="W61" s="368">
        <f>-'Table 5D7 - Max'!S62</f>
        <v>0</v>
      </c>
      <c r="X61" s="368">
        <f>-'Table 5D8 - Belle Chasse'!W62</f>
        <v>0</v>
      </c>
      <c r="Y61" s="368">
        <f>-'Table 5E_OJJ'!S62</f>
        <v>0</v>
      </c>
      <c r="Z61" s="368">
        <f>-'Table 5A2 LSMSA'!L62</f>
        <v>-355</v>
      </c>
      <c r="AA61" s="368">
        <f>-'Table 5A3 NOCCA'!L62</f>
        <v>0</v>
      </c>
      <c r="AB61" s="368">
        <f>-'Table 5A4_LSDVI'!L62</f>
        <v>0</v>
      </c>
      <c r="AC61" s="368">
        <f>-'Table 5A5_SSD'!L62</f>
        <v>0</v>
      </c>
      <c r="AD61" s="368"/>
      <c r="AE61" s="764">
        <f t="shared" si="44"/>
        <v>1088176.2</v>
      </c>
      <c r="AF61" s="368"/>
      <c r="AG61" s="368"/>
      <c r="AH61" s="368"/>
      <c r="AI61" s="368">
        <f>'Table 5C1A-Madison Prep'!P62</f>
        <v>0</v>
      </c>
      <c r="AJ61" s="368">
        <f>'Table 5C1B-DArbonne'!P62</f>
        <v>-2314.4</v>
      </c>
      <c r="AK61" s="368">
        <f>'Table 5C1C-Intl_VIBE'!P62</f>
        <v>0</v>
      </c>
      <c r="AL61" s="368">
        <f>'Table 5C1D-NOMMA'!P62</f>
        <v>0</v>
      </c>
      <c r="AM61" s="368">
        <f>'Table 5C1E-LFNO'!P62</f>
        <v>0</v>
      </c>
      <c r="AN61" s="368">
        <f>'Table 5C1F-Lake Charles Charter'!P62</f>
        <v>0</v>
      </c>
      <c r="AO61" s="368">
        <f>'Table 5C1G-JS Clark Academy'!P62</f>
        <v>0</v>
      </c>
      <c r="AP61" s="368">
        <f>'Table 5C1H-Southwest LA Charter'!P62</f>
        <v>0</v>
      </c>
      <c r="AQ61" s="368">
        <f>'Table 5C2 - LA Virtual Admy'!Q59</f>
        <v>-24</v>
      </c>
      <c r="AR61" s="368">
        <f>'Table 5C3 - LA Connections EBR'!Q59</f>
        <v>-18</v>
      </c>
      <c r="AS61" s="368">
        <f>'Table 5D1 - New Vision'!O62</f>
        <v>0</v>
      </c>
      <c r="AT61" s="368">
        <f>'Table 5D2 - Glencoe'!O62</f>
        <v>0</v>
      </c>
      <c r="AU61" s="368">
        <f>'Table 5D3 - International'!O62</f>
        <v>0</v>
      </c>
      <c r="AV61" s="368">
        <f>'Table 5D4 - Avoyelles'!O62</f>
        <v>0</v>
      </c>
      <c r="AW61" s="368">
        <f>'Table 5D5 - Delhi'!O62</f>
        <v>0</v>
      </c>
      <c r="AX61" s="368">
        <f>'Table 5D6 - Milestone'!O62</f>
        <v>0</v>
      </c>
      <c r="AY61" s="368">
        <f>'Table 5D7 - Max'!O62</f>
        <v>0</v>
      </c>
      <c r="AZ61" s="368">
        <f>'Table 5D8 - Belle Chasse'!S62</f>
        <v>0</v>
      </c>
      <c r="BA61" s="764">
        <f t="shared" si="45"/>
        <v>1085819.8</v>
      </c>
      <c r="BB61" s="47"/>
      <c r="BH61"/>
      <c r="BQ61"/>
    </row>
    <row r="62" spans="1:69">
      <c r="A62" s="101">
        <v>57</v>
      </c>
      <c r="B62" s="311" t="s">
        <v>157</v>
      </c>
      <c r="C62" s="320">
        <f>'Table 2_State Distrib and Adjs'!AD63</f>
        <v>3801922</v>
      </c>
      <c r="D62" s="368"/>
      <c r="E62" s="368"/>
      <c r="F62" s="368">
        <f>-'Table 5C1A-Madison Prep'!T63</f>
        <v>0</v>
      </c>
      <c r="G62" s="368">
        <f>-'Table 5C1B-DArbonne'!T63</f>
        <v>0</v>
      </c>
      <c r="H62" s="368">
        <f>-'Table 5C1C-Intl_VIBE'!T63</f>
        <v>0</v>
      </c>
      <c r="I62" s="368">
        <f>-'Table 5C1D-NOMMA'!T63</f>
        <v>0</v>
      </c>
      <c r="J62" s="368"/>
      <c r="K62" s="368">
        <f>-'Table 5C1E-LFNO'!T63</f>
        <v>0</v>
      </c>
      <c r="L62" s="368">
        <f>-'Table 5C1F-Lake Charles Charter'!T63</f>
        <v>0</v>
      </c>
      <c r="M62" s="368">
        <f>-'Table 5C1G-JS Clark Academy'!T63</f>
        <v>0</v>
      </c>
      <c r="N62" s="368">
        <f>-'Table 5C1H-Southwest LA Charter'!T63</f>
        <v>0</v>
      </c>
      <c r="O62" s="368">
        <f>-'Table 5C2 - LA Virtual Admy'!U60</f>
        <v>-2056</v>
      </c>
      <c r="P62" s="368">
        <f>-'Table 5C3 - LA Connections EBR'!U60</f>
        <v>-1599</v>
      </c>
      <c r="Q62" s="368">
        <f>-'Table 5D1 - New Vision'!S63</f>
        <v>0</v>
      </c>
      <c r="R62" s="368">
        <f>-'Table 5D2 - Glencoe'!S63</f>
        <v>-508</v>
      </c>
      <c r="S62" s="368">
        <f>-'Table 5D3 - International'!S63</f>
        <v>0</v>
      </c>
      <c r="T62" s="368">
        <f>-'Table 5D4 - Avoyelles'!S63</f>
        <v>0</v>
      </c>
      <c r="U62" s="368">
        <f>-'Table 5D5 - Delhi'!S63</f>
        <v>0</v>
      </c>
      <c r="V62" s="368">
        <f>-'Table 5D6 - Milestone'!S63</f>
        <v>0</v>
      </c>
      <c r="W62" s="368">
        <f>-'Table 5D7 - Max'!S63</f>
        <v>0</v>
      </c>
      <c r="X62" s="368">
        <f>-'Table 5D8 - Belle Chasse'!W63</f>
        <v>0</v>
      </c>
      <c r="Y62" s="368">
        <f>-'Table 5E_OJJ'!S63</f>
        <v>-658</v>
      </c>
      <c r="Z62" s="368">
        <f>-'Table 5A2 LSMSA'!L63</f>
        <v>-505</v>
      </c>
      <c r="AA62" s="368">
        <f>-'Table 5A3 NOCCA'!L63</f>
        <v>0</v>
      </c>
      <c r="AB62" s="368">
        <f>-'Table 5A4_LSDVI'!L63</f>
        <v>0</v>
      </c>
      <c r="AC62" s="368">
        <f>-'Table 5A5_SSD'!L63</f>
        <v>-479</v>
      </c>
      <c r="AD62" s="368"/>
      <c r="AE62" s="764">
        <f t="shared" si="44"/>
        <v>3796117</v>
      </c>
      <c r="AF62" s="368"/>
      <c r="AG62" s="368"/>
      <c r="AH62" s="368"/>
      <c r="AI62" s="368">
        <f>'Table 5C1A-Madison Prep'!P63</f>
        <v>0</v>
      </c>
      <c r="AJ62" s="368">
        <f>'Table 5C1B-DArbonne'!P63</f>
        <v>0</v>
      </c>
      <c r="AK62" s="368">
        <f>'Table 5C1C-Intl_VIBE'!P63</f>
        <v>0</v>
      </c>
      <c r="AL62" s="368">
        <f>'Table 5C1D-NOMMA'!P63</f>
        <v>0</v>
      </c>
      <c r="AM62" s="368">
        <f>'Table 5C1E-LFNO'!P63</f>
        <v>0</v>
      </c>
      <c r="AN62" s="368">
        <f>'Table 5C1F-Lake Charles Charter'!P63</f>
        <v>0</v>
      </c>
      <c r="AO62" s="368">
        <f>'Table 5C1G-JS Clark Academy'!P63</f>
        <v>0</v>
      </c>
      <c r="AP62" s="368">
        <f>'Table 5C1H-Southwest LA Charter'!P63</f>
        <v>0</v>
      </c>
      <c r="AQ62" s="368">
        <f>'Table 5C2 - LA Virtual Admy'!Q60</f>
        <v>-62</v>
      </c>
      <c r="AR62" s="368">
        <f>'Table 5C3 - LA Connections EBR'!Q60</f>
        <v>-48</v>
      </c>
      <c r="AS62" s="368">
        <f>'Table 5D1 - New Vision'!O63</f>
        <v>0</v>
      </c>
      <c r="AT62" s="368">
        <f>'Table 5D2 - Glencoe'!O63</f>
        <v>-15.265000000000001</v>
      </c>
      <c r="AU62" s="368">
        <f>'Table 5D3 - International'!O63</f>
        <v>0</v>
      </c>
      <c r="AV62" s="368">
        <f>'Table 5D4 - Avoyelles'!O63</f>
        <v>0</v>
      </c>
      <c r="AW62" s="368">
        <f>'Table 5D5 - Delhi'!O63</f>
        <v>0</v>
      </c>
      <c r="AX62" s="368">
        <f>'Table 5D6 - Milestone'!O63</f>
        <v>0</v>
      </c>
      <c r="AY62" s="368">
        <f>'Table 5D7 - Max'!O63</f>
        <v>0</v>
      </c>
      <c r="AZ62" s="368">
        <f>'Table 5D8 - Belle Chasse'!S63</f>
        <v>0</v>
      </c>
      <c r="BA62" s="764">
        <f t="shared" si="45"/>
        <v>3795991.7349999999</v>
      </c>
      <c r="BB62" s="47"/>
      <c r="BH62"/>
      <c r="BQ62"/>
    </row>
    <row r="63" spans="1:69">
      <c r="A63" s="101">
        <v>58</v>
      </c>
      <c r="B63" s="311" t="s">
        <v>158</v>
      </c>
      <c r="C63" s="320">
        <f>'Table 2_State Distrib and Adjs'!AD64</f>
        <v>4725936</v>
      </c>
      <c r="D63" s="368"/>
      <c r="E63" s="368"/>
      <c r="F63" s="368">
        <f>-'Table 5C1A-Madison Prep'!T64</f>
        <v>0</v>
      </c>
      <c r="G63" s="368">
        <f>-'Table 5C1B-DArbonne'!T64</f>
        <v>0</v>
      </c>
      <c r="H63" s="368">
        <f>-'Table 5C1C-Intl_VIBE'!T64</f>
        <v>0</v>
      </c>
      <c r="I63" s="368">
        <f>-'Table 5C1D-NOMMA'!T64</f>
        <v>0</v>
      </c>
      <c r="J63" s="368"/>
      <c r="K63" s="368">
        <f>-'Table 5C1E-LFNO'!T64</f>
        <v>0</v>
      </c>
      <c r="L63" s="368">
        <f>-'Table 5C1F-Lake Charles Charter'!T64</f>
        <v>0</v>
      </c>
      <c r="M63" s="368">
        <f>-'Table 5C1G-JS Clark Academy'!T64</f>
        <v>0</v>
      </c>
      <c r="N63" s="368">
        <f>-'Table 5C1H-Southwest LA Charter'!T64</f>
        <v>0</v>
      </c>
      <c r="O63" s="368">
        <f>-'Table 5C2 - LA Virtual Admy'!U61</f>
        <v>-6167</v>
      </c>
      <c r="P63" s="368">
        <f>-'Table 5C3 - LA Connections EBR'!U61</f>
        <v>-1721</v>
      </c>
      <c r="Q63" s="368">
        <f>-'Table 5D1 - New Vision'!S64</f>
        <v>0</v>
      </c>
      <c r="R63" s="368">
        <f>-'Table 5D2 - Glencoe'!S64</f>
        <v>0</v>
      </c>
      <c r="S63" s="368">
        <f>-'Table 5D3 - International'!S64</f>
        <v>0</v>
      </c>
      <c r="T63" s="368">
        <f>-'Table 5D4 - Avoyelles'!S64</f>
        <v>0</v>
      </c>
      <c r="U63" s="368">
        <f>-'Table 5D5 - Delhi'!S64</f>
        <v>0</v>
      </c>
      <c r="V63" s="368">
        <f>-'Table 5D6 - Milestone'!S64</f>
        <v>0</v>
      </c>
      <c r="W63" s="368">
        <f>-'Table 5D7 - Max'!S64</f>
        <v>0</v>
      </c>
      <c r="X63" s="368">
        <f>-'Table 5D8 - Belle Chasse'!W64</f>
        <v>0</v>
      </c>
      <c r="Y63" s="368">
        <f>-'Table 5E_OJJ'!S64</f>
        <v>-84</v>
      </c>
      <c r="Z63" s="368">
        <f>-'Table 5A2 LSMSA'!L64</f>
        <v>-793</v>
      </c>
      <c r="AA63" s="368">
        <f>-'Table 5A3 NOCCA'!L64</f>
        <v>0</v>
      </c>
      <c r="AB63" s="368">
        <f>-'Table 5A4_LSDVI'!L64</f>
        <v>0</v>
      </c>
      <c r="AC63" s="368">
        <f>-'Table 5A5_SSD'!L64</f>
        <v>-305</v>
      </c>
      <c r="AD63" s="368"/>
      <c r="AE63" s="764">
        <f t="shared" si="44"/>
        <v>4716866</v>
      </c>
      <c r="AF63" s="368"/>
      <c r="AG63" s="368"/>
      <c r="AH63" s="368"/>
      <c r="AI63" s="368">
        <f>'Table 5C1A-Madison Prep'!P64</f>
        <v>0</v>
      </c>
      <c r="AJ63" s="368">
        <f>'Table 5C1B-DArbonne'!P64</f>
        <v>0</v>
      </c>
      <c r="AK63" s="368">
        <f>'Table 5C1C-Intl_VIBE'!P64</f>
        <v>0</v>
      </c>
      <c r="AL63" s="368">
        <f>'Table 5C1D-NOMMA'!P64</f>
        <v>0</v>
      </c>
      <c r="AM63" s="368">
        <f>'Table 5C1E-LFNO'!P64</f>
        <v>0</v>
      </c>
      <c r="AN63" s="368">
        <f>'Table 5C1F-Lake Charles Charter'!P64</f>
        <v>0</v>
      </c>
      <c r="AO63" s="368">
        <f>'Table 5C1G-JS Clark Academy'!P64</f>
        <v>0</v>
      </c>
      <c r="AP63" s="368">
        <f>'Table 5C1H-Southwest LA Charter'!P64</f>
        <v>0</v>
      </c>
      <c r="AQ63" s="368">
        <f>'Table 5C2 - LA Virtual Admy'!Q61</f>
        <v>-185</v>
      </c>
      <c r="AR63" s="368">
        <f>'Table 5C3 - LA Connections EBR'!Q61</f>
        <v>-52</v>
      </c>
      <c r="AS63" s="368">
        <f>'Table 5D1 - New Vision'!O64</f>
        <v>0</v>
      </c>
      <c r="AT63" s="368">
        <f>'Table 5D2 - Glencoe'!O64</f>
        <v>0</v>
      </c>
      <c r="AU63" s="368">
        <f>'Table 5D3 - International'!O64</f>
        <v>0</v>
      </c>
      <c r="AV63" s="368">
        <f>'Table 5D4 - Avoyelles'!O64</f>
        <v>0</v>
      </c>
      <c r="AW63" s="368">
        <f>'Table 5D5 - Delhi'!O64</f>
        <v>0</v>
      </c>
      <c r="AX63" s="368">
        <f>'Table 5D6 - Milestone'!O64</f>
        <v>0</v>
      </c>
      <c r="AY63" s="368">
        <f>'Table 5D7 - Max'!O64</f>
        <v>0</v>
      </c>
      <c r="AZ63" s="368">
        <f>'Table 5D8 - Belle Chasse'!S64</f>
        <v>0</v>
      </c>
      <c r="BA63" s="764">
        <f t="shared" si="45"/>
        <v>4716629</v>
      </c>
      <c r="BB63" s="47"/>
      <c r="BH63"/>
      <c r="BQ63"/>
    </row>
    <row r="64" spans="1:69">
      <c r="A64" s="101">
        <v>59</v>
      </c>
      <c r="B64" s="311" t="s">
        <v>159</v>
      </c>
      <c r="C64" s="320">
        <f>'Table 2_State Distrib and Adjs'!AD65</f>
        <v>3018887</v>
      </c>
      <c r="D64" s="368"/>
      <c r="E64" s="368"/>
      <c r="F64" s="368">
        <f>-'Table 5C1A-Madison Prep'!T65</f>
        <v>0</v>
      </c>
      <c r="G64" s="368">
        <f>-'Table 5C1B-DArbonne'!T65</f>
        <v>0</v>
      </c>
      <c r="H64" s="368">
        <f>-'Table 5C1C-Intl_VIBE'!T65</f>
        <v>0</v>
      </c>
      <c r="I64" s="368">
        <f>-'Table 5C1D-NOMMA'!T65</f>
        <v>0</v>
      </c>
      <c r="J64" s="368"/>
      <c r="K64" s="368">
        <f>-'Table 5C1E-LFNO'!T65</f>
        <v>0</v>
      </c>
      <c r="L64" s="368">
        <f>-'Table 5C1F-Lake Charles Charter'!T65</f>
        <v>0</v>
      </c>
      <c r="M64" s="368">
        <f>-'Table 5C1G-JS Clark Academy'!T65</f>
        <v>0</v>
      </c>
      <c r="N64" s="368">
        <f>-'Table 5C1H-Southwest LA Charter'!T65</f>
        <v>0</v>
      </c>
      <c r="O64" s="368">
        <f>-'Table 5C2 - LA Virtual Admy'!U62</f>
        <v>-1046</v>
      </c>
      <c r="P64" s="368">
        <f>-'Table 5C3 - LA Connections EBR'!U62</f>
        <v>-929</v>
      </c>
      <c r="Q64" s="368">
        <f>-'Table 5D1 - New Vision'!S65</f>
        <v>0</v>
      </c>
      <c r="R64" s="368">
        <f>-'Table 5D2 - Glencoe'!S65</f>
        <v>0</v>
      </c>
      <c r="S64" s="368">
        <f>-'Table 5D3 - International'!S65</f>
        <v>0</v>
      </c>
      <c r="T64" s="368">
        <f>-'Table 5D4 - Avoyelles'!S65</f>
        <v>0</v>
      </c>
      <c r="U64" s="368">
        <f>-'Table 5D5 - Delhi'!S65</f>
        <v>0</v>
      </c>
      <c r="V64" s="368">
        <f>-'Table 5D6 - Milestone'!S65</f>
        <v>0</v>
      </c>
      <c r="W64" s="368">
        <f>-'Table 5D7 - Max'!S65</f>
        <v>0</v>
      </c>
      <c r="X64" s="368">
        <f>-'Table 5D8 - Belle Chasse'!W65</f>
        <v>0</v>
      </c>
      <c r="Y64" s="368">
        <f>-'Table 5E_OJJ'!S65</f>
        <v>-537</v>
      </c>
      <c r="Z64" s="368">
        <f>-'Table 5A2 LSMSA'!L65</f>
        <v>0</v>
      </c>
      <c r="AA64" s="368">
        <f>-'Table 5A3 NOCCA'!L65</f>
        <v>0</v>
      </c>
      <c r="AB64" s="368">
        <f>-'Table 5A4_LSDVI'!L65</f>
        <v>-141</v>
      </c>
      <c r="AC64" s="368">
        <f>-'Table 5A5_SSD'!L65</f>
        <v>-985</v>
      </c>
      <c r="AD64" s="368"/>
      <c r="AE64" s="764">
        <f t="shared" si="44"/>
        <v>3015249</v>
      </c>
      <c r="AF64" s="368"/>
      <c r="AG64" s="368"/>
      <c r="AH64" s="368"/>
      <c r="AI64" s="368">
        <f>'Table 5C1A-Madison Prep'!P65</f>
        <v>0</v>
      </c>
      <c r="AJ64" s="368">
        <f>'Table 5C1B-DArbonne'!P65</f>
        <v>0</v>
      </c>
      <c r="AK64" s="368">
        <f>'Table 5C1C-Intl_VIBE'!P65</f>
        <v>0</v>
      </c>
      <c r="AL64" s="368">
        <f>'Table 5C1D-NOMMA'!P65</f>
        <v>0</v>
      </c>
      <c r="AM64" s="368">
        <f>'Table 5C1E-LFNO'!P65</f>
        <v>0</v>
      </c>
      <c r="AN64" s="368">
        <f>'Table 5C1F-Lake Charles Charter'!P65</f>
        <v>0</v>
      </c>
      <c r="AO64" s="368">
        <f>'Table 5C1G-JS Clark Academy'!P65</f>
        <v>0</v>
      </c>
      <c r="AP64" s="368">
        <f>'Table 5C1H-Southwest LA Charter'!P65</f>
        <v>0</v>
      </c>
      <c r="AQ64" s="368">
        <f>'Table 5C2 - LA Virtual Admy'!Q62</f>
        <v>-31</v>
      </c>
      <c r="AR64" s="368">
        <f>'Table 5C3 - LA Connections EBR'!Q62</f>
        <v>-28</v>
      </c>
      <c r="AS64" s="368">
        <f>'Table 5D1 - New Vision'!O65</f>
        <v>0</v>
      </c>
      <c r="AT64" s="368">
        <f>'Table 5D2 - Glencoe'!O65</f>
        <v>0</v>
      </c>
      <c r="AU64" s="368">
        <f>'Table 5D3 - International'!O65</f>
        <v>0</v>
      </c>
      <c r="AV64" s="368">
        <f>'Table 5D4 - Avoyelles'!O65</f>
        <v>0</v>
      </c>
      <c r="AW64" s="368">
        <f>'Table 5D5 - Delhi'!O65</f>
        <v>0</v>
      </c>
      <c r="AX64" s="368">
        <f>'Table 5D6 - Milestone'!O65</f>
        <v>0</v>
      </c>
      <c r="AY64" s="368">
        <f>'Table 5D7 - Max'!O65</f>
        <v>0</v>
      </c>
      <c r="AZ64" s="368">
        <f>'Table 5D8 - Belle Chasse'!S65</f>
        <v>0</v>
      </c>
      <c r="BA64" s="764">
        <f t="shared" si="45"/>
        <v>3015190</v>
      </c>
      <c r="BB64" s="47"/>
      <c r="BH64"/>
      <c r="BQ64"/>
    </row>
    <row r="65" spans="1:69">
      <c r="A65" s="102">
        <v>60</v>
      </c>
      <c r="B65" s="312" t="s">
        <v>160</v>
      </c>
      <c r="C65" s="329">
        <f>'Table 2_State Distrib and Adjs'!AD66</f>
        <v>2906153</v>
      </c>
      <c r="D65" s="369"/>
      <c r="E65" s="369"/>
      <c r="F65" s="369">
        <f>-'Table 5C1A-Madison Prep'!T66</f>
        <v>0</v>
      </c>
      <c r="G65" s="369">
        <f>-'Table 5C1B-DArbonne'!T66</f>
        <v>0</v>
      </c>
      <c r="H65" s="369">
        <f>-'Table 5C1C-Intl_VIBE'!T66</f>
        <v>0</v>
      </c>
      <c r="I65" s="369">
        <f>-'Table 5C1D-NOMMA'!T66</f>
        <v>0</v>
      </c>
      <c r="J65" s="369"/>
      <c r="K65" s="369">
        <f>-'Table 5C1E-LFNO'!T66</f>
        <v>0</v>
      </c>
      <c r="L65" s="369">
        <f>-'Table 5C1F-Lake Charles Charter'!T66</f>
        <v>0</v>
      </c>
      <c r="M65" s="369">
        <f>-'Table 5C1G-JS Clark Academy'!T66</f>
        <v>0</v>
      </c>
      <c r="N65" s="369">
        <f>-'Table 5C1H-Southwest LA Charter'!T66</f>
        <v>0</v>
      </c>
      <c r="O65" s="369">
        <f>-'Table 5C2 - LA Virtual Admy'!U63</f>
        <v>-4830</v>
      </c>
      <c r="P65" s="369">
        <f>-'Table 5C3 - LA Connections EBR'!U63</f>
        <v>-4546</v>
      </c>
      <c r="Q65" s="369">
        <f>-'Table 5D1 - New Vision'!S66</f>
        <v>0</v>
      </c>
      <c r="R65" s="369">
        <f>-'Table 5D2 - Glencoe'!S66</f>
        <v>0</v>
      </c>
      <c r="S65" s="369">
        <f>-'Table 5D3 - International'!S66</f>
        <v>0</v>
      </c>
      <c r="T65" s="369">
        <f>-'Table 5D4 - Avoyelles'!S66</f>
        <v>0</v>
      </c>
      <c r="U65" s="369">
        <f>-'Table 5D5 - Delhi'!S66</f>
        <v>0</v>
      </c>
      <c r="V65" s="369">
        <f>-'Table 5D6 - Milestone'!S66</f>
        <v>0</v>
      </c>
      <c r="W65" s="369">
        <f>-'Table 5D7 - Max'!S66</f>
        <v>0</v>
      </c>
      <c r="X65" s="369">
        <f>-'Table 5D8 - Belle Chasse'!W66</f>
        <v>0</v>
      </c>
      <c r="Y65" s="369">
        <f>-'Table 5E_OJJ'!S66</f>
        <v>-984</v>
      </c>
      <c r="Z65" s="369">
        <f>-'Table 5A2 LSMSA'!L66</f>
        <v>-487</v>
      </c>
      <c r="AA65" s="369">
        <f>-'Table 5A3 NOCCA'!L66</f>
        <v>0</v>
      </c>
      <c r="AB65" s="369">
        <f>-'Table 5A4_LSDVI'!L66</f>
        <v>-841</v>
      </c>
      <c r="AC65" s="369">
        <f>-'Table 5A5_SSD'!L66</f>
        <v>-841</v>
      </c>
      <c r="AD65" s="369"/>
      <c r="AE65" s="765">
        <f t="shared" si="44"/>
        <v>2893624</v>
      </c>
      <c r="AF65" s="369"/>
      <c r="AG65" s="369"/>
      <c r="AH65" s="369"/>
      <c r="AI65" s="369">
        <f>'Table 5C1A-Madison Prep'!P66</f>
        <v>0</v>
      </c>
      <c r="AJ65" s="369">
        <f>'Table 5C1B-DArbonne'!P66</f>
        <v>0</v>
      </c>
      <c r="AK65" s="369">
        <f>'Table 5C1C-Intl_VIBE'!P66</f>
        <v>0</v>
      </c>
      <c r="AL65" s="369">
        <f>'Table 5C1D-NOMMA'!P66</f>
        <v>0</v>
      </c>
      <c r="AM65" s="369">
        <f>'Table 5C1E-LFNO'!P66</f>
        <v>0</v>
      </c>
      <c r="AN65" s="369">
        <f>'Table 5C1F-Lake Charles Charter'!P66</f>
        <v>0</v>
      </c>
      <c r="AO65" s="369">
        <f>'Table 5C1G-JS Clark Academy'!P66</f>
        <v>0</v>
      </c>
      <c r="AP65" s="369">
        <f>'Table 5C1H-Southwest LA Charter'!P66</f>
        <v>0</v>
      </c>
      <c r="AQ65" s="369">
        <f>'Table 5C2 - LA Virtual Admy'!Q63</f>
        <v>-145</v>
      </c>
      <c r="AR65" s="369">
        <f>'Table 5C3 - LA Connections EBR'!Q63</f>
        <v>-137</v>
      </c>
      <c r="AS65" s="369">
        <f>'Table 5D1 - New Vision'!O66</f>
        <v>0</v>
      </c>
      <c r="AT65" s="369">
        <f>'Table 5D2 - Glencoe'!O66</f>
        <v>0</v>
      </c>
      <c r="AU65" s="369">
        <f>'Table 5D3 - International'!O66</f>
        <v>0</v>
      </c>
      <c r="AV65" s="369">
        <f>'Table 5D4 - Avoyelles'!O66</f>
        <v>0</v>
      </c>
      <c r="AW65" s="369">
        <f>'Table 5D5 - Delhi'!O66</f>
        <v>0</v>
      </c>
      <c r="AX65" s="369">
        <f>'Table 5D6 - Milestone'!O66</f>
        <v>0</v>
      </c>
      <c r="AY65" s="369">
        <f>'Table 5D7 - Max'!O66</f>
        <v>0</v>
      </c>
      <c r="AZ65" s="369">
        <f>'Table 5D8 - Belle Chasse'!S66</f>
        <v>0</v>
      </c>
      <c r="BA65" s="765">
        <f t="shared" si="45"/>
        <v>2893342</v>
      </c>
      <c r="BB65" s="47"/>
      <c r="BH65"/>
      <c r="BQ65"/>
    </row>
    <row r="66" spans="1:69">
      <c r="A66" s="101">
        <v>61</v>
      </c>
      <c r="B66" s="311" t="s">
        <v>161</v>
      </c>
      <c r="C66" s="320">
        <f>'Table 2_State Distrib and Adjs'!AD67</f>
        <v>1140932</v>
      </c>
      <c r="D66" s="368"/>
      <c r="E66" s="368"/>
      <c r="F66" s="368">
        <f>-'Table 5C1A-Madison Prep'!T67</f>
        <v>0</v>
      </c>
      <c r="G66" s="368">
        <f>-'Table 5C1B-DArbonne'!T67</f>
        <v>0</v>
      </c>
      <c r="H66" s="368">
        <f>-'Table 5C1C-Intl_VIBE'!T67</f>
        <v>0</v>
      </c>
      <c r="I66" s="368">
        <f>-'Table 5C1D-NOMMA'!T67</f>
        <v>0</v>
      </c>
      <c r="J66" s="368"/>
      <c r="K66" s="368">
        <f>-'Table 5C1E-LFNO'!T67</f>
        <v>0</v>
      </c>
      <c r="L66" s="368">
        <f>-'Table 5C1F-Lake Charles Charter'!T67</f>
        <v>0</v>
      </c>
      <c r="M66" s="368">
        <f>-'Table 5C1G-JS Clark Academy'!T67</f>
        <v>0</v>
      </c>
      <c r="N66" s="368">
        <f>-'Table 5C1H-Southwest LA Charter'!T67</f>
        <v>0</v>
      </c>
      <c r="O66" s="368">
        <f>-'Table 5C2 - LA Virtual Admy'!U64</f>
        <v>-7599</v>
      </c>
      <c r="P66" s="368">
        <f>-'Table 5C3 - LA Connections EBR'!U64</f>
        <v>0</v>
      </c>
      <c r="Q66" s="368">
        <f>-'Table 5D1 - New Vision'!S67</f>
        <v>0</v>
      </c>
      <c r="R66" s="368">
        <f>-'Table 5D2 - Glencoe'!S67</f>
        <v>0</v>
      </c>
      <c r="S66" s="368">
        <f>-'Table 5D3 - International'!S67</f>
        <v>0</v>
      </c>
      <c r="T66" s="368">
        <f>-'Table 5D4 - Avoyelles'!S67</f>
        <v>0</v>
      </c>
      <c r="U66" s="368">
        <f>-'Table 5D5 - Delhi'!S67</f>
        <v>0</v>
      </c>
      <c r="V66" s="368">
        <f>-'Table 5D6 - Milestone'!S67</f>
        <v>0</v>
      </c>
      <c r="W66" s="368">
        <f>-'Table 5D7 - Max'!S67</f>
        <v>0</v>
      </c>
      <c r="X66" s="368">
        <f>-'Table 5D8 - Belle Chasse'!W67</f>
        <v>0</v>
      </c>
      <c r="Y66" s="368">
        <f>-'Table 5E_OJJ'!S67</f>
        <v>-1108</v>
      </c>
      <c r="Z66" s="368">
        <f>-'Table 5A2 LSMSA'!L67</f>
        <v>-216</v>
      </c>
      <c r="AA66" s="368">
        <f>-'Table 5A3 NOCCA'!L67</f>
        <v>0</v>
      </c>
      <c r="AB66" s="368">
        <f>-'Table 5A4_LSDVI'!L67</f>
        <v>-2798</v>
      </c>
      <c r="AC66" s="368">
        <f>-'Table 5A5_SSD'!L67</f>
        <v>-1199</v>
      </c>
      <c r="AD66" s="368"/>
      <c r="AE66" s="764">
        <f t="shared" si="44"/>
        <v>1128012</v>
      </c>
      <c r="AF66" s="368"/>
      <c r="AG66" s="368"/>
      <c r="AH66" s="368"/>
      <c r="AI66" s="368">
        <f>'Table 5C1A-Madison Prep'!P67</f>
        <v>0</v>
      </c>
      <c r="AJ66" s="368">
        <f>'Table 5C1B-DArbonne'!P67</f>
        <v>0</v>
      </c>
      <c r="AK66" s="368">
        <f>'Table 5C1C-Intl_VIBE'!P67</f>
        <v>0</v>
      </c>
      <c r="AL66" s="368">
        <f>'Table 5C1D-NOMMA'!P67</f>
        <v>0</v>
      </c>
      <c r="AM66" s="368">
        <f>'Table 5C1E-LFNO'!P67</f>
        <v>0</v>
      </c>
      <c r="AN66" s="368">
        <f>'Table 5C1F-Lake Charles Charter'!P67</f>
        <v>0</v>
      </c>
      <c r="AO66" s="368">
        <f>'Table 5C1G-JS Clark Academy'!P67</f>
        <v>0</v>
      </c>
      <c r="AP66" s="368">
        <f>'Table 5C1H-Southwest LA Charter'!P67</f>
        <v>0</v>
      </c>
      <c r="AQ66" s="368">
        <f>'Table 5C2 - LA Virtual Admy'!Q64</f>
        <v>-242</v>
      </c>
      <c r="AR66" s="368">
        <f>'Table 5C3 - LA Connections EBR'!Q64</f>
        <v>0</v>
      </c>
      <c r="AS66" s="368">
        <f>'Table 5D1 - New Vision'!O67</f>
        <v>0</v>
      </c>
      <c r="AT66" s="368">
        <f>'Table 5D2 - Glencoe'!O67</f>
        <v>0</v>
      </c>
      <c r="AU66" s="368">
        <f>'Table 5D3 - International'!O67</f>
        <v>0</v>
      </c>
      <c r="AV66" s="368">
        <f>'Table 5D4 - Avoyelles'!O67</f>
        <v>0</v>
      </c>
      <c r="AW66" s="368">
        <f>'Table 5D5 - Delhi'!O67</f>
        <v>0</v>
      </c>
      <c r="AX66" s="368">
        <f>'Table 5D6 - Milestone'!O67</f>
        <v>0</v>
      </c>
      <c r="AY66" s="368">
        <f>'Table 5D7 - Max'!O67</f>
        <v>0</v>
      </c>
      <c r="AZ66" s="368">
        <f>'Table 5D8 - Belle Chasse'!S67</f>
        <v>0</v>
      </c>
      <c r="BA66" s="764">
        <f t="shared" si="45"/>
        <v>1127770</v>
      </c>
      <c r="BB66" s="47"/>
      <c r="BH66"/>
      <c r="BQ66"/>
    </row>
    <row r="67" spans="1:69">
      <c r="A67" s="101">
        <v>62</v>
      </c>
      <c r="B67" s="311" t="s">
        <v>162</v>
      </c>
      <c r="C67" s="320">
        <f>'Table 2_State Distrib and Adjs'!AD68</f>
        <v>1062662</v>
      </c>
      <c r="D67" s="368"/>
      <c r="E67" s="368"/>
      <c r="F67" s="368">
        <f>-'Table 5C1A-Madison Prep'!T68</f>
        <v>0</v>
      </c>
      <c r="G67" s="368">
        <f>-'Table 5C1B-DArbonne'!T68</f>
        <v>0</v>
      </c>
      <c r="H67" s="368">
        <f>-'Table 5C1C-Intl_VIBE'!T68</f>
        <v>0</v>
      </c>
      <c r="I67" s="368">
        <f>-'Table 5C1D-NOMMA'!T68</f>
        <v>0</v>
      </c>
      <c r="J67" s="368"/>
      <c r="K67" s="368">
        <f>-'Table 5C1E-LFNO'!T68</f>
        <v>0</v>
      </c>
      <c r="L67" s="368">
        <f>-'Table 5C1F-Lake Charles Charter'!T68</f>
        <v>0</v>
      </c>
      <c r="M67" s="368">
        <f>-'Table 5C1G-JS Clark Academy'!T68</f>
        <v>0</v>
      </c>
      <c r="N67" s="368">
        <f>-'Table 5C1H-Southwest LA Charter'!T68</f>
        <v>0</v>
      </c>
      <c r="O67" s="368">
        <f>-'Table 5C2 - LA Virtual Admy'!U65</f>
        <v>-126</v>
      </c>
      <c r="P67" s="368">
        <f>-'Table 5C3 - LA Connections EBR'!U65</f>
        <v>-251</v>
      </c>
      <c r="Q67" s="368">
        <f>-'Table 5D1 - New Vision'!S68</f>
        <v>0</v>
      </c>
      <c r="R67" s="368">
        <f>-'Table 5D2 - Glencoe'!S68</f>
        <v>0</v>
      </c>
      <c r="S67" s="368">
        <f>-'Table 5D3 - International'!S68</f>
        <v>0</v>
      </c>
      <c r="T67" s="368">
        <f>-'Table 5D4 - Avoyelles'!S68</f>
        <v>0</v>
      </c>
      <c r="U67" s="368">
        <f>-'Table 5D5 - Delhi'!S68</f>
        <v>-4324</v>
      </c>
      <c r="V67" s="368">
        <f>-'Table 5D6 - Milestone'!S68</f>
        <v>0</v>
      </c>
      <c r="W67" s="368">
        <f>-'Table 5D7 - Max'!S68</f>
        <v>0</v>
      </c>
      <c r="X67" s="368">
        <f>-'Table 5D8 - Belle Chasse'!W68</f>
        <v>0</v>
      </c>
      <c r="Y67" s="368">
        <f>-'Table 5E_OJJ'!S68</f>
        <v>-49</v>
      </c>
      <c r="Z67" s="368">
        <f>-'Table 5A2 LSMSA'!L68</f>
        <v>0</v>
      </c>
      <c r="AA67" s="368">
        <f>-'Table 5A3 NOCCA'!L68</f>
        <v>0</v>
      </c>
      <c r="AB67" s="368">
        <f>-'Table 5A4_LSDVI'!L68</f>
        <v>0</v>
      </c>
      <c r="AC67" s="368">
        <f>-'Table 5A5_SSD'!L68</f>
        <v>-282</v>
      </c>
      <c r="AD67" s="368"/>
      <c r="AE67" s="764">
        <f t="shared" si="44"/>
        <v>1057630</v>
      </c>
      <c r="AF67" s="368"/>
      <c r="AG67" s="368"/>
      <c r="AH67" s="368"/>
      <c r="AI67" s="368">
        <f>'Table 5C1A-Madison Prep'!P68</f>
        <v>0</v>
      </c>
      <c r="AJ67" s="368">
        <f>'Table 5C1B-DArbonne'!P68</f>
        <v>0</v>
      </c>
      <c r="AK67" s="368">
        <f>'Table 5C1C-Intl_VIBE'!P68</f>
        <v>0</v>
      </c>
      <c r="AL67" s="368">
        <f>'Table 5C1D-NOMMA'!P68</f>
        <v>0</v>
      </c>
      <c r="AM67" s="368">
        <f>'Table 5C1E-LFNO'!P68</f>
        <v>0</v>
      </c>
      <c r="AN67" s="368">
        <f>'Table 5C1F-Lake Charles Charter'!P68</f>
        <v>0</v>
      </c>
      <c r="AO67" s="368">
        <f>'Table 5C1G-JS Clark Academy'!P68</f>
        <v>0</v>
      </c>
      <c r="AP67" s="368">
        <f>'Table 5C1H-Southwest LA Charter'!P68</f>
        <v>0</v>
      </c>
      <c r="AQ67" s="368">
        <f>'Table 5C2 - LA Virtual Admy'!Q65</f>
        <v>-4</v>
      </c>
      <c r="AR67" s="368">
        <f>'Table 5C3 - LA Connections EBR'!Q65</f>
        <v>-8</v>
      </c>
      <c r="AS67" s="368">
        <f>'Table 5D1 - New Vision'!O68</f>
        <v>0</v>
      </c>
      <c r="AT67" s="368">
        <f>'Table 5D2 - Glencoe'!O68</f>
        <v>0</v>
      </c>
      <c r="AU67" s="368">
        <f>'Table 5D3 - International'!O68</f>
        <v>0</v>
      </c>
      <c r="AV67" s="368">
        <f>'Table 5D4 - Avoyelles'!O68</f>
        <v>0</v>
      </c>
      <c r="AW67" s="368">
        <f>'Table 5D5 - Delhi'!O68</f>
        <v>-130.04500000000002</v>
      </c>
      <c r="AX67" s="368">
        <f>'Table 5D6 - Milestone'!O68</f>
        <v>0</v>
      </c>
      <c r="AY67" s="368">
        <f>'Table 5D7 - Max'!O68</f>
        <v>0</v>
      </c>
      <c r="AZ67" s="368">
        <f>'Table 5D8 - Belle Chasse'!S68</f>
        <v>0</v>
      </c>
      <c r="BA67" s="764">
        <f t="shared" si="45"/>
        <v>1057487.9550000001</v>
      </c>
      <c r="BB67" s="47"/>
      <c r="BH67"/>
      <c r="BQ67"/>
    </row>
    <row r="68" spans="1:69">
      <c r="A68" s="101">
        <v>63</v>
      </c>
      <c r="B68" s="311" t="s">
        <v>163</v>
      </c>
      <c r="C68" s="320">
        <f>'Table 2_State Distrib and Adjs'!AD69</f>
        <v>873484</v>
      </c>
      <c r="D68" s="368"/>
      <c r="E68" s="368"/>
      <c r="F68" s="368">
        <f>-'Table 5C1A-Madison Prep'!T69</f>
        <v>0</v>
      </c>
      <c r="G68" s="368">
        <f>-'Table 5C1B-DArbonne'!T69</f>
        <v>0</v>
      </c>
      <c r="H68" s="368">
        <f>-'Table 5C1C-Intl_VIBE'!T69</f>
        <v>0</v>
      </c>
      <c r="I68" s="368">
        <f>-'Table 5C1D-NOMMA'!T69</f>
        <v>0</v>
      </c>
      <c r="J68" s="368"/>
      <c r="K68" s="368">
        <f>-'Table 5C1E-LFNO'!T69</f>
        <v>0</v>
      </c>
      <c r="L68" s="368">
        <f>-'Table 5C1F-Lake Charles Charter'!T69</f>
        <v>0</v>
      </c>
      <c r="M68" s="368">
        <f>-'Table 5C1G-JS Clark Academy'!T69</f>
        <v>0</v>
      </c>
      <c r="N68" s="368">
        <f>-'Table 5C1H-Southwest LA Charter'!T69</f>
        <v>0</v>
      </c>
      <c r="O68" s="368">
        <f>-'Table 5C2 - LA Virtual Admy'!U66</f>
        <v>0</v>
      </c>
      <c r="P68" s="368">
        <f>-'Table 5C3 - LA Connections EBR'!U66</f>
        <v>-2928</v>
      </c>
      <c r="Q68" s="368">
        <f>-'Table 5D1 - New Vision'!S69</f>
        <v>0</v>
      </c>
      <c r="R68" s="368">
        <f>-'Table 5D2 - Glencoe'!S69</f>
        <v>0</v>
      </c>
      <c r="S68" s="368">
        <f>-'Table 5D3 - International'!S69</f>
        <v>0</v>
      </c>
      <c r="T68" s="368">
        <f>-'Table 5D4 - Avoyelles'!S69</f>
        <v>0</v>
      </c>
      <c r="U68" s="368">
        <f>-'Table 5D5 - Delhi'!S69</f>
        <v>0</v>
      </c>
      <c r="V68" s="368">
        <f>-'Table 5D6 - Milestone'!S69</f>
        <v>0</v>
      </c>
      <c r="W68" s="368">
        <f>-'Table 5D7 - Max'!S69</f>
        <v>0</v>
      </c>
      <c r="X68" s="368">
        <f>-'Table 5D8 - Belle Chasse'!W69</f>
        <v>0</v>
      </c>
      <c r="Y68" s="368">
        <f>-'Table 5E_OJJ'!S69</f>
        <v>-619</v>
      </c>
      <c r="Z68" s="368">
        <f>-'Table 5A2 LSMSA'!L69</f>
        <v>-438</v>
      </c>
      <c r="AA68" s="368">
        <f>-'Table 5A3 NOCCA'!L69</f>
        <v>0</v>
      </c>
      <c r="AB68" s="368">
        <f>-'Table 5A4_LSDVI'!L69</f>
        <v>-417</v>
      </c>
      <c r="AC68" s="368">
        <f>-'Table 5A5_SSD'!L69</f>
        <v>-417</v>
      </c>
      <c r="AD68" s="368"/>
      <c r="AE68" s="764">
        <f t="shared" si="44"/>
        <v>868665</v>
      </c>
      <c r="AF68" s="368"/>
      <c r="AG68" s="368"/>
      <c r="AH68" s="368"/>
      <c r="AI68" s="368">
        <f>'Table 5C1A-Madison Prep'!P69</f>
        <v>0</v>
      </c>
      <c r="AJ68" s="368">
        <f>'Table 5C1B-DArbonne'!P69</f>
        <v>0</v>
      </c>
      <c r="AK68" s="368">
        <f>'Table 5C1C-Intl_VIBE'!P69</f>
        <v>0</v>
      </c>
      <c r="AL68" s="368">
        <f>'Table 5C1D-NOMMA'!P69</f>
        <v>0</v>
      </c>
      <c r="AM68" s="368">
        <f>'Table 5C1E-LFNO'!P69</f>
        <v>0</v>
      </c>
      <c r="AN68" s="368">
        <f>'Table 5C1F-Lake Charles Charter'!P69</f>
        <v>0</v>
      </c>
      <c r="AO68" s="368">
        <f>'Table 5C1G-JS Clark Academy'!P69</f>
        <v>0</v>
      </c>
      <c r="AP68" s="368">
        <f>'Table 5C1H-Southwest LA Charter'!P69</f>
        <v>0</v>
      </c>
      <c r="AQ68" s="368">
        <f>'Table 5C2 - LA Virtual Admy'!Q66</f>
        <v>0</v>
      </c>
      <c r="AR68" s="368">
        <f>'Table 5C3 - LA Connections EBR'!Q66</f>
        <v>-88</v>
      </c>
      <c r="AS68" s="368">
        <f>'Table 5D1 - New Vision'!O69</f>
        <v>0</v>
      </c>
      <c r="AT68" s="368">
        <f>'Table 5D2 - Glencoe'!O69</f>
        <v>0</v>
      </c>
      <c r="AU68" s="368">
        <f>'Table 5D3 - International'!O69</f>
        <v>0</v>
      </c>
      <c r="AV68" s="368">
        <f>'Table 5D4 - Avoyelles'!O69</f>
        <v>0</v>
      </c>
      <c r="AW68" s="368">
        <f>'Table 5D5 - Delhi'!O69</f>
        <v>0</v>
      </c>
      <c r="AX68" s="368">
        <f>'Table 5D6 - Milestone'!O69</f>
        <v>0</v>
      </c>
      <c r="AY68" s="368">
        <f>'Table 5D7 - Max'!O69</f>
        <v>0</v>
      </c>
      <c r="AZ68" s="368">
        <f>'Table 5D8 - Belle Chasse'!S69</f>
        <v>0</v>
      </c>
      <c r="BA68" s="764">
        <f t="shared" si="45"/>
        <v>868577</v>
      </c>
      <c r="BB68" s="47"/>
      <c r="BH68"/>
      <c r="BQ68"/>
    </row>
    <row r="69" spans="1:69">
      <c r="A69" s="101">
        <v>64</v>
      </c>
      <c r="B69" s="311" t="s">
        <v>164</v>
      </c>
      <c r="C69" s="320">
        <f>'Table 2_State Distrib and Adjs'!AD70</f>
        <v>1301777</v>
      </c>
      <c r="D69" s="368"/>
      <c r="E69" s="368"/>
      <c r="F69" s="368">
        <f>-'Table 5C1A-Madison Prep'!T70</f>
        <v>0</v>
      </c>
      <c r="G69" s="368">
        <f>-'Table 5C1B-DArbonne'!T70</f>
        <v>0</v>
      </c>
      <c r="H69" s="368">
        <f>-'Table 5C1C-Intl_VIBE'!T70</f>
        <v>0</v>
      </c>
      <c r="I69" s="368">
        <f>-'Table 5C1D-NOMMA'!T70</f>
        <v>0</v>
      </c>
      <c r="J69" s="368"/>
      <c r="K69" s="368">
        <f>-'Table 5C1E-LFNO'!T70</f>
        <v>0</v>
      </c>
      <c r="L69" s="368">
        <f>-'Table 5C1F-Lake Charles Charter'!T70</f>
        <v>0</v>
      </c>
      <c r="M69" s="368">
        <f>-'Table 5C1G-JS Clark Academy'!T70</f>
        <v>0</v>
      </c>
      <c r="N69" s="368">
        <f>-'Table 5C1H-Southwest LA Charter'!T70</f>
        <v>0</v>
      </c>
      <c r="O69" s="368">
        <f>-'Table 5C2 - LA Virtual Admy'!U67</f>
        <v>-398</v>
      </c>
      <c r="P69" s="368">
        <f>-'Table 5C3 - LA Connections EBR'!U67</f>
        <v>-199</v>
      </c>
      <c r="Q69" s="368">
        <f>-'Table 5D1 - New Vision'!S70</f>
        <v>0</v>
      </c>
      <c r="R69" s="368">
        <f>-'Table 5D2 - Glencoe'!S70</f>
        <v>0</v>
      </c>
      <c r="S69" s="368">
        <f>-'Table 5D3 - International'!S70</f>
        <v>0</v>
      </c>
      <c r="T69" s="368">
        <f>-'Table 5D4 - Avoyelles'!S70</f>
        <v>0</v>
      </c>
      <c r="U69" s="368">
        <f>-'Table 5D5 - Delhi'!S70</f>
        <v>0</v>
      </c>
      <c r="V69" s="368">
        <f>-'Table 5D6 - Milestone'!S70</f>
        <v>0</v>
      </c>
      <c r="W69" s="368">
        <f>-'Table 5D7 - Max'!S70</f>
        <v>0</v>
      </c>
      <c r="X69" s="368">
        <f>-'Table 5D8 - Belle Chasse'!W70</f>
        <v>0</v>
      </c>
      <c r="Y69" s="368">
        <f>-'Table 5E_OJJ'!S70</f>
        <v>0</v>
      </c>
      <c r="Z69" s="368">
        <f>-'Table 5A2 LSMSA'!L70</f>
        <v>-171</v>
      </c>
      <c r="AA69" s="368">
        <f>-'Table 5A3 NOCCA'!L70</f>
        <v>0</v>
      </c>
      <c r="AB69" s="368">
        <f>-'Table 5A4_LSDVI'!L70</f>
        <v>-229</v>
      </c>
      <c r="AC69" s="368">
        <f>-'Table 5A5_SSD'!L70</f>
        <v>-229</v>
      </c>
      <c r="AD69" s="368"/>
      <c r="AE69" s="764">
        <f t="shared" si="44"/>
        <v>1300551</v>
      </c>
      <c r="AF69" s="368"/>
      <c r="AG69" s="368"/>
      <c r="AH69" s="368"/>
      <c r="AI69" s="368">
        <f>'Table 5C1A-Madison Prep'!P70</f>
        <v>0</v>
      </c>
      <c r="AJ69" s="368">
        <f>'Table 5C1B-DArbonne'!P70</f>
        <v>0</v>
      </c>
      <c r="AK69" s="368">
        <f>'Table 5C1C-Intl_VIBE'!P70</f>
        <v>0</v>
      </c>
      <c r="AL69" s="368">
        <f>'Table 5C1D-NOMMA'!P70</f>
        <v>0</v>
      </c>
      <c r="AM69" s="368">
        <f>'Table 5C1E-LFNO'!P70</f>
        <v>0</v>
      </c>
      <c r="AN69" s="368">
        <f>'Table 5C1F-Lake Charles Charter'!P70</f>
        <v>0</v>
      </c>
      <c r="AO69" s="368">
        <f>'Table 5C1G-JS Clark Academy'!P70</f>
        <v>0</v>
      </c>
      <c r="AP69" s="368">
        <f>'Table 5C1H-Southwest LA Charter'!P70</f>
        <v>0</v>
      </c>
      <c r="AQ69" s="368">
        <f>'Table 5C2 - LA Virtual Admy'!Q67</f>
        <v>-12</v>
      </c>
      <c r="AR69" s="368">
        <f>'Table 5C3 - LA Connections EBR'!Q67</f>
        <v>-6</v>
      </c>
      <c r="AS69" s="368">
        <f>'Table 5D1 - New Vision'!O70</f>
        <v>0</v>
      </c>
      <c r="AT69" s="368">
        <f>'Table 5D2 - Glencoe'!O70</f>
        <v>0</v>
      </c>
      <c r="AU69" s="368">
        <f>'Table 5D3 - International'!O70</f>
        <v>0</v>
      </c>
      <c r="AV69" s="368">
        <f>'Table 5D4 - Avoyelles'!O70</f>
        <v>0</v>
      </c>
      <c r="AW69" s="368">
        <f>'Table 5D5 - Delhi'!O70</f>
        <v>0</v>
      </c>
      <c r="AX69" s="368">
        <f>'Table 5D6 - Milestone'!O70</f>
        <v>0</v>
      </c>
      <c r="AY69" s="368">
        <f>'Table 5D7 - Max'!O70</f>
        <v>0</v>
      </c>
      <c r="AZ69" s="368">
        <f>'Table 5D8 - Belle Chasse'!S70</f>
        <v>0</v>
      </c>
      <c r="BA69" s="764">
        <f t="shared" si="45"/>
        <v>1300533</v>
      </c>
      <c r="BB69" s="47"/>
      <c r="BH69"/>
      <c r="BQ69"/>
    </row>
    <row r="70" spans="1:69">
      <c r="A70" s="102">
        <v>65</v>
      </c>
      <c r="B70" s="312" t="s">
        <v>165</v>
      </c>
      <c r="C70" s="329">
        <f>'Table 2_State Distrib and Adjs'!AD71</f>
        <v>3742285</v>
      </c>
      <c r="D70" s="369"/>
      <c r="E70" s="369"/>
      <c r="F70" s="369">
        <f>-'Table 5C1A-Madison Prep'!T71</f>
        <v>0</v>
      </c>
      <c r="G70" s="369">
        <f>-'Table 5C1B-DArbonne'!T71</f>
        <v>0</v>
      </c>
      <c r="H70" s="369">
        <f>-'Table 5C1C-Intl_VIBE'!T71</f>
        <v>0</v>
      </c>
      <c r="I70" s="369">
        <f>-'Table 5C1D-NOMMA'!T71</f>
        <v>0</v>
      </c>
      <c r="J70" s="369"/>
      <c r="K70" s="369">
        <f>-'Table 5C1E-LFNO'!T71</f>
        <v>0</v>
      </c>
      <c r="L70" s="369">
        <f>-'Table 5C1F-Lake Charles Charter'!T71</f>
        <v>0</v>
      </c>
      <c r="M70" s="369">
        <f>-'Table 5C1G-JS Clark Academy'!T71</f>
        <v>0</v>
      </c>
      <c r="N70" s="369">
        <f>-'Table 5C1H-Southwest LA Charter'!T71</f>
        <v>0</v>
      </c>
      <c r="O70" s="369">
        <f>-'Table 5C2 - LA Virtual Admy'!U68</f>
        <v>-1732</v>
      </c>
      <c r="P70" s="369">
        <f>-'Table 5C3 - LA Connections EBR'!U68</f>
        <v>-693</v>
      </c>
      <c r="Q70" s="369">
        <f>-'Table 5D1 - New Vision'!S71</f>
        <v>-68906</v>
      </c>
      <c r="R70" s="369">
        <f>-'Table 5D2 - Glencoe'!S71</f>
        <v>0</v>
      </c>
      <c r="S70" s="369">
        <f>-'Table 5D3 - International'!S71</f>
        <v>0</v>
      </c>
      <c r="T70" s="369">
        <f>-'Table 5D4 - Avoyelles'!S71</f>
        <v>0</v>
      </c>
      <c r="U70" s="369">
        <f>-'Table 5D5 - Delhi'!S71</f>
        <v>0</v>
      </c>
      <c r="V70" s="369">
        <f>-'Table 5D6 - Milestone'!S71</f>
        <v>0</v>
      </c>
      <c r="W70" s="369">
        <f>-'Table 5D7 - Max'!S71</f>
        <v>0</v>
      </c>
      <c r="X70" s="369">
        <f>-'Table 5D8 - Belle Chasse'!W71</f>
        <v>0</v>
      </c>
      <c r="Y70" s="369">
        <f>-'Table 5E_OJJ'!S71</f>
        <v>-397</v>
      </c>
      <c r="Z70" s="369">
        <f>-'Table 5A2 LSMSA'!L71</f>
        <v>-290</v>
      </c>
      <c r="AA70" s="369">
        <f>-'Table 5A3 NOCCA'!L71</f>
        <v>0</v>
      </c>
      <c r="AB70" s="369">
        <f>-'Table 5A4_LSDVI'!L71</f>
        <v>-967</v>
      </c>
      <c r="AC70" s="369">
        <f>-'Table 5A5_SSD'!L71</f>
        <v>0</v>
      </c>
      <c r="AD70" s="369"/>
      <c r="AE70" s="765">
        <f t="shared" si="44"/>
        <v>3669300</v>
      </c>
      <c r="AF70" s="369"/>
      <c r="AG70" s="369"/>
      <c r="AH70" s="369"/>
      <c r="AI70" s="369">
        <f>'Table 5C1A-Madison Prep'!P71</f>
        <v>0</v>
      </c>
      <c r="AJ70" s="369">
        <f>'Table 5C1B-DArbonne'!P71</f>
        <v>0</v>
      </c>
      <c r="AK70" s="369">
        <f>'Table 5C1C-Intl_VIBE'!P71</f>
        <v>0</v>
      </c>
      <c r="AL70" s="369">
        <f>'Table 5C1D-NOMMA'!P71</f>
        <v>0</v>
      </c>
      <c r="AM70" s="369">
        <f>'Table 5C1E-LFNO'!P71</f>
        <v>0</v>
      </c>
      <c r="AN70" s="369">
        <f>'Table 5C1F-Lake Charles Charter'!P71</f>
        <v>0</v>
      </c>
      <c r="AO70" s="369">
        <f>'Table 5C1G-JS Clark Academy'!P71</f>
        <v>0</v>
      </c>
      <c r="AP70" s="369">
        <f>'Table 5C1H-Southwest LA Charter'!P71</f>
        <v>0</v>
      </c>
      <c r="AQ70" s="369">
        <f>'Table 5C2 - LA Virtual Admy'!Q68</f>
        <v>-52</v>
      </c>
      <c r="AR70" s="369">
        <f>'Table 5C3 - LA Connections EBR'!Q68</f>
        <v>-21</v>
      </c>
      <c r="AS70" s="369">
        <f>'Table 5D1 - New Vision'!O71</f>
        <v>-2072.3724999999999</v>
      </c>
      <c r="AT70" s="369">
        <f>'Table 5D2 - Glencoe'!O71</f>
        <v>0</v>
      </c>
      <c r="AU70" s="369">
        <f>'Table 5D3 - International'!O71</f>
        <v>0</v>
      </c>
      <c r="AV70" s="369">
        <f>'Table 5D4 - Avoyelles'!O71</f>
        <v>0</v>
      </c>
      <c r="AW70" s="369">
        <f>'Table 5D5 - Delhi'!O71</f>
        <v>0</v>
      </c>
      <c r="AX70" s="369">
        <f>'Table 5D6 - Milestone'!O71</f>
        <v>0</v>
      </c>
      <c r="AY70" s="369">
        <f>'Table 5D7 - Max'!O71</f>
        <v>0</v>
      </c>
      <c r="AZ70" s="369">
        <f>'Table 5D8 - Belle Chasse'!S71</f>
        <v>0</v>
      </c>
      <c r="BA70" s="765">
        <f t="shared" si="45"/>
        <v>3667154.6274999999</v>
      </c>
      <c r="BB70" s="47"/>
      <c r="BH70"/>
      <c r="BQ70"/>
    </row>
    <row r="71" spans="1:69">
      <c r="A71" s="136">
        <v>66</v>
      </c>
      <c r="B71" s="313" t="s">
        <v>166</v>
      </c>
      <c r="C71" s="322">
        <f>'Table 2_State Distrib and Adjs'!AD72</f>
        <v>1190463</v>
      </c>
      <c r="D71" s="370"/>
      <c r="E71" s="370"/>
      <c r="F71" s="370">
        <f>-'Table 5C1A-Madison Prep'!T72</f>
        <v>0</v>
      </c>
      <c r="G71" s="370">
        <f>-'Table 5C1B-DArbonne'!T72</f>
        <v>0</v>
      </c>
      <c r="H71" s="370">
        <f>-'Table 5C1C-Intl_VIBE'!T72</f>
        <v>0</v>
      </c>
      <c r="I71" s="370">
        <f>-'Table 5C1D-NOMMA'!T72</f>
        <v>0</v>
      </c>
      <c r="J71" s="370"/>
      <c r="K71" s="370">
        <f>-'Table 5C1E-LFNO'!T72</f>
        <v>0</v>
      </c>
      <c r="L71" s="370">
        <f>-'Table 5C1F-Lake Charles Charter'!T72</f>
        <v>0</v>
      </c>
      <c r="M71" s="370">
        <f>-'Table 5C1G-JS Clark Academy'!T72</f>
        <v>0</v>
      </c>
      <c r="N71" s="370">
        <f>-'Table 5C1H-Southwest LA Charter'!T72</f>
        <v>0</v>
      </c>
      <c r="O71" s="370">
        <f>-'Table 5C2 - LA Virtual Admy'!U69</f>
        <v>-1030</v>
      </c>
      <c r="P71" s="370">
        <f>-'Table 5C3 - LA Connections EBR'!U69</f>
        <v>-258</v>
      </c>
      <c r="Q71" s="370">
        <f>-'Table 5D1 - New Vision'!S72</f>
        <v>0</v>
      </c>
      <c r="R71" s="370">
        <f>-'Table 5D2 - Glencoe'!S72</f>
        <v>0</v>
      </c>
      <c r="S71" s="370">
        <f>-'Table 5D3 - International'!S72</f>
        <v>0</v>
      </c>
      <c r="T71" s="370">
        <f>-'Table 5D4 - Avoyelles'!S72</f>
        <v>0</v>
      </c>
      <c r="U71" s="370">
        <f>-'Table 5D5 - Delhi'!S72</f>
        <v>0</v>
      </c>
      <c r="V71" s="370">
        <f>-'Table 5D6 - Milestone'!S72</f>
        <v>0</v>
      </c>
      <c r="W71" s="370">
        <f>-'Table 5D7 - Max'!S72</f>
        <v>0</v>
      </c>
      <c r="X71" s="370">
        <f>-'Table 5D8 - Belle Chasse'!W72</f>
        <v>0</v>
      </c>
      <c r="Y71" s="370">
        <f>-'Table 5E_OJJ'!S72</f>
        <v>-2</v>
      </c>
      <c r="Z71" s="370">
        <f>-'Table 5A2 LSMSA'!L72</f>
        <v>0</v>
      </c>
      <c r="AA71" s="370">
        <f>-'Table 5A3 NOCCA'!L72</f>
        <v>0</v>
      </c>
      <c r="AB71" s="370">
        <f>-'Table 5A4_LSDVI'!L72</f>
        <v>-586</v>
      </c>
      <c r="AC71" s="370">
        <f>-'Table 5A5_SSD'!L72</f>
        <v>0</v>
      </c>
      <c r="AD71" s="370"/>
      <c r="AE71" s="767">
        <f t="shared" ref="AE71:AE74" si="46">SUM(C71:AD71)</f>
        <v>1188587</v>
      </c>
      <c r="AF71" s="370"/>
      <c r="AG71" s="370"/>
      <c r="AH71" s="370"/>
      <c r="AI71" s="370">
        <f>'Table 5C1A-Madison Prep'!P72</f>
        <v>0</v>
      </c>
      <c r="AJ71" s="370">
        <f>'Table 5C1B-DArbonne'!P72</f>
        <v>0</v>
      </c>
      <c r="AK71" s="370">
        <f>'Table 5C1C-Intl_VIBE'!P72</f>
        <v>0</v>
      </c>
      <c r="AL71" s="370">
        <f>'Table 5C1D-NOMMA'!P72</f>
        <v>0</v>
      </c>
      <c r="AM71" s="370">
        <f>'Table 5C1E-LFNO'!P72</f>
        <v>0</v>
      </c>
      <c r="AN71" s="370">
        <f>'Table 5C1F-Lake Charles Charter'!P72</f>
        <v>0</v>
      </c>
      <c r="AO71" s="370">
        <f>'Table 5C1G-JS Clark Academy'!P72</f>
        <v>0</v>
      </c>
      <c r="AP71" s="370">
        <f>'Table 5C1H-Southwest LA Charter'!P72</f>
        <v>0</v>
      </c>
      <c r="AQ71" s="370">
        <f>'Table 5C2 - LA Virtual Admy'!Q69</f>
        <v>-31</v>
      </c>
      <c r="AR71" s="370">
        <f>'Table 5C3 - LA Connections EBR'!Q69</f>
        <v>-8</v>
      </c>
      <c r="AS71" s="370">
        <f>'Table 5D1 - New Vision'!O72</f>
        <v>0</v>
      </c>
      <c r="AT71" s="370">
        <f>'Table 5D2 - Glencoe'!O72</f>
        <v>0</v>
      </c>
      <c r="AU71" s="370">
        <f>'Table 5D3 - International'!O72</f>
        <v>0</v>
      </c>
      <c r="AV71" s="370">
        <f>'Table 5D4 - Avoyelles'!O72</f>
        <v>0</v>
      </c>
      <c r="AW71" s="370">
        <f>'Table 5D5 - Delhi'!O72</f>
        <v>0</v>
      </c>
      <c r="AX71" s="370">
        <f>'Table 5D6 - Milestone'!O72</f>
        <v>0</v>
      </c>
      <c r="AY71" s="370">
        <f>'Table 5D7 - Max'!O72</f>
        <v>0</v>
      </c>
      <c r="AZ71" s="370">
        <f>'Table 5D8 - Belle Chasse'!S72</f>
        <v>0</v>
      </c>
      <c r="BA71" s="767">
        <f t="shared" ref="BA71:BA74" si="47">SUM(AE71:AZ71)</f>
        <v>1188548</v>
      </c>
      <c r="BB71" s="47"/>
      <c r="BH71"/>
      <c r="BQ71"/>
    </row>
    <row r="72" spans="1:69">
      <c r="A72" s="360">
        <v>67</v>
      </c>
      <c r="B72" s="314" t="s">
        <v>33</v>
      </c>
      <c r="C72" s="320">
        <f>'Table 2_State Distrib and Adjs'!AD73</f>
        <v>2427992</v>
      </c>
      <c r="D72" s="368"/>
      <c r="E72" s="368"/>
      <c r="F72" s="368">
        <f>-'Table 5C1A-Madison Prep'!T73</f>
        <v>-748.45749999999998</v>
      </c>
      <c r="G72" s="368">
        <f>-'Table 5C1B-DArbonne'!T73</f>
        <v>0</v>
      </c>
      <c r="H72" s="368">
        <f>-'Table 5C1C-Intl_VIBE'!T73</f>
        <v>0</v>
      </c>
      <c r="I72" s="368">
        <f>-'Table 5C1D-NOMMA'!T73</f>
        <v>0</v>
      </c>
      <c r="J72" s="368"/>
      <c r="K72" s="368">
        <f>-'Table 5C1E-LFNO'!T73</f>
        <v>0</v>
      </c>
      <c r="L72" s="368">
        <f>-'Table 5C1F-Lake Charles Charter'!T73</f>
        <v>0</v>
      </c>
      <c r="M72" s="368">
        <f>-'Table 5C1G-JS Clark Academy'!T73</f>
        <v>0</v>
      </c>
      <c r="N72" s="368">
        <f>-'Table 5C1H-Southwest LA Charter'!T73</f>
        <v>0</v>
      </c>
      <c r="O72" s="368">
        <f>-'Table 5C2 - LA Virtual Admy'!U70</f>
        <v>-674</v>
      </c>
      <c r="P72" s="368">
        <f>-'Table 5C3 - LA Connections EBR'!U70</f>
        <v>-1347</v>
      </c>
      <c r="Q72" s="368">
        <f>-'Table 5D1 - New Vision'!S73</f>
        <v>0</v>
      </c>
      <c r="R72" s="368">
        <f>-'Table 5D2 - Glencoe'!S73</f>
        <v>0</v>
      </c>
      <c r="S72" s="368">
        <f>-'Table 5D3 - International'!S73</f>
        <v>0</v>
      </c>
      <c r="T72" s="368">
        <f>-'Table 5D4 - Avoyelles'!S73</f>
        <v>0</v>
      </c>
      <c r="U72" s="368">
        <f>-'Table 5D5 - Delhi'!S73</f>
        <v>0</v>
      </c>
      <c r="V72" s="368">
        <f>-'Table 5D6 - Milestone'!S73</f>
        <v>0</v>
      </c>
      <c r="W72" s="368">
        <f>-'Table 5D7 - Max'!S73</f>
        <v>0</v>
      </c>
      <c r="X72" s="368">
        <f>-'Table 5D8 - Belle Chasse'!W73</f>
        <v>0</v>
      </c>
      <c r="Y72" s="368">
        <f>-'Table 5E_OJJ'!S73</f>
        <v>-18</v>
      </c>
      <c r="Z72" s="368">
        <f>-'Table 5A2 LSMSA'!L73</f>
        <v>-630</v>
      </c>
      <c r="AA72" s="368">
        <f>-'Table 5A3 NOCCA'!L73</f>
        <v>0</v>
      </c>
      <c r="AB72" s="368">
        <f>-'Table 5A4_LSDVI'!L73</f>
        <v>-1026</v>
      </c>
      <c r="AC72" s="368">
        <f>-'Table 5A5_SSD'!L73</f>
        <v>-513</v>
      </c>
      <c r="AD72" s="368"/>
      <c r="AE72" s="764">
        <f t="shared" si="46"/>
        <v>2423035.5425</v>
      </c>
      <c r="AF72" s="368"/>
      <c r="AG72" s="368"/>
      <c r="AH72" s="368"/>
      <c r="AI72" s="368">
        <f>'Table 5C1A-Madison Prep'!P73</f>
        <v>-22.51</v>
      </c>
      <c r="AJ72" s="368">
        <f>'Table 5C1B-DArbonne'!P73</f>
        <v>0</v>
      </c>
      <c r="AK72" s="368">
        <f>'Table 5C1C-Intl_VIBE'!P73</f>
        <v>0</v>
      </c>
      <c r="AL72" s="368">
        <f>'Table 5C1D-NOMMA'!P73</f>
        <v>0</v>
      </c>
      <c r="AM72" s="368">
        <f>'Table 5C1E-LFNO'!P73</f>
        <v>0</v>
      </c>
      <c r="AN72" s="368">
        <f>'Table 5C1F-Lake Charles Charter'!P73</f>
        <v>0</v>
      </c>
      <c r="AO72" s="368">
        <f>'Table 5C1G-JS Clark Academy'!P73</f>
        <v>0</v>
      </c>
      <c r="AP72" s="368">
        <f>'Table 5C1H-Southwest LA Charter'!P73</f>
        <v>0</v>
      </c>
      <c r="AQ72" s="368">
        <f>'Table 5C2 - LA Virtual Admy'!Q70</f>
        <v>-20</v>
      </c>
      <c r="AR72" s="368">
        <f>'Table 5C3 - LA Connections EBR'!Q70</f>
        <v>-41</v>
      </c>
      <c r="AS72" s="368">
        <f>'Table 5D1 - New Vision'!O73</f>
        <v>0</v>
      </c>
      <c r="AT72" s="368">
        <f>'Table 5D2 - Glencoe'!O73</f>
        <v>0</v>
      </c>
      <c r="AU72" s="368">
        <f>'Table 5D3 - International'!O73</f>
        <v>0</v>
      </c>
      <c r="AV72" s="368">
        <f>'Table 5D4 - Avoyelles'!O73</f>
        <v>0</v>
      </c>
      <c r="AW72" s="368">
        <f>'Table 5D5 - Delhi'!O73</f>
        <v>0</v>
      </c>
      <c r="AX72" s="368">
        <f>'Table 5D6 - Milestone'!O73</f>
        <v>0</v>
      </c>
      <c r="AY72" s="368">
        <f>'Table 5D7 - Max'!O73</f>
        <v>0</v>
      </c>
      <c r="AZ72" s="368">
        <f>'Table 5D8 - Belle Chasse'!S73</f>
        <v>0</v>
      </c>
      <c r="BA72" s="764">
        <f t="shared" si="47"/>
        <v>2422952.0325000002</v>
      </c>
      <c r="BB72" s="47"/>
      <c r="BH72"/>
      <c r="BQ72"/>
    </row>
    <row r="73" spans="1:69">
      <c r="A73" s="101">
        <v>68</v>
      </c>
      <c r="B73" s="311" t="s">
        <v>31</v>
      </c>
      <c r="C73" s="320">
        <f>'Table 2_State Distrib and Adjs'!AD74</f>
        <v>978542</v>
      </c>
      <c r="D73" s="368"/>
      <c r="E73" s="368"/>
      <c r="F73" s="368">
        <f>-'Table 5C1A-Madison Prep'!T74</f>
        <v>-860.1774999999999</v>
      </c>
      <c r="G73" s="368">
        <f>-'Table 5C1B-DArbonne'!T74</f>
        <v>0</v>
      </c>
      <c r="H73" s="368">
        <f>-'Table 5C1C-Intl_VIBE'!T74</f>
        <v>0</v>
      </c>
      <c r="I73" s="368">
        <f>-'Table 5C1D-NOMMA'!T74</f>
        <v>0</v>
      </c>
      <c r="J73" s="368"/>
      <c r="K73" s="368">
        <f>-'Table 5C1E-LFNO'!T74</f>
        <v>0</v>
      </c>
      <c r="L73" s="368">
        <f>-'Table 5C1F-Lake Charles Charter'!T74</f>
        <v>0</v>
      </c>
      <c r="M73" s="368">
        <f>-'Table 5C1G-JS Clark Academy'!T74</f>
        <v>0</v>
      </c>
      <c r="N73" s="368">
        <f>-'Table 5C1H-Southwest LA Charter'!T74</f>
        <v>0</v>
      </c>
      <c r="O73" s="368">
        <f>-'Table 5C2 - LA Virtual Admy'!U71</f>
        <v>-774</v>
      </c>
      <c r="P73" s="368">
        <f>-'Table 5C3 - LA Connections EBR'!U71</f>
        <v>-194</v>
      </c>
      <c r="Q73" s="368">
        <f>-'Table 5D1 - New Vision'!S74</f>
        <v>0</v>
      </c>
      <c r="R73" s="368">
        <f>-'Table 5D2 - Glencoe'!S74</f>
        <v>0</v>
      </c>
      <c r="S73" s="368">
        <f>-'Table 5D3 - International'!S74</f>
        <v>0</v>
      </c>
      <c r="T73" s="368">
        <f>-'Table 5D4 - Avoyelles'!S74</f>
        <v>0</v>
      </c>
      <c r="U73" s="368">
        <f>-'Table 5D5 - Delhi'!S74</f>
        <v>0</v>
      </c>
      <c r="V73" s="368">
        <f>-'Table 5D6 - Milestone'!S74</f>
        <v>0</v>
      </c>
      <c r="W73" s="368">
        <f>-'Table 5D7 - Max'!S74</f>
        <v>0</v>
      </c>
      <c r="X73" s="368">
        <f>-'Table 5D8 - Belle Chasse'!W74</f>
        <v>0</v>
      </c>
      <c r="Y73" s="368">
        <f>-'Table 5E_OJJ'!S74</f>
        <v>0</v>
      </c>
      <c r="Z73" s="368">
        <f>-'Table 5A2 LSMSA'!L74</f>
        <v>0</v>
      </c>
      <c r="AA73" s="368">
        <f>-'Table 5A3 NOCCA'!L74</f>
        <v>0</v>
      </c>
      <c r="AB73" s="368">
        <f>-'Table 5A4_LSDVI'!L74</f>
        <v>-1196</v>
      </c>
      <c r="AC73" s="368">
        <f>-'Table 5A5_SSD'!L74</f>
        <v>0</v>
      </c>
      <c r="AD73" s="368"/>
      <c r="AE73" s="764">
        <f t="shared" si="46"/>
        <v>975517.82250000001</v>
      </c>
      <c r="AF73" s="368"/>
      <c r="AG73" s="368"/>
      <c r="AH73" s="368"/>
      <c r="AI73" s="368">
        <f>'Table 5C1A-Madison Prep'!P74</f>
        <v>-25.87</v>
      </c>
      <c r="AJ73" s="368">
        <f>'Table 5C1B-DArbonne'!P74</f>
        <v>0</v>
      </c>
      <c r="AK73" s="368">
        <f>'Table 5C1C-Intl_VIBE'!P74</f>
        <v>0</v>
      </c>
      <c r="AL73" s="368">
        <f>'Table 5C1D-NOMMA'!P74</f>
        <v>0</v>
      </c>
      <c r="AM73" s="368">
        <f>'Table 5C1E-LFNO'!P74</f>
        <v>0</v>
      </c>
      <c r="AN73" s="368">
        <f>'Table 5C1F-Lake Charles Charter'!P74</f>
        <v>0</v>
      </c>
      <c r="AO73" s="368">
        <f>'Table 5C1G-JS Clark Academy'!P74</f>
        <v>0</v>
      </c>
      <c r="AP73" s="368">
        <f>'Table 5C1H-Southwest LA Charter'!P74</f>
        <v>0</v>
      </c>
      <c r="AQ73" s="368">
        <f>'Table 5C2 - LA Virtual Admy'!Q71</f>
        <v>-23</v>
      </c>
      <c r="AR73" s="368">
        <f>'Table 5C3 - LA Connections EBR'!Q71</f>
        <v>-6</v>
      </c>
      <c r="AS73" s="368">
        <f>'Table 5D1 - New Vision'!O74</f>
        <v>0</v>
      </c>
      <c r="AT73" s="368">
        <f>'Table 5D2 - Glencoe'!O74</f>
        <v>0</v>
      </c>
      <c r="AU73" s="368">
        <f>'Table 5D3 - International'!O74</f>
        <v>0</v>
      </c>
      <c r="AV73" s="368">
        <f>'Table 5D4 - Avoyelles'!O74</f>
        <v>0</v>
      </c>
      <c r="AW73" s="368">
        <f>'Table 5D5 - Delhi'!O74</f>
        <v>0</v>
      </c>
      <c r="AX73" s="368">
        <f>'Table 5D6 - Milestone'!O74</f>
        <v>0</v>
      </c>
      <c r="AY73" s="368">
        <f>'Table 5D7 - Max'!O74</f>
        <v>0</v>
      </c>
      <c r="AZ73" s="368">
        <f>'Table 5D8 - Belle Chasse'!S74</f>
        <v>0</v>
      </c>
      <c r="BA73" s="764">
        <f t="shared" si="47"/>
        <v>975462.95250000001</v>
      </c>
      <c r="BB73" s="47"/>
      <c r="BH73"/>
      <c r="BQ73"/>
    </row>
    <row r="74" spans="1:69">
      <c r="A74" s="102">
        <v>69</v>
      </c>
      <c r="B74" s="312" t="s">
        <v>235</v>
      </c>
      <c r="C74" s="329">
        <f>'Table 2_State Distrib and Adjs'!AD75</f>
        <v>2033372</v>
      </c>
      <c r="D74" s="369"/>
      <c r="E74" s="369"/>
      <c r="F74" s="369">
        <f>-'Table 5C1A-Madison Prep'!T75</f>
        <v>-537.48625000000004</v>
      </c>
      <c r="G74" s="369">
        <f>-'Table 5C1B-DArbonne'!T75</f>
        <v>0</v>
      </c>
      <c r="H74" s="369">
        <f>-'Table 5C1C-Intl_VIBE'!T75</f>
        <v>0</v>
      </c>
      <c r="I74" s="369">
        <f>-'Table 5C1D-NOMMA'!T75</f>
        <v>0</v>
      </c>
      <c r="J74" s="369"/>
      <c r="K74" s="369">
        <f>-'Table 5C1E-LFNO'!T75</f>
        <v>0</v>
      </c>
      <c r="L74" s="369">
        <f>-'Table 5C1F-Lake Charles Charter'!T75</f>
        <v>0</v>
      </c>
      <c r="M74" s="369">
        <f>-'Table 5C1G-JS Clark Academy'!T75</f>
        <v>0</v>
      </c>
      <c r="N74" s="369">
        <f>-'Table 5C1H-Southwest LA Charter'!T75</f>
        <v>0</v>
      </c>
      <c r="O74" s="369">
        <f>-'Table 5C2 - LA Virtual Admy'!U72</f>
        <v>-2419</v>
      </c>
      <c r="P74" s="369">
        <f>-'Table 5C3 - LA Connections EBR'!U72</f>
        <v>-242</v>
      </c>
      <c r="Q74" s="369">
        <f>-'Table 5D1 - New Vision'!S75</f>
        <v>0</v>
      </c>
      <c r="R74" s="369">
        <f>-'Table 5D2 - Glencoe'!S75</f>
        <v>0</v>
      </c>
      <c r="S74" s="369">
        <f>-'Table 5D3 - International'!S75</f>
        <v>0</v>
      </c>
      <c r="T74" s="369">
        <f>-'Table 5D4 - Avoyelles'!S75</f>
        <v>0</v>
      </c>
      <c r="U74" s="369">
        <f>-'Table 5D5 - Delhi'!S75</f>
        <v>0</v>
      </c>
      <c r="V74" s="369">
        <f>-'Table 5D6 - Milestone'!S75</f>
        <v>0</v>
      </c>
      <c r="W74" s="369">
        <f>-'Table 5D7 - Max'!S75</f>
        <v>0</v>
      </c>
      <c r="X74" s="369">
        <f>-'Table 5D8 - Belle Chasse'!W75</f>
        <v>0</v>
      </c>
      <c r="Y74" s="369">
        <f>-'Table 5E_OJJ'!S75</f>
        <v>0</v>
      </c>
      <c r="Z74" s="369">
        <f>-'Table 5A2 LSMSA'!L75</f>
        <v>0</v>
      </c>
      <c r="AA74" s="369">
        <f>-'Table 5A3 NOCCA'!L75</f>
        <v>0</v>
      </c>
      <c r="AB74" s="369">
        <f>-'Table 5A4_LSDVI'!L75</f>
        <v>-471</v>
      </c>
      <c r="AC74" s="369">
        <f>-'Table 5A5_SSD'!L75</f>
        <v>-236</v>
      </c>
      <c r="AD74" s="369"/>
      <c r="AE74" s="765">
        <f t="shared" si="46"/>
        <v>2029466.5137499999</v>
      </c>
      <c r="AF74" s="369"/>
      <c r="AG74" s="369"/>
      <c r="AH74" s="369"/>
      <c r="AI74" s="369">
        <f>'Table 5C1A-Madison Prep'!P75</f>
        <v>-16.164999999999999</v>
      </c>
      <c r="AJ74" s="369">
        <f>'Table 5C1B-DArbonne'!P75</f>
        <v>0</v>
      </c>
      <c r="AK74" s="369">
        <f>'Table 5C1C-Intl_VIBE'!P75</f>
        <v>0</v>
      </c>
      <c r="AL74" s="369">
        <f>'Table 5C1D-NOMMA'!P75</f>
        <v>0</v>
      </c>
      <c r="AM74" s="369">
        <f>'Table 5C1E-LFNO'!P75</f>
        <v>0</v>
      </c>
      <c r="AN74" s="369">
        <f>'Table 5C1F-Lake Charles Charter'!P75</f>
        <v>0</v>
      </c>
      <c r="AO74" s="369">
        <f>'Table 5C1G-JS Clark Academy'!P75</f>
        <v>0</v>
      </c>
      <c r="AP74" s="369">
        <f>'Table 5C1H-Southwest LA Charter'!P75</f>
        <v>0</v>
      </c>
      <c r="AQ74" s="369">
        <f>'Table 5C2 - LA Virtual Admy'!Q72</f>
        <v>-73</v>
      </c>
      <c r="AR74" s="369">
        <f>'Table 5C3 - LA Connections EBR'!Q72</f>
        <v>-7</v>
      </c>
      <c r="AS74" s="369">
        <f>'Table 5D1 - New Vision'!O75</f>
        <v>0</v>
      </c>
      <c r="AT74" s="369">
        <f>'Table 5D2 - Glencoe'!O75</f>
        <v>0</v>
      </c>
      <c r="AU74" s="369">
        <f>'Table 5D3 - International'!O75</f>
        <v>0</v>
      </c>
      <c r="AV74" s="369">
        <f>'Table 5D4 - Avoyelles'!O75</f>
        <v>0</v>
      </c>
      <c r="AW74" s="369">
        <f>'Table 5D5 - Delhi'!O75</f>
        <v>0</v>
      </c>
      <c r="AX74" s="369">
        <f>'Table 5D6 - Milestone'!O75</f>
        <v>0</v>
      </c>
      <c r="AY74" s="369">
        <f>'Table 5D7 - Max'!O75</f>
        <v>0</v>
      </c>
      <c r="AZ74" s="369">
        <f>'Table 5D8 - Belle Chasse'!S75</f>
        <v>0</v>
      </c>
      <c r="BA74" s="765">
        <f t="shared" si="47"/>
        <v>2029370.3487499999</v>
      </c>
      <c r="BB74" s="47"/>
      <c r="BH74"/>
      <c r="BQ74"/>
    </row>
    <row r="75" spans="1:69" ht="13.5" thickBot="1">
      <c r="A75" s="428"/>
      <c r="B75" s="429" t="s">
        <v>167</v>
      </c>
      <c r="C75" s="768">
        <f t="shared" ref="C75:BB75" si="48">SUM(C6:C74)</f>
        <v>267819502</v>
      </c>
      <c r="D75" s="768">
        <f t="shared" si="48"/>
        <v>-1737085.2533333332</v>
      </c>
      <c r="E75" s="768">
        <f t="shared" si="48"/>
        <v>-9735629.9718750007</v>
      </c>
      <c r="F75" s="768">
        <f t="shared" si="48"/>
        <v>-104842.3804166667</v>
      </c>
      <c r="G75" s="768">
        <f t="shared" si="48"/>
        <v>-80189.440625000003</v>
      </c>
      <c r="H75" s="768">
        <f t="shared" si="48"/>
        <v>-107748.78625</v>
      </c>
      <c r="I75" s="768">
        <f t="shared" si="48"/>
        <v>-44340.845208333332</v>
      </c>
      <c r="J75" s="768">
        <f t="shared" si="48"/>
        <v>0</v>
      </c>
      <c r="K75" s="768">
        <f t="shared" si="48"/>
        <v>-22287.391874999998</v>
      </c>
      <c r="L75" s="768">
        <f t="shared" si="48"/>
        <v>-229005.301875</v>
      </c>
      <c r="M75" s="768">
        <f t="shared" si="48"/>
        <v>-34802.775000000001</v>
      </c>
      <c r="N75" s="768">
        <f t="shared" si="48"/>
        <v>-161295.75</v>
      </c>
      <c r="O75" s="768">
        <f t="shared" si="48"/>
        <v>-387393</v>
      </c>
      <c r="P75" s="768">
        <f t="shared" si="48"/>
        <v>-181874</v>
      </c>
      <c r="Q75" s="768">
        <f t="shared" si="48"/>
        <v>-108121</v>
      </c>
      <c r="R75" s="768">
        <f t="shared" si="48"/>
        <v>-116362</v>
      </c>
      <c r="S75" s="768">
        <f t="shared" si="48"/>
        <v>-224021</v>
      </c>
      <c r="T75" s="768">
        <f t="shared" si="48"/>
        <v>-66350</v>
      </c>
      <c r="U75" s="768">
        <f t="shared" si="48"/>
        <v>-132408</v>
      </c>
      <c r="V75" s="768">
        <f t="shared" si="48"/>
        <v>-161077</v>
      </c>
      <c r="W75" s="768">
        <f t="shared" si="48"/>
        <v>-36849</v>
      </c>
      <c r="X75" s="768">
        <f t="shared" si="48"/>
        <v>-227679</v>
      </c>
      <c r="Y75" s="768">
        <f t="shared" si="48"/>
        <v>-95176</v>
      </c>
      <c r="Z75" s="768">
        <f t="shared" si="48"/>
        <v>-39230</v>
      </c>
      <c r="AA75" s="768">
        <f t="shared" si="48"/>
        <v>-22697</v>
      </c>
      <c r="AB75" s="768">
        <f t="shared" si="48"/>
        <v>-66720</v>
      </c>
      <c r="AC75" s="768">
        <f t="shared" si="48"/>
        <v>-81954</v>
      </c>
      <c r="AD75" s="768">
        <f t="shared" si="48"/>
        <v>0</v>
      </c>
      <c r="AE75" s="769">
        <f t="shared" si="48"/>
        <v>253614363.10354158</v>
      </c>
      <c r="AF75" s="768">
        <f t="shared" si="48"/>
        <v>-79337.965000000011</v>
      </c>
      <c r="AG75" s="768">
        <f t="shared" si="48"/>
        <v>-11333.994999999999</v>
      </c>
      <c r="AH75" s="768">
        <f>SUM(AH6:AH74)</f>
        <v>-245832.33749999991</v>
      </c>
      <c r="AI75" s="768">
        <f t="shared" si="48"/>
        <v>-3137.4350000000004</v>
      </c>
      <c r="AJ75" s="768">
        <f t="shared" si="48"/>
        <v>-2411.7125000000001</v>
      </c>
      <c r="AK75" s="768">
        <f t="shared" si="48"/>
        <v>-3240.5649999999996</v>
      </c>
      <c r="AL75" s="768">
        <f t="shared" si="48"/>
        <v>-1356.8575000000001</v>
      </c>
      <c r="AM75" s="768">
        <f t="shared" si="48"/>
        <v>-670.29750000000001</v>
      </c>
      <c r="AN75" s="768">
        <f t="shared" si="48"/>
        <v>-6887.3774999999996</v>
      </c>
      <c r="AO75" s="768">
        <f t="shared" si="48"/>
        <v>-1046.7</v>
      </c>
      <c r="AP75" s="768">
        <f t="shared" si="48"/>
        <v>-4851</v>
      </c>
      <c r="AQ75" s="768">
        <f t="shared" si="48"/>
        <v>-11734</v>
      </c>
      <c r="AR75" s="768">
        <f t="shared" si="48"/>
        <v>-5473</v>
      </c>
      <c r="AS75" s="768">
        <f t="shared" si="48"/>
        <v>-3251.7775000000001</v>
      </c>
      <c r="AT75" s="768">
        <f t="shared" si="48"/>
        <v>-3499.5974999999999</v>
      </c>
      <c r="AU75" s="768">
        <f t="shared" si="48"/>
        <v>-6737.4624999999996</v>
      </c>
      <c r="AV75" s="768">
        <f t="shared" si="48"/>
        <v>-1995.4949999999999</v>
      </c>
      <c r="AW75" s="768">
        <f t="shared" si="48"/>
        <v>-3982.1575000000003</v>
      </c>
      <c r="AX75" s="768">
        <f t="shared" si="48"/>
        <v>-4844.4375</v>
      </c>
      <c r="AY75" s="768">
        <f t="shared" si="48"/>
        <v>-1108.22</v>
      </c>
      <c r="AZ75" s="768">
        <f t="shared" si="48"/>
        <v>-6847.4925000000003</v>
      </c>
      <c r="BA75" s="769">
        <f t="shared" si="48"/>
        <v>253204783.22104171</v>
      </c>
      <c r="BB75" s="47">
        <f t="shared" si="48"/>
        <v>0</v>
      </c>
      <c r="BH75"/>
      <c r="BQ75"/>
    </row>
    <row r="76" spans="1:69" ht="11.25" customHeight="1" thickTop="1">
      <c r="BD76" s="99"/>
      <c r="BE76" s="99"/>
      <c r="BF76" s="99"/>
      <c r="BG76" s="99"/>
      <c r="BH76" s="99"/>
      <c r="BI76" s="99"/>
      <c r="BJ76" s="99"/>
      <c r="BK76" s="99"/>
      <c r="BL76" s="99"/>
      <c r="BO76" s="99"/>
    </row>
    <row r="77" spans="1:69" hidden="1">
      <c r="AE77" s="49">
        <f>SUM(C75:AD75)</f>
        <v>253614363.10354164</v>
      </c>
      <c r="AF77" s="49"/>
      <c r="AG77" s="49"/>
      <c r="BA77" s="49">
        <f>SUM(AE75:AZ75)</f>
        <v>253204783.22104156</v>
      </c>
    </row>
    <row r="78" spans="1:69" hidden="1">
      <c r="BD78" s="49"/>
      <c r="BE78" s="49"/>
      <c r="BF78" s="49"/>
      <c r="BG78" s="49"/>
      <c r="BI78" s="49"/>
      <c r="BJ78" s="49"/>
      <c r="BK78" s="49"/>
      <c r="BL78" s="49"/>
      <c r="BO78" s="49"/>
    </row>
  </sheetData>
  <mergeCells count="53">
    <mergeCell ref="F1:F4"/>
    <mergeCell ref="A1:A4"/>
    <mergeCell ref="B1:B4"/>
    <mergeCell ref="C1:C4"/>
    <mergeCell ref="D1:D4"/>
    <mergeCell ref="E1:E4"/>
    <mergeCell ref="BA1:BA4"/>
    <mergeCell ref="AH1:AH4"/>
    <mergeCell ref="H1:H4"/>
    <mergeCell ref="G1:G4"/>
    <mergeCell ref="AE1:AE4"/>
    <mergeCell ref="AF1:AF4"/>
    <mergeCell ref="AG1:AG4"/>
    <mergeCell ref="AI1:AI4"/>
    <mergeCell ref="AJ1:AJ4"/>
    <mergeCell ref="AK1:AK4"/>
    <mergeCell ref="Y1:Y4"/>
    <mergeCell ref="I1:I4"/>
    <mergeCell ref="J1:J4"/>
    <mergeCell ref="L1:L4"/>
    <mergeCell ref="O1:O4"/>
    <mergeCell ref="P1:P4"/>
    <mergeCell ref="K1:K4"/>
    <mergeCell ref="AL1:AL4"/>
    <mergeCell ref="AM1:AM4"/>
    <mergeCell ref="AN1:AN4"/>
    <mergeCell ref="M1:M4"/>
    <mergeCell ref="N1:N4"/>
    <mergeCell ref="Z1:Z4"/>
    <mergeCell ref="AA1:AA4"/>
    <mergeCell ref="AD1:AD4"/>
    <mergeCell ref="AB1:AB4"/>
    <mergeCell ref="AC1:AC4"/>
    <mergeCell ref="X1:X4"/>
    <mergeCell ref="Q1:Q4"/>
    <mergeCell ref="R1:R4"/>
    <mergeCell ref="S1:S4"/>
    <mergeCell ref="T1:T4"/>
    <mergeCell ref="AZ1:AZ4"/>
    <mergeCell ref="AQ1:AQ4"/>
    <mergeCell ref="AR1:AR4"/>
    <mergeCell ref="AO1:AO4"/>
    <mergeCell ref="AP1:AP4"/>
    <mergeCell ref="AU1:AU4"/>
    <mergeCell ref="AV1:AV4"/>
    <mergeCell ref="AW1:AW4"/>
    <mergeCell ref="AX1:AX4"/>
    <mergeCell ref="AY1:AY4"/>
    <mergeCell ref="U1:U4"/>
    <mergeCell ref="V1:V4"/>
    <mergeCell ref="W1:W4"/>
    <mergeCell ref="AS1:AS4"/>
    <mergeCell ref="AT1:AT4"/>
  </mergeCells>
  <printOptions horizontalCentered="1"/>
  <pageMargins left="0.25" right="0.33" top="1.01" bottom="0.75" header="0.3" footer="0.3"/>
  <pageSetup paperSize="5" scale="75" firstPageNumber="11" orientation="portrait" useFirstPageNumber="1" r:id="rId1"/>
  <headerFooter>
    <oddHeader>&amp;L&amp;"Arial,Bold"&amp;14Table 2A-2:  FY2012-13 Budget Letter 
MFP Transfer Amount (Monthly Amount)</oddHeader>
    <oddFooter>&amp;R&amp;P</oddFooter>
  </headerFooter>
  <colBreaks count="6" manualBreakCount="6">
    <brk id="11" max="74" man="1"/>
    <brk id="19" max="74" man="1"/>
    <brk id="25" max="74" man="1"/>
    <brk id="31" max="1048575" man="1"/>
    <brk id="37" max="1048575" man="1"/>
    <brk id="45" max="74" man="1"/>
  </colBreaks>
</worksheet>
</file>

<file path=xl/worksheets/sheet40.xml><?xml version="1.0" encoding="utf-8"?>
<worksheet xmlns="http://schemas.openxmlformats.org/spreadsheetml/2006/main" xmlns:r="http://schemas.openxmlformats.org/officeDocument/2006/relationships">
  <dimension ref="A1:H132"/>
  <sheetViews>
    <sheetView view="pageBreakPreview" zoomScale="80" zoomScaleNormal="100" zoomScaleSheetLayoutView="80" workbookViewId="0">
      <selection activeCell="K32" sqref="K32"/>
    </sheetView>
  </sheetViews>
  <sheetFormatPr defaultRowHeight="12.75"/>
  <cols>
    <col min="1" max="1" width="11.140625" style="1281" customWidth="1"/>
    <col min="2" max="2" width="13.140625" style="1281" customWidth="1"/>
    <col min="3" max="3" width="23" style="1281" customWidth="1"/>
    <col min="4" max="4" width="9.140625" style="1281"/>
    <col min="5" max="5" width="9.85546875" style="1281" customWidth="1"/>
    <col min="6" max="6" width="43.28515625" style="1281" bestFit="1" customWidth="1"/>
    <col min="7" max="7" width="12.140625" style="1281" customWidth="1"/>
    <col min="8" max="16384" width="9.140625" style="1281"/>
  </cols>
  <sheetData>
    <row r="1" spans="1:8">
      <c r="A1" s="1280" t="s">
        <v>969</v>
      </c>
    </row>
    <row r="2" spans="1:8">
      <c r="A2" s="1282" t="s">
        <v>970</v>
      </c>
    </row>
    <row r="3" spans="1:8">
      <c r="A3" s="1282" t="s">
        <v>971</v>
      </c>
    </row>
    <row r="4" spans="1:8">
      <c r="A4" s="1282" t="s">
        <v>972</v>
      </c>
    </row>
    <row r="5" spans="1:8">
      <c r="A5" s="1282" t="s">
        <v>973</v>
      </c>
    </row>
    <row r="6" spans="1:8">
      <c r="A6" s="1282" t="s">
        <v>974</v>
      </c>
    </row>
    <row r="8" spans="1:8">
      <c r="B8" s="1053" t="s">
        <v>1010</v>
      </c>
    </row>
    <row r="9" spans="1:8" ht="18.75" customHeight="1">
      <c r="B9" s="1283" t="s">
        <v>1011</v>
      </c>
    </row>
    <row r="10" spans="1:8" s="1285" customFormat="1" ht="39.75" customHeight="1">
      <c r="A10" s="1284" t="s">
        <v>1012</v>
      </c>
      <c r="B10" s="1284" t="s">
        <v>1013</v>
      </c>
      <c r="C10" s="1284" t="s">
        <v>1014</v>
      </c>
      <c r="D10" s="1284" t="s">
        <v>203</v>
      </c>
      <c r="E10" s="1284" t="s">
        <v>1015</v>
      </c>
      <c r="F10" s="1284" t="s">
        <v>1016</v>
      </c>
      <c r="G10" s="1284" t="s">
        <v>1017</v>
      </c>
    </row>
    <row r="11" spans="1:8" ht="21" customHeight="1">
      <c r="A11" s="1286">
        <v>40940</v>
      </c>
      <c r="F11" s="1053" t="s">
        <v>1018</v>
      </c>
      <c r="G11" s="1287">
        <f>SUM(G12:G131)</f>
        <v>42416</v>
      </c>
    </row>
    <row r="12" spans="1:8" ht="15" customHeight="1">
      <c r="A12" s="1288">
        <v>40940</v>
      </c>
      <c r="B12" s="1289" t="s">
        <v>1019</v>
      </c>
      <c r="C12" s="1289" t="s">
        <v>637</v>
      </c>
      <c r="D12" s="1289" t="s">
        <v>472</v>
      </c>
      <c r="E12" s="1289" t="s">
        <v>1020</v>
      </c>
      <c r="F12" s="1289" t="s">
        <v>1021</v>
      </c>
      <c r="G12" s="1290">
        <v>1359</v>
      </c>
    </row>
    <row r="13" spans="1:8" ht="15" customHeight="1">
      <c r="A13" s="1288">
        <v>40940</v>
      </c>
      <c r="B13" s="1289" t="s">
        <v>1019</v>
      </c>
      <c r="C13" s="1289" t="s">
        <v>637</v>
      </c>
      <c r="D13" s="1289" t="s">
        <v>473</v>
      </c>
      <c r="E13" s="1289" t="s">
        <v>1022</v>
      </c>
      <c r="F13" s="1289" t="s">
        <v>474</v>
      </c>
      <c r="G13" s="1290">
        <v>266</v>
      </c>
      <c r="H13" s="1291">
        <f>SUM(G12:G13)</f>
        <v>1625</v>
      </c>
    </row>
    <row r="14" spans="1:8" ht="15" customHeight="1">
      <c r="A14" s="1288"/>
      <c r="B14" s="1289"/>
      <c r="C14" s="1289"/>
      <c r="D14" s="1289"/>
      <c r="E14" s="1289"/>
      <c r="F14" s="1289"/>
      <c r="G14" s="1290"/>
    </row>
    <row r="15" spans="1:8" ht="15" customHeight="1">
      <c r="A15" s="1288">
        <v>40940</v>
      </c>
      <c r="B15" s="1289" t="s">
        <v>1023</v>
      </c>
      <c r="C15" s="1289" t="s">
        <v>637</v>
      </c>
      <c r="D15" s="1289" t="s">
        <v>939</v>
      </c>
      <c r="E15" s="1289" t="s">
        <v>1024</v>
      </c>
      <c r="F15" s="1289" t="s">
        <v>687</v>
      </c>
      <c r="G15" s="1290">
        <v>332</v>
      </c>
    </row>
    <row r="16" spans="1:8" ht="15" customHeight="1">
      <c r="A16" s="1288">
        <v>40940</v>
      </c>
      <c r="B16" s="1289" t="s">
        <v>1023</v>
      </c>
      <c r="C16" s="1289" t="s">
        <v>637</v>
      </c>
      <c r="D16" s="1289" t="s">
        <v>940</v>
      </c>
      <c r="E16" s="1289" t="s">
        <v>1025</v>
      </c>
      <c r="F16" s="1289" t="s">
        <v>1026</v>
      </c>
      <c r="G16" s="1290">
        <v>368</v>
      </c>
    </row>
    <row r="17" spans="1:8" ht="15" customHeight="1">
      <c r="A17" s="1288">
        <v>40940</v>
      </c>
      <c r="B17" s="1289" t="s">
        <v>1023</v>
      </c>
      <c r="C17" s="1289" t="s">
        <v>637</v>
      </c>
      <c r="D17" s="1289" t="s">
        <v>941</v>
      </c>
      <c r="E17" s="1289" t="s">
        <v>1027</v>
      </c>
      <c r="F17" s="1289" t="s">
        <v>1028</v>
      </c>
      <c r="G17" s="1290">
        <v>624</v>
      </c>
    </row>
    <row r="18" spans="1:8" ht="15" customHeight="1">
      <c r="A18" s="1288">
        <v>40940</v>
      </c>
      <c r="B18" s="1289" t="s">
        <v>1023</v>
      </c>
      <c r="C18" s="1289" t="s">
        <v>637</v>
      </c>
      <c r="D18" s="1289" t="s">
        <v>942</v>
      </c>
      <c r="E18" s="1289" t="s">
        <v>1029</v>
      </c>
      <c r="F18" s="1289" t="s">
        <v>688</v>
      </c>
      <c r="G18" s="1290">
        <v>681</v>
      </c>
    </row>
    <row r="19" spans="1:8" ht="15" customHeight="1">
      <c r="A19" s="1288">
        <v>40940</v>
      </c>
      <c r="B19" s="1289" t="s">
        <v>1023</v>
      </c>
      <c r="C19" s="1289" t="s">
        <v>637</v>
      </c>
      <c r="D19" s="1289" t="s">
        <v>943</v>
      </c>
      <c r="E19" s="1289" t="s">
        <v>1030</v>
      </c>
      <c r="F19" s="1289" t="s">
        <v>689</v>
      </c>
      <c r="G19" s="1290">
        <v>652</v>
      </c>
    </row>
    <row r="20" spans="1:8" ht="15" customHeight="1">
      <c r="A20" s="1288">
        <v>40940</v>
      </c>
      <c r="B20" s="1289" t="s">
        <v>1023</v>
      </c>
      <c r="C20" s="1289" t="s">
        <v>637</v>
      </c>
      <c r="D20" s="1289" t="s">
        <v>944</v>
      </c>
      <c r="E20" s="1289" t="s">
        <v>1031</v>
      </c>
      <c r="F20" s="1289" t="s">
        <v>1032</v>
      </c>
      <c r="G20" s="1290">
        <v>915</v>
      </c>
    </row>
    <row r="21" spans="1:8" ht="15" customHeight="1">
      <c r="A21" s="1288">
        <v>40940</v>
      </c>
      <c r="B21" s="1289" t="s">
        <v>1023</v>
      </c>
      <c r="C21" s="1289" t="s">
        <v>637</v>
      </c>
      <c r="D21" s="1289" t="s">
        <v>945</v>
      </c>
      <c r="E21" s="1289" t="s">
        <v>1033</v>
      </c>
      <c r="F21" s="1289" t="s">
        <v>690</v>
      </c>
      <c r="G21" s="1290">
        <v>399</v>
      </c>
    </row>
    <row r="22" spans="1:8" ht="15" customHeight="1">
      <c r="A22" s="1288">
        <v>40940</v>
      </c>
      <c r="B22" s="1289" t="s">
        <v>1023</v>
      </c>
      <c r="C22" s="1289" t="s">
        <v>637</v>
      </c>
      <c r="D22" s="1289" t="s">
        <v>946</v>
      </c>
      <c r="E22" s="1289" t="s">
        <v>1034</v>
      </c>
      <c r="F22" s="1289" t="s">
        <v>691</v>
      </c>
      <c r="G22" s="1290">
        <v>102</v>
      </c>
    </row>
    <row r="23" spans="1:8" ht="15" customHeight="1">
      <c r="A23" s="1288">
        <v>40940</v>
      </c>
      <c r="B23" s="1289" t="s">
        <v>1023</v>
      </c>
      <c r="C23" s="1289" t="s">
        <v>637</v>
      </c>
      <c r="D23" s="1289" t="s">
        <v>1035</v>
      </c>
      <c r="E23" s="1289" t="s">
        <v>1036</v>
      </c>
      <c r="F23" s="1289" t="s">
        <v>1037</v>
      </c>
      <c r="G23" s="1290">
        <v>364</v>
      </c>
    </row>
    <row r="24" spans="1:8" ht="15" customHeight="1">
      <c r="A24" s="1288">
        <v>40940</v>
      </c>
      <c r="B24" s="1289" t="s">
        <v>1023</v>
      </c>
      <c r="C24" s="1289" t="s">
        <v>637</v>
      </c>
      <c r="D24" s="1289" t="s">
        <v>1038</v>
      </c>
      <c r="E24" s="1289" t="s">
        <v>1039</v>
      </c>
      <c r="F24" s="1289" t="s">
        <v>1040</v>
      </c>
      <c r="G24" s="1290">
        <v>198</v>
      </c>
    </row>
    <row r="25" spans="1:8" ht="15" customHeight="1">
      <c r="A25" s="1288">
        <v>40940</v>
      </c>
      <c r="B25" s="1289" t="s">
        <v>1023</v>
      </c>
      <c r="C25" s="1289" t="s">
        <v>637</v>
      </c>
      <c r="D25" s="1289" t="s">
        <v>1038</v>
      </c>
      <c r="E25" s="1289" t="s">
        <v>1041</v>
      </c>
      <c r="F25" s="1289" t="s">
        <v>1042</v>
      </c>
      <c r="G25" s="1290">
        <v>1242</v>
      </c>
    </row>
    <row r="26" spans="1:8" ht="15" customHeight="1">
      <c r="A26" s="1288">
        <v>40940</v>
      </c>
      <c r="B26" s="1289" t="s">
        <v>1023</v>
      </c>
      <c r="C26" s="1289" t="s">
        <v>637</v>
      </c>
      <c r="D26" s="1289" t="s">
        <v>1043</v>
      </c>
      <c r="E26" s="1289" t="s">
        <v>1044</v>
      </c>
      <c r="F26" s="1289" t="s">
        <v>1045</v>
      </c>
      <c r="G26" s="1290">
        <v>309</v>
      </c>
    </row>
    <row r="27" spans="1:8" ht="15" customHeight="1">
      <c r="A27" s="1288">
        <v>40940</v>
      </c>
      <c r="B27" s="1289" t="s">
        <v>1023</v>
      </c>
      <c r="C27" s="1289" t="s">
        <v>637</v>
      </c>
      <c r="D27" s="1289" t="s">
        <v>1046</v>
      </c>
      <c r="E27" s="1289" t="s">
        <v>1047</v>
      </c>
      <c r="F27" s="1289" t="s">
        <v>1048</v>
      </c>
      <c r="G27" s="1290">
        <v>594</v>
      </c>
    </row>
    <row r="28" spans="1:8" ht="15" customHeight="1">
      <c r="A28" s="1288">
        <v>40940</v>
      </c>
      <c r="B28" s="1289" t="s">
        <v>1023</v>
      </c>
      <c r="C28" s="1289" t="s">
        <v>637</v>
      </c>
      <c r="D28" s="1289" t="s">
        <v>1049</v>
      </c>
      <c r="E28" s="1289" t="s">
        <v>1050</v>
      </c>
      <c r="F28" s="1289" t="s">
        <v>947</v>
      </c>
      <c r="G28" s="1290">
        <v>640</v>
      </c>
    </row>
    <row r="29" spans="1:8" ht="15" customHeight="1">
      <c r="A29" s="1288">
        <v>40940</v>
      </c>
      <c r="B29" s="1289" t="s">
        <v>1023</v>
      </c>
      <c r="C29" s="1289" t="s">
        <v>637</v>
      </c>
      <c r="D29" s="1289" t="s">
        <v>1051</v>
      </c>
      <c r="E29" s="1289" t="s">
        <v>1052</v>
      </c>
      <c r="F29" s="1289" t="s">
        <v>1053</v>
      </c>
      <c r="G29" s="1290">
        <v>55</v>
      </c>
    </row>
    <row r="30" spans="1:8" ht="15" customHeight="1">
      <c r="A30" s="1288">
        <v>40940</v>
      </c>
      <c r="B30" s="1289" t="s">
        <v>1023</v>
      </c>
      <c r="C30" s="1289" t="s">
        <v>637</v>
      </c>
      <c r="D30" s="1289" t="s">
        <v>1054</v>
      </c>
      <c r="E30" s="1289" t="s">
        <v>1055</v>
      </c>
      <c r="F30" s="1289" t="s">
        <v>1056</v>
      </c>
      <c r="G30" s="1290">
        <v>103</v>
      </c>
      <c r="H30" s="1291">
        <f>SUM(G15:G30)</f>
        <v>7578</v>
      </c>
    </row>
    <row r="31" spans="1:8" ht="15" customHeight="1">
      <c r="A31" s="1288"/>
      <c r="B31" s="1289"/>
      <c r="C31" s="1289"/>
      <c r="D31" s="1289"/>
      <c r="E31" s="1289"/>
      <c r="F31" s="1289"/>
      <c r="G31" s="1290"/>
    </row>
    <row r="32" spans="1:8" ht="15" customHeight="1">
      <c r="A32" s="1288">
        <v>40940</v>
      </c>
      <c r="B32" s="1289" t="s">
        <v>1057</v>
      </c>
      <c r="C32" s="1289" t="s">
        <v>637</v>
      </c>
      <c r="D32" s="1289" t="s">
        <v>1058</v>
      </c>
      <c r="E32" s="1289" t="s">
        <v>1062</v>
      </c>
      <c r="F32" s="1289" t="s">
        <v>1063</v>
      </c>
      <c r="G32" s="1290">
        <v>409</v>
      </c>
      <c r="H32" s="1291">
        <v>409</v>
      </c>
    </row>
    <row r="33" spans="1:8" ht="15" customHeight="1">
      <c r="A33" s="1288"/>
      <c r="B33" s="1289"/>
      <c r="C33" s="1289"/>
      <c r="D33" s="1289"/>
      <c r="E33" s="1289"/>
      <c r="F33" s="1289"/>
      <c r="G33" s="1290"/>
    </row>
    <row r="34" spans="1:8" ht="15" customHeight="1">
      <c r="A34" s="1288"/>
      <c r="B34" s="1289"/>
      <c r="C34" s="1289"/>
      <c r="D34" s="1289"/>
      <c r="E34" s="1289"/>
      <c r="F34" s="1289"/>
      <c r="G34" s="1290"/>
    </row>
    <row r="35" spans="1:8" ht="15" customHeight="1">
      <c r="A35" s="1288">
        <v>40940</v>
      </c>
      <c r="B35" s="1289" t="s">
        <v>1064</v>
      </c>
      <c r="C35" s="1289" t="s">
        <v>637</v>
      </c>
      <c r="D35" s="1289" t="s">
        <v>1065</v>
      </c>
      <c r="E35" s="1289" t="s">
        <v>1066</v>
      </c>
      <c r="F35" s="1289" t="s">
        <v>1067</v>
      </c>
      <c r="G35" s="1290">
        <v>295</v>
      </c>
    </row>
    <row r="36" spans="1:8" ht="15" customHeight="1">
      <c r="A36" s="1288">
        <v>40940</v>
      </c>
      <c r="B36" s="1289" t="s">
        <v>1064</v>
      </c>
      <c r="C36" s="1289" t="s">
        <v>637</v>
      </c>
      <c r="D36" s="1289" t="s">
        <v>1068</v>
      </c>
      <c r="E36" s="1289" t="s">
        <v>1069</v>
      </c>
      <c r="F36" s="1289" t="s">
        <v>1070</v>
      </c>
      <c r="G36" s="1290">
        <v>158</v>
      </c>
    </row>
    <row r="37" spans="1:8" ht="15" customHeight="1">
      <c r="A37" s="1288">
        <v>40940</v>
      </c>
      <c r="B37" s="1289" t="s">
        <v>1064</v>
      </c>
      <c r="C37" s="1289" t="s">
        <v>637</v>
      </c>
      <c r="D37" s="1289" t="s">
        <v>1068</v>
      </c>
      <c r="E37" s="1289" t="s">
        <v>1071</v>
      </c>
      <c r="F37" s="1289" t="s">
        <v>1072</v>
      </c>
      <c r="G37" s="1290">
        <v>63</v>
      </c>
    </row>
    <row r="38" spans="1:8" ht="15" customHeight="1">
      <c r="A38" s="1288">
        <v>40940</v>
      </c>
      <c r="B38" s="1289" t="s">
        <v>1064</v>
      </c>
      <c r="C38" s="1289" t="s">
        <v>637</v>
      </c>
      <c r="D38" s="1289" t="s">
        <v>1073</v>
      </c>
      <c r="E38" s="1289" t="s">
        <v>1074</v>
      </c>
      <c r="F38" s="1289" t="s">
        <v>1075</v>
      </c>
      <c r="G38" s="1290">
        <v>36</v>
      </c>
    </row>
    <row r="39" spans="1:8" ht="15" customHeight="1">
      <c r="A39" s="1288">
        <v>40940</v>
      </c>
      <c r="B39" s="1289" t="s">
        <v>1064</v>
      </c>
      <c r="C39" s="1289" t="s">
        <v>637</v>
      </c>
      <c r="D39" s="1289" t="s">
        <v>1076</v>
      </c>
      <c r="E39" s="1289" t="s">
        <v>1077</v>
      </c>
      <c r="F39" s="1289" t="s">
        <v>1078</v>
      </c>
      <c r="G39" s="1290">
        <v>51</v>
      </c>
      <c r="H39" s="1291">
        <f>SUM(G35:G39)</f>
        <v>603</v>
      </c>
    </row>
    <row r="40" spans="1:8" ht="15" customHeight="1">
      <c r="A40" s="1288"/>
      <c r="B40" s="1289"/>
      <c r="C40" s="1289"/>
      <c r="D40" s="1289"/>
      <c r="E40" s="1289"/>
      <c r="F40" s="1289"/>
      <c r="G40" s="1290"/>
    </row>
    <row r="41" spans="1:8" ht="15" customHeight="1">
      <c r="A41" s="1288">
        <v>40940</v>
      </c>
      <c r="B41" s="1289" t="s">
        <v>1079</v>
      </c>
      <c r="C41" s="1289" t="s">
        <v>1080</v>
      </c>
      <c r="D41" s="1289" t="s">
        <v>1081</v>
      </c>
      <c r="E41" s="1289" t="s">
        <v>476</v>
      </c>
      <c r="F41" s="1289" t="s">
        <v>692</v>
      </c>
      <c r="G41" s="1290">
        <v>478</v>
      </c>
      <c r="H41" s="1291">
        <f>G41</f>
        <v>478</v>
      </c>
    </row>
    <row r="42" spans="1:8" ht="15" customHeight="1">
      <c r="A42" s="1288"/>
      <c r="B42" s="1289"/>
      <c r="C42" s="1289"/>
      <c r="D42" s="1289"/>
      <c r="E42" s="1289"/>
      <c r="F42" s="1289"/>
      <c r="G42" s="1290"/>
    </row>
    <row r="43" spans="1:8" ht="15" customHeight="1">
      <c r="A43" s="1288">
        <v>40940</v>
      </c>
      <c r="B43" s="1289" t="s">
        <v>1079</v>
      </c>
      <c r="C43" s="1289" t="s">
        <v>1082</v>
      </c>
      <c r="D43" s="1289" t="s">
        <v>1083</v>
      </c>
      <c r="E43" s="1289" t="s">
        <v>477</v>
      </c>
      <c r="F43" s="1289" t="s">
        <v>683</v>
      </c>
      <c r="G43" s="1290">
        <v>326</v>
      </c>
    </row>
    <row r="44" spans="1:8" ht="15" customHeight="1">
      <c r="A44" s="1288">
        <v>40940</v>
      </c>
      <c r="B44" s="1289" t="s">
        <v>1079</v>
      </c>
      <c r="C44" s="1289" t="s">
        <v>1082</v>
      </c>
      <c r="D44" s="1289" t="s">
        <v>1084</v>
      </c>
      <c r="E44" s="1289" t="s">
        <v>478</v>
      </c>
      <c r="F44" s="1289" t="s">
        <v>479</v>
      </c>
      <c r="G44" s="1290">
        <v>271</v>
      </c>
    </row>
    <row r="45" spans="1:8" ht="15" customHeight="1">
      <c r="A45" s="1288">
        <v>40940</v>
      </c>
      <c r="B45" s="1289" t="s">
        <v>1079</v>
      </c>
      <c r="C45" s="1289" t="s">
        <v>1082</v>
      </c>
      <c r="D45" s="1289" t="s">
        <v>1084</v>
      </c>
      <c r="E45" s="1289" t="s">
        <v>480</v>
      </c>
      <c r="F45" s="1289" t="s">
        <v>481</v>
      </c>
      <c r="G45" s="1290">
        <v>252</v>
      </c>
    </row>
    <row r="46" spans="1:8" ht="15" customHeight="1">
      <c r="A46" s="1288">
        <v>40940</v>
      </c>
      <c r="B46" s="1289" t="s">
        <v>1079</v>
      </c>
      <c r="C46" s="1289" t="s">
        <v>1082</v>
      </c>
      <c r="D46" s="1289" t="s">
        <v>1084</v>
      </c>
      <c r="E46" s="1289" t="s">
        <v>482</v>
      </c>
      <c r="F46" s="1289" t="s">
        <v>684</v>
      </c>
      <c r="G46" s="1290">
        <v>402</v>
      </c>
    </row>
    <row r="47" spans="1:8" ht="15" customHeight="1">
      <c r="A47" s="1288">
        <v>40940</v>
      </c>
      <c r="B47" s="1289" t="s">
        <v>1079</v>
      </c>
      <c r="C47" s="1289" t="s">
        <v>1082</v>
      </c>
      <c r="D47" s="1289" t="s">
        <v>1084</v>
      </c>
      <c r="E47" s="1289" t="s">
        <v>483</v>
      </c>
      <c r="F47" s="1289" t="s">
        <v>685</v>
      </c>
      <c r="G47" s="1290">
        <v>391</v>
      </c>
    </row>
    <row r="48" spans="1:8" ht="15" customHeight="1">
      <c r="A48" s="1288">
        <v>40940</v>
      </c>
      <c r="B48" s="1289" t="s">
        <v>1079</v>
      </c>
      <c r="C48" s="1289" t="s">
        <v>1082</v>
      </c>
      <c r="D48" s="1289" t="s">
        <v>1085</v>
      </c>
      <c r="E48" s="1289" t="s">
        <v>484</v>
      </c>
      <c r="F48" s="1289" t="s">
        <v>686</v>
      </c>
      <c r="G48" s="1290">
        <v>475</v>
      </c>
      <c r="H48" s="1291">
        <f>SUM(G43:G48)</f>
        <v>2117</v>
      </c>
    </row>
    <row r="49" spans="1:8" ht="15" customHeight="1">
      <c r="A49" s="1288"/>
      <c r="B49" s="1289"/>
      <c r="C49" s="1289"/>
      <c r="D49" s="1289"/>
      <c r="E49" s="1289"/>
      <c r="F49" s="1289"/>
      <c r="G49" s="1290"/>
    </row>
    <row r="50" spans="1:8" ht="15" customHeight="1">
      <c r="A50" s="1288">
        <v>40940</v>
      </c>
      <c r="B50" s="1289" t="s">
        <v>1079</v>
      </c>
      <c r="C50" s="1289" t="s">
        <v>1086</v>
      </c>
      <c r="D50" s="1289" t="s">
        <v>1084</v>
      </c>
      <c r="E50" s="1289" t="s">
        <v>485</v>
      </c>
      <c r="F50" s="1289" t="s">
        <v>486</v>
      </c>
      <c r="G50" s="1290">
        <v>277</v>
      </c>
      <c r="H50" s="1291">
        <f>G50</f>
        <v>277</v>
      </c>
    </row>
    <row r="51" spans="1:8" ht="15" customHeight="1">
      <c r="A51" s="1288"/>
      <c r="B51" s="1289"/>
      <c r="C51" s="1289"/>
      <c r="D51" s="1289"/>
      <c r="E51" s="1289"/>
      <c r="F51" s="1289"/>
      <c r="G51" s="1290"/>
    </row>
    <row r="52" spans="1:8" ht="15" customHeight="1">
      <c r="A52" s="1288"/>
      <c r="B52" s="1289"/>
      <c r="C52" s="1289"/>
      <c r="D52" s="1289"/>
      <c r="E52" s="1289"/>
      <c r="F52" s="1289"/>
      <c r="G52" s="1290"/>
    </row>
    <row r="53" spans="1:8" ht="15" customHeight="1">
      <c r="A53" s="1288">
        <v>40940</v>
      </c>
      <c r="B53" s="1289" t="s">
        <v>1087</v>
      </c>
      <c r="C53" s="1289" t="s">
        <v>410</v>
      </c>
      <c r="D53" s="1289" t="s">
        <v>1088</v>
      </c>
      <c r="E53" s="1289" t="s">
        <v>487</v>
      </c>
      <c r="F53" s="1289" t="s">
        <v>488</v>
      </c>
      <c r="G53" s="1290">
        <v>340</v>
      </c>
    </row>
    <row r="54" spans="1:8" ht="15" customHeight="1">
      <c r="A54" s="1288">
        <v>40940</v>
      </c>
      <c r="B54" s="1289" t="s">
        <v>1087</v>
      </c>
      <c r="C54" s="1289" t="s">
        <v>410</v>
      </c>
      <c r="D54" s="1289" t="s">
        <v>1088</v>
      </c>
      <c r="E54" s="1289" t="s">
        <v>489</v>
      </c>
      <c r="F54" s="1289" t="s">
        <v>490</v>
      </c>
      <c r="G54" s="1290">
        <v>420</v>
      </c>
    </row>
    <row r="55" spans="1:8" ht="15" customHeight="1">
      <c r="A55" s="1288">
        <v>40940</v>
      </c>
      <c r="B55" s="1289" t="s">
        <v>1087</v>
      </c>
      <c r="C55" s="1289" t="s">
        <v>410</v>
      </c>
      <c r="D55" s="1289" t="s">
        <v>1088</v>
      </c>
      <c r="E55" s="1289" t="s">
        <v>491</v>
      </c>
      <c r="F55" s="1289" t="s">
        <v>1089</v>
      </c>
      <c r="G55" s="1290">
        <v>601</v>
      </c>
    </row>
    <row r="56" spans="1:8" ht="15" customHeight="1">
      <c r="A56" s="1288">
        <v>40940</v>
      </c>
      <c r="B56" s="1289" t="s">
        <v>1087</v>
      </c>
      <c r="C56" s="1289" t="s">
        <v>410</v>
      </c>
      <c r="D56" s="1289" t="s">
        <v>1088</v>
      </c>
      <c r="E56" s="1289" t="s">
        <v>682</v>
      </c>
      <c r="F56" s="1289" t="s">
        <v>1090</v>
      </c>
      <c r="G56" s="1290">
        <v>423</v>
      </c>
    </row>
    <row r="57" spans="1:8" ht="15" customHeight="1">
      <c r="A57" s="1288">
        <v>40940</v>
      </c>
      <c r="B57" s="1289" t="s">
        <v>1087</v>
      </c>
      <c r="C57" s="1289" t="s">
        <v>410</v>
      </c>
      <c r="D57" s="1289" t="s">
        <v>1091</v>
      </c>
      <c r="E57" s="1289" t="s">
        <v>1092</v>
      </c>
      <c r="F57" s="1289" t="s">
        <v>1093</v>
      </c>
      <c r="G57" s="1290">
        <v>547</v>
      </c>
    </row>
    <row r="58" spans="1:8" ht="15" customHeight="1">
      <c r="A58" s="1288">
        <v>40940</v>
      </c>
      <c r="B58" s="1289" t="s">
        <v>1087</v>
      </c>
      <c r="C58" s="1289" t="s">
        <v>410</v>
      </c>
      <c r="D58" s="1289" t="s">
        <v>1094</v>
      </c>
      <c r="E58" s="1289" t="s">
        <v>1095</v>
      </c>
      <c r="F58" s="1289" t="s">
        <v>1096</v>
      </c>
      <c r="G58" s="1290">
        <v>462</v>
      </c>
    </row>
    <row r="59" spans="1:8" ht="15" customHeight="1">
      <c r="A59" s="1288">
        <v>40940</v>
      </c>
      <c r="B59" s="1289" t="s">
        <v>1087</v>
      </c>
      <c r="C59" s="1289" t="s">
        <v>410</v>
      </c>
      <c r="D59" s="1289" t="s">
        <v>1097</v>
      </c>
      <c r="E59" s="1289" t="s">
        <v>681</v>
      </c>
      <c r="F59" s="1289" t="s">
        <v>1098</v>
      </c>
      <c r="G59" s="1290">
        <v>103</v>
      </c>
    </row>
    <row r="60" spans="1:8" ht="15" customHeight="1">
      <c r="A60" s="1288">
        <v>40940</v>
      </c>
      <c r="B60" s="1289" t="s">
        <v>1087</v>
      </c>
      <c r="C60" s="1289" t="s">
        <v>410</v>
      </c>
      <c r="D60" s="1289" t="s">
        <v>1099</v>
      </c>
      <c r="E60" s="1289" t="s">
        <v>680</v>
      </c>
      <c r="F60" s="1289" t="s">
        <v>1100</v>
      </c>
      <c r="G60" s="1290">
        <v>364</v>
      </c>
    </row>
    <row r="61" spans="1:8" ht="15" customHeight="1">
      <c r="A61" s="1288">
        <v>40940</v>
      </c>
      <c r="B61" s="1289" t="s">
        <v>1087</v>
      </c>
      <c r="C61" s="1289" t="s">
        <v>410</v>
      </c>
      <c r="D61" s="1289" t="s">
        <v>1101</v>
      </c>
      <c r="E61" s="1289" t="s">
        <v>679</v>
      </c>
      <c r="F61" s="1289" t="s">
        <v>1102</v>
      </c>
      <c r="G61" s="1290">
        <v>200</v>
      </c>
    </row>
    <row r="62" spans="1:8" ht="15" customHeight="1">
      <c r="A62" s="1288">
        <v>40940</v>
      </c>
      <c r="B62" s="1289" t="s">
        <v>1087</v>
      </c>
      <c r="C62" s="1289" t="s">
        <v>410</v>
      </c>
      <c r="D62" s="1289" t="s">
        <v>1103</v>
      </c>
      <c r="E62" s="1289" t="s">
        <v>678</v>
      </c>
      <c r="F62" s="1289" t="s">
        <v>1104</v>
      </c>
      <c r="G62" s="1290">
        <v>581</v>
      </c>
    </row>
    <row r="63" spans="1:8" ht="15" customHeight="1">
      <c r="A63" s="1288">
        <v>40940</v>
      </c>
      <c r="B63" s="1289" t="s">
        <v>1087</v>
      </c>
      <c r="C63" s="1289" t="s">
        <v>410</v>
      </c>
      <c r="D63" s="1289" t="s">
        <v>1103</v>
      </c>
      <c r="E63" s="1289" t="s">
        <v>677</v>
      </c>
      <c r="F63" s="1289" t="s">
        <v>1105</v>
      </c>
      <c r="G63" s="1290">
        <v>608</v>
      </c>
    </row>
    <row r="64" spans="1:8" ht="15" customHeight="1">
      <c r="A64" s="1288">
        <v>40940</v>
      </c>
      <c r="B64" s="1289" t="s">
        <v>1087</v>
      </c>
      <c r="C64" s="1289" t="s">
        <v>410</v>
      </c>
      <c r="D64" s="1289" t="s">
        <v>1103</v>
      </c>
      <c r="E64" s="1289" t="s">
        <v>1106</v>
      </c>
      <c r="F64" s="1289" t="s">
        <v>1107</v>
      </c>
      <c r="G64" s="1290">
        <v>581</v>
      </c>
    </row>
    <row r="65" spans="1:7" ht="15" customHeight="1">
      <c r="A65" s="1288">
        <v>40940</v>
      </c>
      <c r="B65" s="1289" t="s">
        <v>1087</v>
      </c>
      <c r="C65" s="1289" t="s">
        <v>410</v>
      </c>
      <c r="D65" s="1289" t="s">
        <v>1103</v>
      </c>
      <c r="E65" s="1289" t="s">
        <v>1108</v>
      </c>
      <c r="F65" s="1289" t="s">
        <v>1109</v>
      </c>
      <c r="G65" s="1290">
        <v>157</v>
      </c>
    </row>
    <row r="66" spans="1:7" ht="15" customHeight="1">
      <c r="A66" s="1288">
        <v>40940</v>
      </c>
      <c r="B66" s="1289" t="s">
        <v>1087</v>
      </c>
      <c r="C66" s="1289" t="s">
        <v>410</v>
      </c>
      <c r="D66" s="1289" t="s">
        <v>1103</v>
      </c>
      <c r="E66" s="1289" t="s">
        <v>1110</v>
      </c>
      <c r="F66" s="1289" t="s">
        <v>1111</v>
      </c>
      <c r="G66" s="1290">
        <v>139</v>
      </c>
    </row>
    <row r="67" spans="1:7" ht="15" customHeight="1">
      <c r="A67" s="1288">
        <v>40940</v>
      </c>
      <c r="B67" s="1289" t="s">
        <v>1087</v>
      </c>
      <c r="C67" s="1289" t="s">
        <v>410</v>
      </c>
      <c r="D67" s="1289" t="s">
        <v>1112</v>
      </c>
      <c r="E67" s="1289" t="s">
        <v>492</v>
      </c>
      <c r="F67" s="1289" t="s">
        <v>676</v>
      </c>
      <c r="G67" s="1290">
        <v>310</v>
      </c>
    </row>
    <row r="68" spans="1:7" ht="15" customHeight="1">
      <c r="A68" s="1288">
        <v>40940</v>
      </c>
      <c r="B68" s="1289" t="s">
        <v>1087</v>
      </c>
      <c r="C68" s="1289" t="s">
        <v>410</v>
      </c>
      <c r="D68" s="1289" t="s">
        <v>1113</v>
      </c>
      <c r="E68" s="1289" t="s">
        <v>493</v>
      </c>
      <c r="F68" s="1289" t="s">
        <v>675</v>
      </c>
      <c r="G68" s="1290">
        <v>383</v>
      </c>
    </row>
    <row r="69" spans="1:7" ht="15" customHeight="1">
      <c r="A69" s="1288">
        <v>40940</v>
      </c>
      <c r="B69" s="1289" t="s">
        <v>1087</v>
      </c>
      <c r="C69" s="1289" t="s">
        <v>410</v>
      </c>
      <c r="D69" s="1289" t="s">
        <v>1114</v>
      </c>
      <c r="E69" s="1289" t="s">
        <v>494</v>
      </c>
      <c r="F69" s="1289" t="s">
        <v>674</v>
      </c>
      <c r="G69" s="1290">
        <v>304</v>
      </c>
    </row>
    <row r="70" spans="1:7" ht="15" customHeight="1">
      <c r="A70" s="1288">
        <v>40940</v>
      </c>
      <c r="B70" s="1289" t="s">
        <v>1087</v>
      </c>
      <c r="C70" s="1289" t="s">
        <v>410</v>
      </c>
      <c r="D70" s="1289" t="s">
        <v>1115</v>
      </c>
      <c r="E70" s="1289" t="s">
        <v>495</v>
      </c>
      <c r="F70" s="1289" t="s">
        <v>673</v>
      </c>
      <c r="G70" s="1290">
        <v>253</v>
      </c>
    </row>
    <row r="71" spans="1:7" ht="15" customHeight="1">
      <c r="A71" s="1288">
        <v>40940</v>
      </c>
      <c r="B71" s="1289" t="s">
        <v>1087</v>
      </c>
      <c r="C71" s="1289" t="s">
        <v>410</v>
      </c>
      <c r="D71" s="1289" t="s">
        <v>1116</v>
      </c>
      <c r="E71" s="1289" t="s">
        <v>496</v>
      </c>
      <c r="F71" s="1289" t="s">
        <v>497</v>
      </c>
      <c r="G71" s="1290">
        <v>210</v>
      </c>
    </row>
    <row r="72" spans="1:7" ht="15" customHeight="1">
      <c r="A72" s="1288">
        <v>40940</v>
      </c>
      <c r="B72" s="1289" t="s">
        <v>1087</v>
      </c>
      <c r="C72" s="1289" t="s">
        <v>410</v>
      </c>
      <c r="D72" s="1289" t="s">
        <v>1117</v>
      </c>
      <c r="E72" s="1289" t="s">
        <v>498</v>
      </c>
      <c r="F72" s="1289" t="s">
        <v>499</v>
      </c>
      <c r="G72" s="1290">
        <v>419</v>
      </c>
    </row>
    <row r="73" spans="1:7" ht="15" customHeight="1">
      <c r="A73" s="1288">
        <v>40940</v>
      </c>
      <c r="B73" s="1289" t="s">
        <v>1087</v>
      </c>
      <c r="C73" s="1289" t="s">
        <v>410</v>
      </c>
      <c r="D73" s="1289" t="s">
        <v>1118</v>
      </c>
      <c r="E73" s="1289" t="s">
        <v>500</v>
      </c>
      <c r="F73" s="1289" t="s">
        <v>501</v>
      </c>
      <c r="G73" s="1290">
        <v>308</v>
      </c>
    </row>
    <row r="74" spans="1:7" ht="15" customHeight="1">
      <c r="A74" s="1288">
        <v>40940</v>
      </c>
      <c r="B74" s="1289" t="s">
        <v>1087</v>
      </c>
      <c r="C74" s="1289" t="s">
        <v>410</v>
      </c>
      <c r="D74" s="1289" t="s">
        <v>1119</v>
      </c>
      <c r="E74" s="1289" t="s">
        <v>502</v>
      </c>
      <c r="F74" s="1289" t="s">
        <v>503</v>
      </c>
      <c r="G74" s="1290">
        <v>336</v>
      </c>
    </row>
    <row r="75" spans="1:7" ht="15" customHeight="1">
      <c r="A75" s="1288">
        <v>40940</v>
      </c>
      <c r="B75" s="1289" t="s">
        <v>1087</v>
      </c>
      <c r="C75" s="1289" t="s">
        <v>410</v>
      </c>
      <c r="D75" s="1289" t="s">
        <v>1120</v>
      </c>
      <c r="E75" s="1289" t="s">
        <v>504</v>
      </c>
      <c r="F75" s="1289" t="s">
        <v>505</v>
      </c>
      <c r="G75" s="1290">
        <v>239</v>
      </c>
    </row>
    <row r="76" spans="1:7" ht="15" customHeight="1">
      <c r="A76" s="1288">
        <v>40940</v>
      </c>
      <c r="B76" s="1289" t="s">
        <v>1087</v>
      </c>
      <c r="C76" s="1289" t="s">
        <v>410</v>
      </c>
      <c r="D76" s="1289" t="s">
        <v>1121</v>
      </c>
      <c r="E76" s="1289" t="s">
        <v>506</v>
      </c>
      <c r="F76" s="1289" t="s">
        <v>507</v>
      </c>
      <c r="G76" s="1290">
        <v>526</v>
      </c>
    </row>
    <row r="77" spans="1:7" ht="15" customHeight="1">
      <c r="A77" s="1288">
        <v>40940</v>
      </c>
      <c r="B77" s="1289" t="s">
        <v>1087</v>
      </c>
      <c r="C77" s="1289" t="s">
        <v>410</v>
      </c>
      <c r="D77" s="1289" t="s">
        <v>1122</v>
      </c>
      <c r="E77" s="1289" t="s">
        <v>508</v>
      </c>
      <c r="F77" s="1289" t="s">
        <v>509</v>
      </c>
      <c r="G77" s="1290">
        <v>770</v>
      </c>
    </row>
    <row r="78" spans="1:7" ht="15" customHeight="1">
      <c r="A78" s="1288">
        <v>40940</v>
      </c>
      <c r="B78" s="1289" t="s">
        <v>1087</v>
      </c>
      <c r="C78" s="1289" t="s">
        <v>410</v>
      </c>
      <c r="D78" s="1289" t="s">
        <v>1123</v>
      </c>
      <c r="E78" s="1289" t="s">
        <v>510</v>
      </c>
      <c r="F78" s="1289" t="s">
        <v>511</v>
      </c>
      <c r="G78" s="1290">
        <v>614</v>
      </c>
    </row>
    <row r="79" spans="1:7" ht="15" customHeight="1">
      <c r="A79" s="1288">
        <v>40940</v>
      </c>
      <c r="B79" s="1289" t="s">
        <v>1087</v>
      </c>
      <c r="C79" s="1289" t="s">
        <v>410</v>
      </c>
      <c r="D79" s="1289" t="s">
        <v>1124</v>
      </c>
      <c r="E79" s="1289" t="s">
        <v>512</v>
      </c>
      <c r="F79" s="1289" t="s">
        <v>513</v>
      </c>
      <c r="G79" s="1290">
        <v>548</v>
      </c>
    </row>
    <row r="80" spans="1:7" ht="15" customHeight="1">
      <c r="A80" s="1288">
        <v>40940</v>
      </c>
      <c r="B80" s="1289" t="s">
        <v>1087</v>
      </c>
      <c r="C80" s="1289" t="s">
        <v>410</v>
      </c>
      <c r="D80" s="1289" t="s">
        <v>1125</v>
      </c>
      <c r="E80" s="1289" t="s">
        <v>514</v>
      </c>
      <c r="F80" s="1289" t="s">
        <v>515</v>
      </c>
      <c r="G80" s="1290">
        <v>667</v>
      </c>
    </row>
    <row r="81" spans="1:7" ht="15" customHeight="1">
      <c r="A81" s="1288">
        <v>40940</v>
      </c>
      <c r="B81" s="1289" t="s">
        <v>1087</v>
      </c>
      <c r="C81" s="1289" t="s">
        <v>410</v>
      </c>
      <c r="D81" s="1289" t="s">
        <v>1126</v>
      </c>
      <c r="E81" s="1289" t="s">
        <v>516</v>
      </c>
      <c r="F81" s="1289" t="s">
        <v>517</v>
      </c>
      <c r="G81" s="1290">
        <v>686</v>
      </c>
    </row>
    <row r="82" spans="1:7" ht="15" customHeight="1">
      <c r="A82" s="1288">
        <v>40940</v>
      </c>
      <c r="B82" s="1289" t="s">
        <v>1087</v>
      </c>
      <c r="C82" s="1289" t="s">
        <v>410</v>
      </c>
      <c r="D82" s="1289" t="s">
        <v>1127</v>
      </c>
      <c r="E82" s="1289" t="s">
        <v>518</v>
      </c>
      <c r="F82" s="1289" t="s">
        <v>519</v>
      </c>
      <c r="G82" s="1290">
        <v>399</v>
      </c>
    </row>
    <row r="83" spans="1:7" ht="15" customHeight="1">
      <c r="A83" s="1288">
        <v>40940</v>
      </c>
      <c r="B83" s="1289" t="s">
        <v>1087</v>
      </c>
      <c r="C83" s="1289" t="s">
        <v>410</v>
      </c>
      <c r="D83" s="1289" t="s">
        <v>1128</v>
      </c>
      <c r="E83" s="1289" t="s">
        <v>520</v>
      </c>
      <c r="F83" s="1289" t="s">
        <v>521</v>
      </c>
      <c r="G83" s="1290">
        <v>785</v>
      </c>
    </row>
    <row r="84" spans="1:7" ht="15" customHeight="1">
      <c r="A84" s="1288">
        <v>40940</v>
      </c>
      <c r="B84" s="1289" t="s">
        <v>1087</v>
      </c>
      <c r="C84" s="1289" t="s">
        <v>410</v>
      </c>
      <c r="D84" s="1289" t="s">
        <v>1128</v>
      </c>
      <c r="E84" s="1289" t="s">
        <v>672</v>
      </c>
      <c r="F84" s="1289" t="s">
        <v>671</v>
      </c>
      <c r="G84" s="1290">
        <v>422</v>
      </c>
    </row>
    <row r="85" spans="1:7" ht="15" customHeight="1">
      <c r="A85" s="1288">
        <v>40940</v>
      </c>
      <c r="B85" s="1289" t="s">
        <v>1087</v>
      </c>
      <c r="C85" s="1289" t="s">
        <v>410</v>
      </c>
      <c r="D85" s="1289" t="s">
        <v>1129</v>
      </c>
      <c r="E85" s="1289" t="s">
        <v>522</v>
      </c>
      <c r="F85" s="1289" t="s">
        <v>523</v>
      </c>
      <c r="G85" s="1290">
        <v>480</v>
      </c>
    </row>
    <row r="86" spans="1:7" ht="15" customHeight="1">
      <c r="A86" s="1288">
        <v>40940</v>
      </c>
      <c r="B86" s="1289" t="s">
        <v>1087</v>
      </c>
      <c r="C86" s="1289" t="s">
        <v>410</v>
      </c>
      <c r="D86" s="1289" t="s">
        <v>1130</v>
      </c>
      <c r="E86" s="1289" t="s">
        <v>524</v>
      </c>
      <c r="F86" s="1289" t="s">
        <v>525</v>
      </c>
      <c r="G86" s="1290">
        <v>641</v>
      </c>
    </row>
    <row r="87" spans="1:7" ht="15" customHeight="1">
      <c r="A87" s="1288">
        <v>40940</v>
      </c>
      <c r="B87" s="1289" t="s">
        <v>1087</v>
      </c>
      <c r="C87" s="1289" t="s">
        <v>410</v>
      </c>
      <c r="D87" s="1289" t="s">
        <v>1130</v>
      </c>
      <c r="E87" s="1289" t="s">
        <v>526</v>
      </c>
      <c r="F87" s="1289" t="s">
        <v>527</v>
      </c>
      <c r="G87" s="1290">
        <v>592</v>
      </c>
    </row>
    <row r="88" spans="1:7" ht="15" customHeight="1">
      <c r="A88" s="1288">
        <v>40940</v>
      </c>
      <c r="B88" s="1289" t="s">
        <v>1087</v>
      </c>
      <c r="C88" s="1289" t="s">
        <v>410</v>
      </c>
      <c r="D88" s="1289" t="s">
        <v>1130</v>
      </c>
      <c r="E88" s="1289" t="s">
        <v>528</v>
      </c>
      <c r="F88" s="1289" t="s">
        <v>529</v>
      </c>
      <c r="G88" s="1290">
        <v>610</v>
      </c>
    </row>
    <row r="89" spans="1:7" ht="15" customHeight="1">
      <c r="A89" s="1288">
        <v>40940</v>
      </c>
      <c r="B89" s="1289" t="s">
        <v>1087</v>
      </c>
      <c r="C89" s="1289" t="s">
        <v>410</v>
      </c>
      <c r="D89" s="1289" t="s">
        <v>1130</v>
      </c>
      <c r="E89" s="1289" t="s">
        <v>530</v>
      </c>
      <c r="F89" s="1289" t="s">
        <v>531</v>
      </c>
      <c r="G89" s="1290">
        <v>471</v>
      </c>
    </row>
    <row r="90" spans="1:7" ht="15" customHeight="1">
      <c r="A90" s="1288">
        <v>40940</v>
      </c>
      <c r="B90" s="1289" t="s">
        <v>1087</v>
      </c>
      <c r="C90" s="1289" t="s">
        <v>410</v>
      </c>
      <c r="D90" s="1289" t="s">
        <v>1130</v>
      </c>
      <c r="E90" s="1289" t="s">
        <v>532</v>
      </c>
      <c r="F90" s="1289" t="s">
        <v>533</v>
      </c>
      <c r="G90" s="1290">
        <v>858</v>
      </c>
    </row>
    <row r="91" spans="1:7" ht="15" customHeight="1">
      <c r="A91" s="1288">
        <v>40940</v>
      </c>
      <c r="B91" s="1289" t="s">
        <v>1087</v>
      </c>
      <c r="C91" s="1289" t="s">
        <v>410</v>
      </c>
      <c r="D91" s="1289" t="s">
        <v>1130</v>
      </c>
      <c r="E91" s="1289" t="s">
        <v>534</v>
      </c>
      <c r="F91" s="1289" t="s">
        <v>535</v>
      </c>
      <c r="G91" s="1290">
        <v>278</v>
      </c>
    </row>
    <row r="92" spans="1:7" ht="15" customHeight="1">
      <c r="A92" s="1288">
        <v>40940</v>
      </c>
      <c r="B92" s="1289" t="s">
        <v>1087</v>
      </c>
      <c r="C92" s="1289" t="s">
        <v>410</v>
      </c>
      <c r="D92" s="1289" t="s">
        <v>1131</v>
      </c>
      <c r="E92" s="1289" t="s">
        <v>536</v>
      </c>
      <c r="F92" s="1289" t="s">
        <v>1132</v>
      </c>
      <c r="G92" s="1290">
        <v>469</v>
      </c>
    </row>
    <row r="93" spans="1:7" ht="15" customHeight="1">
      <c r="A93" s="1288">
        <v>40940</v>
      </c>
      <c r="B93" s="1289" t="s">
        <v>1087</v>
      </c>
      <c r="C93" s="1289" t="s">
        <v>410</v>
      </c>
      <c r="D93" s="1289" t="s">
        <v>1133</v>
      </c>
      <c r="E93" s="1289" t="s">
        <v>537</v>
      </c>
      <c r="F93" s="1289" t="s">
        <v>538</v>
      </c>
      <c r="G93" s="1290">
        <v>481</v>
      </c>
    </row>
    <row r="94" spans="1:7" ht="15" customHeight="1">
      <c r="A94" s="1288">
        <v>40940</v>
      </c>
      <c r="B94" s="1289" t="s">
        <v>1087</v>
      </c>
      <c r="C94" s="1289" t="s">
        <v>410</v>
      </c>
      <c r="D94" s="1289" t="s">
        <v>1133</v>
      </c>
      <c r="E94" s="1289" t="s">
        <v>539</v>
      </c>
      <c r="F94" s="1289" t="s">
        <v>540</v>
      </c>
      <c r="G94" s="1290">
        <v>556</v>
      </c>
    </row>
    <row r="95" spans="1:7" ht="15" customHeight="1">
      <c r="A95" s="1288">
        <v>40940</v>
      </c>
      <c r="B95" s="1289" t="s">
        <v>1087</v>
      </c>
      <c r="C95" s="1289" t="s">
        <v>410</v>
      </c>
      <c r="D95" s="1289" t="s">
        <v>1133</v>
      </c>
      <c r="E95" s="1289" t="s">
        <v>541</v>
      </c>
      <c r="F95" s="1289" t="s">
        <v>542</v>
      </c>
      <c r="G95" s="1290">
        <v>387</v>
      </c>
    </row>
    <row r="96" spans="1:7" ht="15" customHeight="1">
      <c r="A96" s="1288">
        <v>40940</v>
      </c>
      <c r="B96" s="1289" t="s">
        <v>1087</v>
      </c>
      <c r="C96" s="1289" t="s">
        <v>410</v>
      </c>
      <c r="D96" s="1289" t="s">
        <v>1133</v>
      </c>
      <c r="E96" s="1289" t="s">
        <v>543</v>
      </c>
      <c r="F96" s="1289" t="s">
        <v>544</v>
      </c>
      <c r="G96" s="1290">
        <v>416</v>
      </c>
    </row>
    <row r="97" spans="1:8" ht="15" customHeight="1">
      <c r="A97" s="1288">
        <v>40940</v>
      </c>
      <c r="B97" s="1289" t="s">
        <v>1087</v>
      </c>
      <c r="C97" s="1289" t="s">
        <v>410</v>
      </c>
      <c r="D97" s="1289" t="s">
        <v>1133</v>
      </c>
      <c r="E97" s="1289" t="s">
        <v>670</v>
      </c>
      <c r="F97" s="1289" t="s">
        <v>1134</v>
      </c>
      <c r="G97" s="1290">
        <v>271</v>
      </c>
    </row>
    <row r="98" spans="1:8" ht="15" customHeight="1">
      <c r="A98" s="1288">
        <v>40940</v>
      </c>
      <c r="B98" s="1289" t="s">
        <v>1087</v>
      </c>
      <c r="C98" s="1289" t="s">
        <v>410</v>
      </c>
      <c r="D98" s="1289" t="s">
        <v>1133</v>
      </c>
      <c r="E98" s="1289" t="s">
        <v>669</v>
      </c>
      <c r="F98" s="1289" t="s">
        <v>1135</v>
      </c>
      <c r="G98" s="1290">
        <v>309</v>
      </c>
    </row>
    <row r="99" spans="1:8" ht="15" customHeight="1">
      <c r="A99" s="1288">
        <v>40940</v>
      </c>
      <c r="B99" s="1289" t="s">
        <v>1087</v>
      </c>
      <c r="C99" s="1289" t="s">
        <v>410</v>
      </c>
      <c r="D99" s="1289" t="s">
        <v>1136</v>
      </c>
      <c r="E99" s="1289" t="s">
        <v>545</v>
      </c>
      <c r="F99" s="1289" t="s">
        <v>546</v>
      </c>
      <c r="G99" s="1290">
        <v>515</v>
      </c>
    </row>
    <row r="100" spans="1:8" ht="15" customHeight="1">
      <c r="A100" s="1288">
        <v>40940</v>
      </c>
      <c r="B100" s="1289" t="s">
        <v>1087</v>
      </c>
      <c r="C100" s="1289" t="s">
        <v>410</v>
      </c>
      <c r="D100" s="1289" t="s">
        <v>1136</v>
      </c>
      <c r="E100" s="1289" t="s">
        <v>547</v>
      </c>
      <c r="F100" s="1289" t="s">
        <v>548</v>
      </c>
      <c r="G100" s="1290">
        <v>421</v>
      </c>
    </row>
    <row r="101" spans="1:8" ht="15" customHeight="1">
      <c r="A101" s="1288">
        <v>40940</v>
      </c>
      <c r="B101" s="1289" t="s">
        <v>1087</v>
      </c>
      <c r="C101" s="1289" t="s">
        <v>410</v>
      </c>
      <c r="D101" s="1289" t="s">
        <v>1136</v>
      </c>
      <c r="E101" s="1289" t="s">
        <v>1137</v>
      </c>
      <c r="F101" s="1289" t="s">
        <v>1138</v>
      </c>
      <c r="G101" s="1290">
        <v>385</v>
      </c>
    </row>
    <row r="102" spans="1:8" ht="15" customHeight="1">
      <c r="A102" s="1288">
        <v>40940</v>
      </c>
      <c r="B102" s="1289" t="s">
        <v>1087</v>
      </c>
      <c r="C102" s="1289" t="s">
        <v>410</v>
      </c>
      <c r="D102" s="1289" t="s">
        <v>1136</v>
      </c>
      <c r="E102" s="1289" t="s">
        <v>668</v>
      </c>
      <c r="F102" s="1289" t="s">
        <v>1139</v>
      </c>
      <c r="G102" s="1290">
        <v>425</v>
      </c>
      <c r="H102" s="1291">
        <f>SUM(G53:G102)</f>
        <v>22270</v>
      </c>
    </row>
    <row r="103" spans="1:8" ht="15" customHeight="1">
      <c r="A103" s="1288"/>
      <c r="B103" s="1289"/>
      <c r="C103" s="1289"/>
      <c r="D103" s="1289"/>
      <c r="E103" s="1289"/>
      <c r="F103" s="1289"/>
      <c r="G103" s="1290"/>
    </row>
    <row r="104" spans="1:8" ht="15" customHeight="1">
      <c r="A104" s="1288"/>
      <c r="B104" s="1289"/>
      <c r="C104" s="1289"/>
      <c r="D104" s="1289"/>
      <c r="E104" s="1289"/>
      <c r="F104" s="1289"/>
      <c r="G104" s="1290"/>
    </row>
    <row r="105" spans="1:8" ht="15" customHeight="1">
      <c r="A105" s="1288">
        <v>40940</v>
      </c>
      <c r="B105" s="1289" t="s">
        <v>1140</v>
      </c>
      <c r="C105" s="1289" t="s">
        <v>1080</v>
      </c>
      <c r="D105" s="1289" t="s">
        <v>475</v>
      </c>
      <c r="E105" s="1289" t="s">
        <v>1141</v>
      </c>
      <c r="F105" s="1289" t="s">
        <v>1142</v>
      </c>
      <c r="G105" s="1290">
        <v>166</v>
      </c>
    </row>
    <row r="106" spans="1:8" ht="15" customHeight="1">
      <c r="A106" s="1288">
        <v>40940</v>
      </c>
      <c r="B106" s="1289" t="s">
        <v>1140</v>
      </c>
      <c r="C106" s="1289" t="s">
        <v>1082</v>
      </c>
      <c r="D106" s="1289" t="s">
        <v>475</v>
      </c>
      <c r="E106" s="1289" t="s">
        <v>1143</v>
      </c>
      <c r="F106" s="1289" t="s">
        <v>1144</v>
      </c>
      <c r="G106" s="1290">
        <v>253</v>
      </c>
    </row>
    <row r="107" spans="1:8" ht="15" customHeight="1">
      <c r="A107" s="1288">
        <v>40940</v>
      </c>
      <c r="B107" s="1289" t="s">
        <v>1140</v>
      </c>
      <c r="C107" s="1289" t="s">
        <v>1145</v>
      </c>
      <c r="D107" s="1289" t="s">
        <v>475</v>
      </c>
      <c r="E107" s="1289" t="s">
        <v>1146</v>
      </c>
      <c r="F107" s="1289" t="s">
        <v>1147</v>
      </c>
      <c r="G107" s="1290">
        <v>336</v>
      </c>
      <c r="H107" s="1291">
        <f>SUM(G105:G107)</f>
        <v>755</v>
      </c>
    </row>
    <row r="108" spans="1:8" ht="15" customHeight="1">
      <c r="A108" s="1288"/>
      <c r="B108" s="1289"/>
      <c r="C108" s="1289"/>
      <c r="D108" s="1289"/>
      <c r="E108" s="1289"/>
      <c r="F108" s="1289"/>
      <c r="G108" s="1290"/>
    </row>
    <row r="109" spans="1:8" ht="15" customHeight="1">
      <c r="A109" s="1288"/>
      <c r="B109" s="1289"/>
      <c r="C109" s="1289"/>
      <c r="D109" s="1289"/>
      <c r="E109" s="1289"/>
      <c r="F109" s="1289"/>
      <c r="G109" s="1290"/>
    </row>
    <row r="110" spans="1:8" ht="15" customHeight="1">
      <c r="A110" s="1288">
        <v>40940</v>
      </c>
      <c r="B110" s="1289" t="s">
        <v>1140</v>
      </c>
      <c r="C110" s="1289" t="s">
        <v>410</v>
      </c>
      <c r="D110" s="1289" t="s">
        <v>475</v>
      </c>
      <c r="E110" s="1289" t="s">
        <v>1148</v>
      </c>
      <c r="F110" s="1289" t="s">
        <v>1149</v>
      </c>
      <c r="G110" s="1290">
        <v>512</v>
      </c>
    </row>
    <row r="111" spans="1:8" ht="15" customHeight="1">
      <c r="A111" s="1288">
        <v>40940</v>
      </c>
      <c r="B111" s="1289" t="s">
        <v>1140</v>
      </c>
      <c r="C111" s="1289" t="s">
        <v>410</v>
      </c>
      <c r="D111" s="1289" t="s">
        <v>475</v>
      </c>
      <c r="E111" s="1289" t="s">
        <v>1150</v>
      </c>
      <c r="F111" s="1289" t="s">
        <v>1151</v>
      </c>
      <c r="G111" s="1290">
        <v>487</v>
      </c>
    </row>
    <row r="112" spans="1:8" ht="15" customHeight="1">
      <c r="A112" s="1288">
        <v>40940</v>
      </c>
      <c r="B112" s="1289" t="s">
        <v>1140</v>
      </c>
      <c r="C112" s="1289" t="s">
        <v>410</v>
      </c>
      <c r="D112" s="1289" t="s">
        <v>475</v>
      </c>
      <c r="E112" s="1289" t="s">
        <v>1152</v>
      </c>
      <c r="F112" s="1289" t="s">
        <v>1153</v>
      </c>
      <c r="G112" s="1290">
        <v>223</v>
      </c>
    </row>
    <row r="113" spans="1:8" ht="15" customHeight="1">
      <c r="A113" s="1288">
        <v>40940</v>
      </c>
      <c r="B113" s="1289" t="s">
        <v>1140</v>
      </c>
      <c r="C113" s="1289" t="s">
        <v>410</v>
      </c>
      <c r="D113" s="1289" t="s">
        <v>475</v>
      </c>
      <c r="E113" s="1289" t="s">
        <v>1154</v>
      </c>
      <c r="F113" s="1289" t="s">
        <v>1155</v>
      </c>
      <c r="G113" s="1290">
        <v>182</v>
      </c>
    </row>
    <row r="114" spans="1:8" ht="15" customHeight="1">
      <c r="A114" s="1288">
        <v>40940</v>
      </c>
      <c r="B114" s="1289" t="s">
        <v>1140</v>
      </c>
      <c r="C114" s="1289" t="s">
        <v>410</v>
      </c>
      <c r="D114" s="1289" t="s">
        <v>475</v>
      </c>
      <c r="E114" s="1289" t="s">
        <v>1156</v>
      </c>
      <c r="F114" s="1289" t="s">
        <v>1157</v>
      </c>
      <c r="G114" s="1290">
        <v>352</v>
      </c>
    </row>
    <row r="115" spans="1:8" ht="15" customHeight="1">
      <c r="A115" s="1288">
        <v>40940</v>
      </c>
      <c r="B115" s="1289" t="s">
        <v>1140</v>
      </c>
      <c r="C115" s="1289" t="s">
        <v>410</v>
      </c>
      <c r="D115" s="1289" t="s">
        <v>475</v>
      </c>
      <c r="E115" s="1289" t="s">
        <v>1158</v>
      </c>
      <c r="F115" s="1289" t="s">
        <v>1159</v>
      </c>
      <c r="G115" s="1290">
        <v>220</v>
      </c>
    </row>
    <row r="116" spans="1:8" ht="15" customHeight="1">
      <c r="A116" s="1288">
        <v>40940</v>
      </c>
      <c r="B116" s="1289" t="s">
        <v>1140</v>
      </c>
      <c r="C116" s="1289" t="s">
        <v>410</v>
      </c>
      <c r="D116" s="1289" t="s">
        <v>475</v>
      </c>
      <c r="E116" s="1289" t="s">
        <v>1160</v>
      </c>
      <c r="F116" s="1289" t="s">
        <v>1161</v>
      </c>
      <c r="G116" s="1290">
        <v>243</v>
      </c>
    </row>
    <row r="117" spans="1:8" ht="15" customHeight="1">
      <c r="A117" s="1288">
        <v>40940</v>
      </c>
      <c r="B117" s="1289" t="s">
        <v>1140</v>
      </c>
      <c r="C117" s="1289" t="s">
        <v>410</v>
      </c>
      <c r="D117" s="1289" t="s">
        <v>475</v>
      </c>
      <c r="E117" s="1289" t="s">
        <v>1162</v>
      </c>
      <c r="F117" s="1289" t="s">
        <v>1163</v>
      </c>
      <c r="G117" s="1290">
        <v>244</v>
      </c>
    </row>
    <row r="118" spans="1:8" ht="15" customHeight="1">
      <c r="A118" s="1288">
        <v>40940</v>
      </c>
      <c r="B118" s="1289" t="s">
        <v>1140</v>
      </c>
      <c r="C118" s="1289" t="s">
        <v>410</v>
      </c>
      <c r="D118" s="1289" t="s">
        <v>475</v>
      </c>
      <c r="E118" s="1289" t="s">
        <v>1164</v>
      </c>
      <c r="F118" s="1289" t="s">
        <v>1165</v>
      </c>
      <c r="G118" s="1290">
        <v>421</v>
      </c>
    </row>
    <row r="119" spans="1:8" ht="15" customHeight="1">
      <c r="A119" s="1288">
        <v>40940</v>
      </c>
      <c r="B119" s="1289" t="s">
        <v>1140</v>
      </c>
      <c r="C119" s="1289" t="s">
        <v>410</v>
      </c>
      <c r="D119" s="1289" t="s">
        <v>475</v>
      </c>
      <c r="E119" s="1289" t="s">
        <v>1166</v>
      </c>
      <c r="F119" s="1289" t="s">
        <v>1167</v>
      </c>
      <c r="G119" s="1290">
        <v>279</v>
      </c>
    </row>
    <row r="120" spans="1:8" ht="15" customHeight="1">
      <c r="A120" s="1288">
        <v>40940</v>
      </c>
      <c r="B120" s="1289" t="s">
        <v>1140</v>
      </c>
      <c r="C120" s="1289" t="s">
        <v>410</v>
      </c>
      <c r="D120" s="1289" t="s">
        <v>475</v>
      </c>
      <c r="E120" s="1289" t="s">
        <v>1168</v>
      </c>
      <c r="F120" s="1289" t="s">
        <v>1169</v>
      </c>
      <c r="G120" s="1290">
        <v>114</v>
      </c>
    </row>
    <row r="121" spans="1:8" ht="15" customHeight="1">
      <c r="A121" s="1288">
        <v>40940</v>
      </c>
      <c r="B121" s="1289" t="s">
        <v>1140</v>
      </c>
      <c r="C121" s="1289" t="s">
        <v>410</v>
      </c>
      <c r="D121" s="1289" t="s">
        <v>475</v>
      </c>
      <c r="E121" s="1289" t="s">
        <v>1170</v>
      </c>
      <c r="F121" s="1289" t="s">
        <v>1171</v>
      </c>
      <c r="G121" s="1290">
        <v>336</v>
      </c>
    </row>
    <row r="122" spans="1:8" ht="15" customHeight="1">
      <c r="A122" s="1288">
        <v>40940</v>
      </c>
      <c r="B122" s="1289" t="s">
        <v>1140</v>
      </c>
      <c r="C122" s="1289" t="s">
        <v>410</v>
      </c>
      <c r="D122" s="1289" t="s">
        <v>475</v>
      </c>
      <c r="E122" s="1289" t="s">
        <v>1172</v>
      </c>
      <c r="F122" s="1289" t="s">
        <v>1173</v>
      </c>
      <c r="G122" s="1290">
        <v>17</v>
      </c>
    </row>
    <row r="123" spans="1:8" ht="15" customHeight="1">
      <c r="A123" s="1288">
        <v>40940</v>
      </c>
      <c r="B123" s="1289" t="s">
        <v>1140</v>
      </c>
      <c r="C123" s="1289" t="s">
        <v>410</v>
      </c>
      <c r="D123" s="1289" t="s">
        <v>475</v>
      </c>
      <c r="E123" s="1289" t="s">
        <v>1174</v>
      </c>
      <c r="F123" s="1289" t="s">
        <v>1175</v>
      </c>
      <c r="G123" s="1290">
        <v>710</v>
      </c>
    </row>
    <row r="124" spans="1:8" ht="15" customHeight="1">
      <c r="A124" s="1288">
        <v>40940</v>
      </c>
      <c r="B124" s="1289" t="s">
        <v>1140</v>
      </c>
      <c r="C124" s="1289" t="s">
        <v>410</v>
      </c>
      <c r="D124" s="1289" t="s">
        <v>475</v>
      </c>
      <c r="E124" s="1289" t="s">
        <v>1176</v>
      </c>
      <c r="F124" s="1289" t="s">
        <v>1177</v>
      </c>
      <c r="G124" s="1290">
        <v>600</v>
      </c>
    </row>
    <row r="125" spans="1:8" ht="15" customHeight="1">
      <c r="A125" s="1288">
        <v>40940</v>
      </c>
      <c r="B125" s="1289" t="s">
        <v>1140</v>
      </c>
      <c r="C125" s="1289" t="s">
        <v>410</v>
      </c>
      <c r="D125" s="1289" t="s">
        <v>475</v>
      </c>
      <c r="E125" s="1289" t="s">
        <v>1178</v>
      </c>
      <c r="F125" s="1289" t="s">
        <v>1179</v>
      </c>
      <c r="G125" s="1290">
        <v>555</v>
      </c>
    </row>
    <row r="126" spans="1:8" ht="15" customHeight="1">
      <c r="A126" s="1288">
        <v>40940</v>
      </c>
      <c r="B126" s="1289" t="s">
        <v>1140</v>
      </c>
      <c r="C126" s="1289" t="s">
        <v>410</v>
      </c>
      <c r="D126" s="1289" t="s">
        <v>475</v>
      </c>
      <c r="E126" s="1289" t="s">
        <v>1180</v>
      </c>
      <c r="F126" s="1289" t="s">
        <v>1181</v>
      </c>
      <c r="G126" s="1290">
        <v>523</v>
      </c>
    </row>
    <row r="127" spans="1:8" ht="15" customHeight="1">
      <c r="A127" s="1288">
        <v>40940</v>
      </c>
      <c r="B127" s="1289" t="s">
        <v>1140</v>
      </c>
      <c r="C127" s="1289" t="s">
        <v>410</v>
      </c>
      <c r="D127" s="1289" t="s">
        <v>475</v>
      </c>
      <c r="E127" s="1289" t="s">
        <v>1182</v>
      </c>
      <c r="F127" s="1289" t="s">
        <v>1183</v>
      </c>
      <c r="G127" s="1290">
        <v>96</v>
      </c>
      <c r="H127" s="1291">
        <f>SUM(G110:G127)</f>
        <v>6114</v>
      </c>
    </row>
    <row r="128" spans="1:8" ht="15" customHeight="1">
      <c r="A128" s="1288"/>
      <c r="B128" s="1289"/>
      <c r="C128" s="1289"/>
      <c r="D128" s="1289"/>
      <c r="E128" s="1289"/>
      <c r="F128" s="1289"/>
      <c r="G128" s="1290"/>
    </row>
    <row r="129" spans="1:8" ht="15" customHeight="1">
      <c r="A129" s="1288">
        <v>40940</v>
      </c>
      <c r="B129" s="1289" t="s">
        <v>1184</v>
      </c>
      <c r="C129" s="1289" t="s">
        <v>637</v>
      </c>
      <c r="D129" s="1289" t="s">
        <v>1185</v>
      </c>
      <c r="E129" s="1289" t="s">
        <v>1186</v>
      </c>
      <c r="F129" s="1289" t="s">
        <v>1059</v>
      </c>
      <c r="G129" s="1290">
        <v>50</v>
      </c>
    </row>
    <row r="130" spans="1:8" ht="15" customHeight="1">
      <c r="A130" s="1288">
        <v>40940</v>
      </c>
      <c r="B130" s="1289" t="s">
        <v>1184</v>
      </c>
      <c r="C130" s="1289" t="s">
        <v>637</v>
      </c>
      <c r="D130" s="1289" t="s">
        <v>1185</v>
      </c>
      <c r="E130" s="1289" t="s">
        <v>1187</v>
      </c>
      <c r="F130" s="1289" t="s">
        <v>1060</v>
      </c>
      <c r="G130" s="1290">
        <v>71</v>
      </c>
    </row>
    <row r="131" spans="1:8" ht="15" customHeight="1">
      <c r="A131" s="1288">
        <v>40940</v>
      </c>
      <c r="B131" s="1289" t="s">
        <v>1184</v>
      </c>
      <c r="C131" s="1289" t="s">
        <v>637</v>
      </c>
      <c r="D131" s="1289" t="s">
        <v>1185</v>
      </c>
      <c r="E131" s="1289" t="s">
        <v>1188</v>
      </c>
      <c r="F131" s="1289" t="s">
        <v>1061</v>
      </c>
      <c r="G131" s="1290">
        <v>69</v>
      </c>
      <c r="H131" s="1291">
        <f>SUM(G129:G131)</f>
        <v>190</v>
      </c>
    </row>
    <row r="132" spans="1:8">
      <c r="G132" s="1291">
        <f>SUM(G12:G131)</f>
        <v>42416</v>
      </c>
      <c r="H132" s="1281">
        <f>SUM(H12:H131)</f>
        <v>42416</v>
      </c>
    </row>
  </sheetData>
  <pageMargins left="0.75" right="0.25" top="0.5" bottom="0.27" header="0.25" footer="0.5"/>
  <pageSetup paperSize="5" scale="74" orientation="portrait" r:id="rId1"/>
  <headerFooter alignWithMargins="0"/>
  <rowBreaks count="1" manualBreakCount="1">
    <brk id="5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ER873"/>
  <sheetViews>
    <sheetView view="pageBreakPreview" zoomScale="90" zoomScaleNormal="85" zoomScaleSheetLayoutView="90" workbookViewId="0">
      <pane xSplit="2" ySplit="7" topLeftCell="C8" activePane="bottomRight" state="frozen"/>
      <selection activeCell="A8" sqref="A8:A9"/>
      <selection pane="topRight" activeCell="A8" sqref="A8:A9"/>
      <selection pane="bottomLeft" activeCell="A8" sqref="A8:A9"/>
      <selection pane="bottomRight" activeCell="Z27" sqref="Z27"/>
    </sheetView>
  </sheetViews>
  <sheetFormatPr defaultRowHeight="12.75"/>
  <cols>
    <col min="1" max="1" width="4.7109375" style="1" bestFit="1" customWidth="1"/>
    <col min="2" max="2" width="18.7109375" style="2" customWidth="1"/>
    <col min="3" max="3" width="20.140625" style="2" customWidth="1"/>
    <col min="4" max="4" width="15.85546875" style="2" customWidth="1"/>
    <col min="5" max="5" width="15.42578125" style="3" bestFit="1" customWidth="1"/>
    <col min="6" max="6" width="16.7109375" style="2" bestFit="1" customWidth="1"/>
    <col min="7" max="7" width="13.42578125" style="2" bestFit="1" customWidth="1"/>
    <col min="8" max="8" width="19.140625" style="2" bestFit="1" customWidth="1"/>
    <col min="9" max="9" width="16.28515625" style="2" bestFit="1" customWidth="1"/>
    <col min="10" max="10" width="15.140625" style="2" bestFit="1" customWidth="1"/>
    <col min="11" max="11" width="15.42578125" style="2" bestFit="1" customWidth="1"/>
    <col min="12" max="12" width="18" style="2" bestFit="1" customWidth="1"/>
    <col min="13" max="13" width="13.28515625" style="4" customWidth="1"/>
    <col min="14" max="15" width="14.85546875" style="2" customWidth="1"/>
    <col min="16" max="16" width="15.140625" style="2" bestFit="1" customWidth="1"/>
    <col min="17" max="17" width="9.85546875" style="2" bestFit="1" customWidth="1"/>
    <col min="18" max="18" width="15.42578125" style="2" customWidth="1"/>
    <col min="19" max="19" width="15.42578125" style="140" customWidth="1"/>
    <col min="20" max="20" width="15.28515625" style="140" customWidth="1"/>
    <col min="21" max="21" width="18.28515625" style="140" customWidth="1"/>
    <col min="22" max="22" width="10.7109375" style="140" bestFit="1" customWidth="1"/>
    <col min="23" max="24" width="10" style="140" customWidth="1"/>
    <col min="25" max="25" width="18.140625" style="140" customWidth="1"/>
    <col min="26" max="26" width="15.140625" style="140" customWidth="1"/>
    <col min="27" max="27" width="9.5703125" style="140" customWidth="1"/>
    <col min="28" max="28" width="14.140625" style="140" customWidth="1"/>
    <col min="29" max="29" width="14.42578125" style="140" customWidth="1"/>
    <col min="30" max="30" width="13.85546875" style="140" customWidth="1"/>
    <col min="31" max="31" width="16" style="140" customWidth="1"/>
    <col min="32" max="32" width="10.5703125" style="140" customWidth="1"/>
    <col min="33" max="33" width="15.5703125" style="140" customWidth="1"/>
    <col min="34" max="34" width="9.42578125" style="140" bestFit="1" customWidth="1"/>
    <col min="35" max="35" width="17.42578125" style="140" customWidth="1"/>
    <col min="36" max="36" width="9.42578125" style="140" bestFit="1" customWidth="1"/>
    <col min="37" max="37" width="18.85546875" style="140" customWidth="1"/>
    <col min="38" max="38" width="9.42578125" style="140" bestFit="1" customWidth="1"/>
    <col min="39" max="39" width="17.28515625" style="140" customWidth="1"/>
    <col min="40" max="40" width="9.42578125" style="140" bestFit="1" customWidth="1"/>
    <col min="41" max="41" width="17.85546875" style="140" customWidth="1"/>
    <col min="42" max="42" width="9.42578125" style="140" bestFit="1" customWidth="1"/>
    <col min="43" max="43" width="13.85546875" style="140" customWidth="1"/>
    <col min="44" max="44" width="5.7109375" style="140" bestFit="1" customWidth="1"/>
    <col min="45" max="45" width="16.28515625" style="140" customWidth="1"/>
    <col min="46" max="46" width="8.140625" style="140" bestFit="1" customWidth="1"/>
    <col min="47" max="47" width="5" style="140" bestFit="1" customWidth="1"/>
    <col min="48" max="48" width="9.85546875" style="140" bestFit="1" customWidth="1"/>
    <col min="49" max="49" width="18.5703125" style="140" customWidth="1"/>
    <col min="50" max="50" width="8.85546875" style="140" bestFit="1" customWidth="1"/>
    <col min="51" max="51" width="5" style="140" bestFit="1" customWidth="1"/>
    <col min="52" max="52" width="21.5703125" style="140" customWidth="1"/>
    <col min="53" max="53" width="16.5703125" style="140" customWidth="1"/>
    <col min="54" max="55" width="17.42578125" style="180" hidden="1" customWidth="1"/>
    <col min="56" max="56" width="14.28515625" style="180" hidden="1" customWidth="1"/>
    <col min="57" max="57" width="15" style="180" hidden="1" customWidth="1"/>
    <col min="58" max="58" width="13.140625" hidden="1" customWidth="1"/>
    <col min="59" max="59" width="12.7109375" hidden="1" customWidth="1"/>
    <col min="60" max="60" width="15.5703125" hidden="1" customWidth="1"/>
    <col min="61" max="61" width="14" hidden="1" customWidth="1"/>
    <col min="62" max="62" width="13.85546875" hidden="1" customWidth="1"/>
    <col min="63" max="63" width="15" hidden="1" customWidth="1"/>
    <col min="64" max="64" width="11.5703125" hidden="1" customWidth="1"/>
    <col min="65" max="65" width="10.140625" hidden="1" customWidth="1"/>
    <col min="66" max="66" width="15.28515625" hidden="1" customWidth="1"/>
    <col min="67" max="67" width="9.140625" hidden="1" customWidth="1"/>
    <col min="68" max="68" width="10.140625" hidden="1" customWidth="1"/>
    <col min="69" max="69" width="9.140625" hidden="1" customWidth="1"/>
    <col min="149" max="16384" width="9.140625" style="2"/>
  </cols>
  <sheetData>
    <row r="1" spans="1:148" ht="27" thickBot="1">
      <c r="A1" s="1697"/>
      <c r="B1" s="1698"/>
      <c r="C1" s="1701"/>
      <c r="D1" s="1701"/>
      <c r="E1" s="1701"/>
      <c r="F1" s="1701"/>
      <c r="G1" s="1701"/>
      <c r="H1" s="1701"/>
      <c r="I1" s="1701"/>
      <c r="J1" s="1701"/>
      <c r="K1" s="1701"/>
      <c r="L1" s="1701"/>
      <c r="M1" s="1701"/>
      <c r="N1" s="1701"/>
      <c r="O1" s="1701"/>
      <c r="P1" s="1701"/>
      <c r="Q1" s="1701"/>
      <c r="R1" s="1701"/>
      <c r="S1" s="243"/>
      <c r="T1" s="243"/>
      <c r="U1" s="244"/>
      <c r="V1" s="244"/>
      <c r="W1" s="244"/>
      <c r="X1" s="244"/>
      <c r="Y1" s="244"/>
      <c r="AB1" s="245"/>
      <c r="AC1" s="243"/>
      <c r="AD1" s="244"/>
      <c r="AE1" s="244"/>
      <c r="AF1" s="244"/>
    </row>
    <row r="2" spans="1:148" ht="1.5" hidden="1" customHeight="1">
      <c r="A2" s="1699"/>
      <c r="B2" s="1700"/>
      <c r="E2" s="2"/>
      <c r="M2" s="2"/>
      <c r="S2" s="246"/>
      <c r="T2" s="246"/>
      <c r="AC2" s="247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</row>
    <row r="3" spans="1:148" s="7" customFormat="1" ht="41.25" hidden="1" thickBot="1">
      <c r="A3" s="1706"/>
      <c r="B3" s="1707"/>
      <c r="C3" s="157" t="s">
        <v>65</v>
      </c>
      <c r="D3" s="83" t="s">
        <v>65</v>
      </c>
      <c r="E3" s="224" t="s">
        <v>77</v>
      </c>
      <c r="F3" s="123" t="s">
        <v>75</v>
      </c>
      <c r="G3" s="224" t="s">
        <v>78</v>
      </c>
      <c r="H3" s="123" t="s">
        <v>74</v>
      </c>
      <c r="I3" s="224" t="s">
        <v>79</v>
      </c>
      <c r="J3" s="123" t="s">
        <v>74</v>
      </c>
      <c r="K3" s="224" t="s">
        <v>80</v>
      </c>
      <c r="L3" s="73" t="s">
        <v>206</v>
      </c>
      <c r="M3" s="73" t="s">
        <v>207</v>
      </c>
      <c r="N3" s="225" t="s">
        <v>208</v>
      </c>
      <c r="O3" s="114" t="s">
        <v>204</v>
      </c>
      <c r="P3" s="125" t="s">
        <v>210</v>
      </c>
      <c r="Q3" s="226" t="s">
        <v>23</v>
      </c>
      <c r="R3" s="240" t="s">
        <v>209</v>
      </c>
      <c r="S3" s="249"/>
      <c r="T3" s="249"/>
      <c r="U3" s="249"/>
      <c r="V3" s="249"/>
      <c r="W3" s="249"/>
      <c r="X3" s="249"/>
      <c r="Y3" s="249"/>
      <c r="Z3" s="249"/>
      <c r="AA3" s="249"/>
      <c r="AB3" s="250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51"/>
      <c r="BC3" s="251"/>
      <c r="BD3" s="180"/>
      <c r="BE3" s="180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</row>
    <row r="4" spans="1:148" s="7" customFormat="1" ht="17.25" thickBot="1">
      <c r="C4" s="222"/>
      <c r="D4" s="300"/>
      <c r="E4" s="373">
        <v>0.22</v>
      </c>
      <c r="F4" s="276"/>
      <c r="G4" s="374">
        <v>0.06</v>
      </c>
      <c r="H4" s="301"/>
      <c r="I4" s="374">
        <v>1.5</v>
      </c>
      <c r="J4" s="276"/>
      <c r="K4" s="375">
        <v>0.6</v>
      </c>
      <c r="L4" s="376">
        <v>7500</v>
      </c>
      <c r="M4" s="376">
        <v>37500</v>
      </c>
      <c r="N4" s="377">
        <f>M4</f>
        <v>37500</v>
      </c>
      <c r="Q4" s="378">
        <f>ROUND(3855*1,0)</f>
        <v>3855</v>
      </c>
      <c r="S4" s="254"/>
      <c r="T4" s="379">
        <v>0.75</v>
      </c>
      <c r="U4" s="255"/>
      <c r="V4" s="256"/>
      <c r="W4" s="256"/>
      <c r="X4" s="256"/>
      <c r="Z4" s="22"/>
      <c r="AA4" s="22"/>
      <c r="AB4" s="380">
        <v>0.34</v>
      </c>
      <c r="AC4" s="22"/>
      <c r="AD4" s="381">
        <v>1.72</v>
      </c>
      <c r="AE4" s="479"/>
      <c r="AF4" s="22"/>
      <c r="AG4" s="22"/>
      <c r="AH4" s="22"/>
      <c r="AI4" s="1702" t="s">
        <v>616</v>
      </c>
      <c r="AJ4" s="1703"/>
      <c r="AK4" s="1703"/>
      <c r="AL4" s="1704"/>
      <c r="AM4" s="1708" t="s">
        <v>617</v>
      </c>
      <c r="AN4" s="1709"/>
      <c r="AO4" s="1709"/>
      <c r="AP4" s="1710"/>
      <c r="AQ4" s="22"/>
      <c r="AR4" s="22"/>
      <c r="AS4" s="22"/>
      <c r="AT4" s="22"/>
      <c r="AU4" s="22"/>
      <c r="AV4" s="22"/>
      <c r="AW4" s="22"/>
      <c r="AX4" s="22"/>
      <c r="AY4" s="22"/>
      <c r="AZ4" s="1695" t="s">
        <v>234</v>
      </c>
      <c r="BA4" s="1696"/>
      <c r="BB4" s="180"/>
      <c r="BC4" s="180"/>
      <c r="BD4" s="180"/>
      <c r="BE4" s="18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</row>
    <row r="5" spans="1:148" s="1" customFormat="1" ht="144" customHeight="1">
      <c r="A5" s="46" t="s">
        <v>203</v>
      </c>
      <c r="B5" s="46" t="s">
        <v>288</v>
      </c>
      <c r="C5" s="1606" t="s">
        <v>1450</v>
      </c>
      <c r="D5" s="1278" t="s">
        <v>965</v>
      </c>
      <c r="E5" s="367" t="s">
        <v>263</v>
      </c>
      <c r="F5" s="46" t="s">
        <v>966</v>
      </c>
      <c r="G5" s="372" t="s">
        <v>256</v>
      </c>
      <c r="H5" s="46" t="s">
        <v>967</v>
      </c>
      <c r="I5" s="367" t="s">
        <v>264</v>
      </c>
      <c r="J5" s="46" t="s">
        <v>968</v>
      </c>
      <c r="K5" s="367" t="s">
        <v>265</v>
      </c>
      <c r="L5" s="382" t="s">
        <v>277</v>
      </c>
      <c r="M5" s="383" t="s">
        <v>276</v>
      </c>
      <c r="N5" s="367" t="s">
        <v>231</v>
      </c>
      <c r="O5" s="46" t="s">
        <v>266</v>
      </c>
      <c r="P5" s="46" t="s">
        <v>267</v>
      </c>
      <c r="Q5" s="367" t="s">
        <v>292</v>
      </c>
      <c r="R5" s="46" t="s">
        <v>237</v>
      </c>
      <c r="S5" s="271" t="s">
        <v>238</v>
      </c>
      <c r="T5" s="344" t="s">
        <v>293</v>
      </c>
      <c r="U5" s="272" t="s">
        <v>333</v>
      </c>
      <c r="V5" s="342" t="s">
        <v>282</v>
      </c>
      <c r="W5" s="345" t="s">
        <v>283</v>
      </c>
      <c r="X5" s="345" t="s">
        <v>250</v>
      </c>
      <c r="Y5" s="270" t="s">
        <v>294</v>
      </c>
      <c r="Z5" s="270" t="s">
        <v>295</v>
      </c>
      <c r="AA5" s="270" t="s">
        <v>296</v>
      </c>
      <c r="AB5" s="384" t="s">
        <v>239</v>
      </c>
      <c r="AC5" s="343" t="s">
        <v>232</v>
      </c>
      <c r="AD5" s="384" t="s">
        <v>240</v>
      </c>
      <c r="AE5" s="385" t="s">
        <v>334</v>
      </c>
      <c r="AF5" s="386" t="s">
        <v>91</v>
      </c>
      <c r="AG5" s="84" t="s">
        <v>335</v>
      </c>
      <c r="AH5" s="46" t="s">
        <v>297</v>
      </c>
      <c r="AI5" s="443" t="s">
        <v>610</v>
      </c>
      <c r="AJ5" s="367" t="s">
        <v>297</v>
      </c>
      <c r="AK5" s="443" t="s">
        <v>609</v>
      </c>
      <c r="AL5" s="367" t="s">
        <v>292</v>
      </c>
      <c r="AM5" s="443" t="s">
        <v>612</v>
      </c>
      <c r="AN5" s="367" t="s">
        <v>292</v>
      </c>
      <c r="AO5" s="443" t="s">
        <v>611</v>
      </c>
      <c r="AP5" s="367" t="s">
        <v>292</v>
      </c>
      <c r="AQ5" s="346" t="s">
        <v>613</v>
      </c>
      <c r="AR5" s="346" t="s">
        <v>220</v>
      </c>
      <c r="AS5" s="343" t="s">
        <v>336</v>
      </c>
      <c r="AT5" s="343" t="s">
        <v>292</v>
      </c>
      <c r="AU5" s="343" t="s">
        <v>251</v>
      </c>
      <c r="AV5" s="343" t="s">
        <v>252</v>
      </c>
      <c r="AW5" s="270" t="s">
        <v>337</v>
      </c>
      <c r="AX5" s="270" t="s">
        <v>292</v>
      </c>
      <c r="AY5" s="270" t="s">
        <v>220</v>
      </c>
      <c r="AZ5" s="278" t="s">
        <v>857</v>
      </c>
      <c r="BA5" s="278" t="s">
        <v>748</v>
      </c>
      <c r="BB5" s="772" t="s">
        <v>861</v>
      </c>
      <c r="BC5" s="772" t="s">
        <v>753</v>
      </c>
      <c r="BD5" s="773" t="s">
        <v>641</v>
      </c>
      <c r="BE5" s="994" t="s">
        <v>862</v>
      </c>
      <c r="BF5" s="994" t="s">
        <v>754</v>
      </c>
      <c r="BG5" s="995" t="s">
        <v>641</v>
      </c>
      <c r="BH5" s="1192" t="s">
        <v>858</v>
      </c>
      <c r="BI5" s="996" t="s">
        <v>755</v>
      </c>
      <c r="BJ5" s="775" t="s">
        <v>641</v>
      </c>
      <c r="BK5" s="997" t="s">
        <v>859</v>
      </c>
      <c r="BL5" s="997" t="s">
        <v>756</v>
      </c>
      <c r="BM5" s="776" t="s">
        <v>641</v>
      </c>
      <c r="BN5" s="1004" t="s">
        <v>860</v>
      </c>
      <c r="BO5" s="1004" t="s">
        <v>757</v>
      </c>
      <c r="BP5" s="777" t="s">
        <v>641</v>
      </c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</row>
    <row r="6" spans="1:148" s="220" customFormat="1">
      <c r="A6" s="217"/>
      <c r="B6" s="217"/>
      <c r="C6" s="219">
        <v>1</v>
      </c>
      <c r="D6" s="218" t="s">
        <v>171</v>
      </c>
      <c r="E6" s="218">
        <v>2</v>
      </c>
      <c r="F6" s="218" t="s">
        <v>168</v>
      </c>
      <c r="G6" s="218">
        <v>3</v>
      </c>
      <c r="H6" s="218" t="s">
        <v>169</v>
      </c>
      <c r="I6" s="218">
        <v>4</v>
      </c>
      <c r="J6" s="218" t="s">
        <v>170</v>
      </c>
      <c r="K6" s="218">
        <v>5</v>
      </c>
      <c r="L6" s="218" t="s">
        <v>227</v>
      </c>
      <c r="M6" s="219" t="s">
        <v>62</v>
      </c>
      <c r="N6" s="218">
        <v>6</v>
      </c>
      <c r="O6" s="218">
        <f>N6+1</f>
        <v>7</v>
      </c>
      <c r="P6" s="218">
        <f>O6+1</f>
        <v>8</v>
      </c>
      <c r="Q6" s="218">
        <f>P6+1</f>
        <v>9</v>
      </c>
      <c r="R6" s="218">
        <f>Q6+1</f>
        <v>10</v>
      </c>
      <c r="S6" s="218">
        <f t="shared" ref="S6:AY6" si="0">R6+1</f>
        <v>11</v>
      </c>
      <c r="T6" s="219" t="s">
        <v>244</v>
      </c>
      <c r="U6" s="218">
        <v>12</v>
      </c>
      <c r="V6" s="218">
        <f t="shared" si="0"/>
        <v>13</v>
      </c>
      <c r="W6" s="218">
        <f t="shared" si="0"/>
        <v>14</v>
      </c>
      <c r="X6" s="218">
        <f t="shared" si="0"/>
        <v>15</v>
      </c>
      <c r="Y6" s="218">
        <f t="shared" si="0"/>
        <v>16</v>
      </c>
      <c r="Z6" s="218">
        <f t="shared" si="0"/>
        <v>17</v>
      </c>
      <c r="AA6" s="218">
        <f t="shared" si="0"/>
        <v>18</v>
      </c>
      <c r="AB6" s="218">
        <f t="shared" si="0"/>
        <v>19</v>
      </c>
      <c r="AC6" s="218">
        <f t="shared" si="0"/>
        <v>20</v>
      </c>
      <c r="AD6" s="218">
        <f t="shared" si="0"/>
        <v>21</v>
      </c>
      <c r="AE6" s="218">
        <f t="shared" si="0"/>
        <v>22</v>
      </c>
      <c r="AF6" s="218">
        <f t="shared" si="0"/>
        <v>23</v>
      </c>
      <c r="AG6" s="218">
        <f t="shared" si="0"/>
        <v>24</v>
      </c>
      <c r="AH6" s="218">
        <f t="shared" si="0"/>
        <v>25</v>
      </c>
      <c r="AI6" s="218">
        <f t="shared" si="0"/>
        <v>26</v>
      </c>
      <c r="AJ6" s="218">
        <f t="shared" si="0"/>
        <v>27</v>
      </c>
      <c r="AK6" s="218">
        <f t="shared" si="0"/>
        <v>28</v>
      </c>
      <c r="AL6" s="218">
        <f t="shared" si="0"/>
        <v>29</v>
      </c>
      <c r="AM6" s="218">
        <f t="shared" si="0"/>
        <v>30</v>
      </c>
      <c r="AN6" s="218">
        <f t="shared" si="0"/>
        <v>31</v>
      </c>
      <c r="AO6" s="218">
        <f t="shared" si="0"/>
        <v>32</v>
      </c>
      <c r="AP6" s="218">
        <f t="shared" si="0"/>
        <v>33</v>
      </c>
      <c r="AQ6" s="218">
        <f t="shared" si="0"/>
        <v>34</v>
      </c>
      <c r="AR6" s="218">
        <f t="shared" si="0"/>
        <v>35</v>
      </c>
      <c r="AS6" s="218">
        <f t="shared" si="0"/>
        <v>36</v>
      </c>
      <c r="AT6" s="218">
        <f t="shared" si="0"/>
        <v>37</v>
      </c>
      <c r="AU6" s="218">
        <f t="shared" si="0"/>
        <v>38</v>
      </c>
      <c r="AV6" s="218">
        <f t="shared" si="0"/>
        <v>39</v>
      </c>
      <c r="AW6" s="218">
        <f t="shared" si="0"/>
        <v>40</v>
      </c>
      <c r="AX6" s="218">
        <f t="shared" si="0"/>
        <v>41</v>
      </c>
      <c r="AY6" s="218">
        <f t="shared" si="0"/>
        <v>42</v>
      </c>
      <c r="AZ6" s="218">
        <f>AY6+1</f>
        <v>43</v>
      </c>
      <c r="BA6" s="218">
        <f>AZ6+1</f>
        <v>44</v>
      </c>
      <c r="BB6" s="218">
        <f t="shared" ref="BB6:BJ6" si="1">BA6+1</f>
        <v>45</v>
      </c>
      <c r="BC6" s="218">
        <f t="shared" si="1"/>
        <v>46</v>
      </c>
      <c r="BD6" s="218">
        <f t="shared" si="1"/>
        <v>47</v>
      </c>
      <c r="BE6" s="218">
        <f t="shared" si="1"/>
        <v>48</v>
      </c>
      <c r="BF6" s="218">
        <f t="shared" si="1"/>
        <v>49</v>
      </c>
      <c r="BG6" s="218">
        <f t="shared" si="1"/>
        <v>50</v>
      </c>
      <c r="BH6" s="774">
        <f t="shared" si="1"/>
        <v>51</v>
      </c>
      <c r="BI6" s="774">
        <f t="shared" si="1"/>
        <v>52</v>
      </c>
      <c r="BJ6" s="774">
        <f t="shared" si="1"/>
        <v>53</v>
      </c>
      <c r="BK6" s="774">
        <f t="shared" ref="BK6:BP6" si="2">BJ6+1</f>
        <v>54</v>
      </c>
      <c r="BL6" s="774">
        <f>BK6+1</f>
        <v>55</v>
      </c>
      <c r="BM6" s="774">
        <f t="shared" si="2"/>
        <v>56</v>
      </c>
      <c r="BN6" s="774">
        <f t="shared" si="2"/>
        <v>57</v>
      </c>
      <c r="BO6" s="774">
        <f t="shared" si="2"/>
        <v>58</v>
      </c>
      <c r="BP6" s="774">
        <f t="shared" si="2"/>
        <v>59</v>
      </c>
      <c r="BQ6" s="221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</row>
    <row r="7" spans="1:148" ht="0.75" customHeight="1">
      <c r="A7" s="303"/>
      <c r="B7" s="304"/>
      <c r="C7" s="305">
        <v>39114</v>
      </c>
      <c r="D7" s="306" t="s">
        <v>101</v>
      </c>
      <c r="E7" s="305">
        <v>39114</v>
      </c>
      <c r="F7" s="306" t="s">
        <v>101</v>
      </c>
      <c r="G7" s="305">
        <v>38992</v>
      </c>
      <c r="H7" s="307" t="s">
        <v>101</v>
      </c>
      <c r="I7" s="305">
        <v>39114</v>
      </c>
      <c r="J7" s="307" t="s">
        <v>101</v>
      </c>
      <c r="K7" s="305">
        <v>39114</v>
      </c>
      <c r="L7" s="307" t="s">
        <v>101</v>
      </c>
      <c r="M7" s="308" t="s">
        <v>101</v>
      </c>
      <c r="N7" s="304"/>
      <c r="O7" s="304"/>
      <c r="P7" s="304"/>
      <c r="Q7" s="304"/>
      <c r="R7" s="304"/>
      <c r="S7" s="309"/>
      <c r="T7" s="309"/>
      <c r="U7" s="309"/>
      <c r="V7" s="309"/>
      <c r="W7" s="309"/>
      <c r="X7" s="309"/>
      <c r="Y7" s="309"/>
      <c r="Z7" s="309"/>
      <c r="AA7" s="309"/>
      <c r="AB7" s="309"/>
      <c r="AC7" s="309"/>
      <c r="AD7" s="309"/>
      <c r="AE7" s="309"/>
      <c r="AF7" s="309"/>
      <c r="AG7" s="309"/>
      <c r="AH7" s="309"/>
      <c r="AI7" s="309"/>
      <c r="AJ7" s="309"/>
      <c r="AK7" s="309"/>
      <c r="AL7" s="309"/>
      <c r="AM7" s="309"/>
      <c r="AN7" s="309"/>
      <c r="AO7" s="309"/>
      <c r="AP7" s="309"/>
      <c r="AQ7" s="309"/>
      <c r="AR7" s="309"/>
      <c r="AS7" s="309"/>
      <c r="AT7" s="309"/>
      <c r="AU7" s="309"/>
      <c r="AV7" s="309"/>
      <c r="AW7" s="309"/>
      <c r="AX7" s="309"/>
      <c r="AY7" s="309"/>
      <c r="AZ7" s="309"/>
      <c r="BA7" s="309"/>
      <c r="BB7" s="140"/>
    </row>
    <row r="8" spans="1:148" s="5" customFormat="1">
      <c r="A8" s="103">
        <v>1</v>
      </c>
      <c r="B8" s="81" t="s">
        <v>102</v>
      </c>
      <c r="C8" s="13">
        <f>'Table 8 2.1.12 MFP Funded'!AD4</f>
        <v>9351</v>
      </c>
      <c r="D8" s="13">
        <f>'[2]totalled for Table 3'!$AD4</f>
        <v>6585</v>
      </c>
      <c r="E8" s="13">
        <f t="shared" ref="E8:E39" si="3">ROUND($E$4*D8,0)</f>
        <v>1449</v>
      </c>
      <c r="F8" s="13">
        <f>'[3]Units-Corrected_for Table 3'!$T12</f>
        <v>2695</v>
      </c>
      <c r="G8" s="13">
        <f t="shared" ref="G8:G39" si="4">ROUND($G$4*F8,0)</f>
        <v>162</v>
      </c>
      <c r="H8" s="621">
        <f>[4]Disabling_Exceptionalities!$Z6</f>
        <v>1003</v>
      </c>
      <c r="I8" s="13">
        <f>ROUND($I$4*H8,0)</f>
        <v>1505</v>
      </c>
      <c r="J8" s="621">
        <f>[4]GiftedTalented!$AA6</f>
        <v>84</v>
      </c>
      <c r="K8" s="13">
        <f>ROUND($K$4*J8,0)</f>
        <v>50</v>
      </c>
      <c r="L8" s="15">
        <f t="shared" ref="L8:L39" si="5">IF(C8&lt;$L$4,$L$4-C8,0)</f>
        <v>0</v>
      </c>
      <c r="M8" s="65">
        <f t="shared" ref="M8:M39" si="6">ROUND(L8/$M$4,5)</f>
        <v>0</v>
      </c>
      <c r="N8" s="13">
        <f t="shared" ref="N8:N39" si="7" xml:space="preserve"> ROUND(C8*M8,0)</f>
        <v>0</v>
      </c>
      <c r="O8" s="13">
        <f>E8+G8+I8+K8+N8</f>
        <v>3166</v>
      </c>
      <c r="P8" s="13">
        <f t="shared" ref="P8:P39" si="8">O8+C8</f>
        <v>12517</v>
      </c>
      <c r="Q8" s="398">
        <f>$Q$4</f>
        <v>3855</v>
      </c>
      <c r="R8" s="398">
        <f t="shared" ref="R8:R39" si="9">ROUND(P8*Q8,0)</f>
        <v>48253035</v>
      </c>
      <c r="S8" s="398">
        <f>'Table 6 (Local Deduct Calc.)'!J9</f>
        <v>11127762.5</v>
      </c>
      <c r="T8" s="398">
        <f>IF((S8&gt;R8*$T$4),R8*$T$4,S8)</f>
        <v>11127762.5</v>
      </c>
      <c r="U8" s="399">
        <f>R8-T8</f>
        <v>37125272.5</v>
      </c>
      <c r="V8" s="400">
        <f>ROUND(U8/R8,4)</f>
        <v>0.76939999999999997</v>
      </c>
      <c r="W8" s="400">
        <f>ROUND(T8/R8,4)</f>
        <v>0.2306</v>
      </c>
      <c r="X8" s="401">
        <f>T8/C8</f>
        <v>1190.0077531814779</v>
      </c>
      <c r="Y8" s="398">
        <f>'Table 7 Local Revenue'!AQ8</f>
        <v>19122806.5</v>
      </c>
      <c r="Z8" s="398">
        <f>IF(Y8-T8&gt;0,Y8-T8,0)</f>
        <v>7995044</v>
      </c>
      <c r="AA8" s="288">
        <f>IF(Y8-T8&lt;0,Y8-T8,0)</f>
        <v>0</v>
      </c>
      <c r="AB8" s="14">
        <f>R8*$AB$4</f>
        <v>16406031.9</v>
      </c>
      <c r="AC8" s="14">
        <f>IF(Z8&lt;AB8,Z8,AB8)</f>
        <v>7995044</v>
      </c>
      <c r="AD8" s="398">
        <f>IF(AC8&gt;0,AC8*(W8*$AD$4),0)</f>
        <v>3171090.2918079998</v>
      </c>
      <c r="AE8" s="402">
        <f>IF(AC8-AD8&gt;AC8*$AE$4,AC8-AD8,AC8*$AE$4)</f>
        <v>4823953.7081920002</v>
      </c>
      <c r="AF8" s="16">
        <f>IF(AC8=0,0,ROUND(AE8/AC8,4))</f>
        <v>0.60340000000000005</v>
      </c>
      <c r="AG8" s="402">
        <f>U8+AE8</f>
        <v>41949226.208191998</v>
      </c>
      <c r="AH8" s="14">
        <f>ROUND(AG8/C8,0)</f>
        <v>4486</v>
      </c>
      <c r="AI8" s="402">
        <f>'Table 4 Level 3'!O6</f>
        <v>1269390</v>
      </c>
      <c r="AJ8" s="14">
        <f t="shared" ref="AJ8:AJ39" si="10">AI8/C8</f>
        <v>135.74911774141802</v>
      </c>
      <c r="AK8" s="402">
        <f>AI8+AG8</f>
        <v>43218616.208191998</v>
      </c>
      <c r="AL8" s="14">
        <f>AK8/C8</f>
        <v>4621.8175818834352</v>
      </c>
      <c r="AM8" s="532">
        <f>'Table 4 Level 3'!R6</f>
        <v>8537039.7960000001</v>
      </c>
      <c r="AN8" s="533">
        <f>AM8/C8</f>
        <v>912.95474238049405</v>
      </c>
      <c r="AO8" s="402">
        <f>AG8+AM8</f>
        <v>50486266.004191995</v>
      </c>
      <c r="AP8" s="14">
        <f>AO8/C8</f>
        <v>5399.02320652251</v>
      </c>
      <c r="AQ8" s="16">
        <f>AO8/AW8</f>
        <v>0.72528284299653056</v>
      </c>
      <c r="AR8" s="403">
        <f>RANK(AQ8,$AQ$8:$AQ$76)</f>
        <v>15</v>
      </c>
      <c r="AS8" s="14">
        <f>ROUND(AC8+T8,2)</f>
        <v>19122806.5</v>
      </c>
      <c r="AT8" s="14">
        <f t="shared" ref="AT8:AT39" si="11">ROUND(AS8/C8,2)</f>
        <v>2045</v>
      </c>
      <c r="AU8" s="403">
        <f>RANK(AT8,$AT$8:$AT$76)</f>
        <v>59</v>
      </c>
      <c r="AV8" s="16">
        <f>AS8/AW8</f>
        <v>0.27471715700346944</v>
      </c>
      <c r="AW8" s="403">
        <f>AS8+AO8</f>
        <v>69609072.504191995</v>
      </c>
      <c r="AX8" s="404">
        <f t="shared" ref="AX8:AX39" si="12">AW8/C8</f>
        <v>7444.0244363375032</v>
      </c>
      <c r="AY8" s="403">
        <f>RANK(AX8,$AX$8:$AX$76)</f>
        <v>67</v>
      </c>
      <c r="AZ8" s="14">
        <v>49932017.885343999</v>
      </c>
      <c r="BA8" s="288">
        <f t="shared" ref="BA8:BA39" si="13">AO8-AZ8</f>
        <v>554248.118847996</v>
      </c>
      <c r="BB8" s="288">
        <f>U8</f>
        <v>37125272.5</v>
      </c>
      <c r="BC8" s="288">
        <v>36771390</v>
      </c>
      <c r="BD8" s="288">
        <f>BB8-BC8</f>
        <v>353882.5</v>
      </c>
      <c r="BE8" s="288">
        <f>AE8</f>
        <v>4823953.7081920002</v>
      </c>
      <c r="BF8" s="288">
        <v>4793135.8853440005</v>
      </c>
      <c r="BG8" s="288">
        <f>BE8-BF8</f>
        <v>30817.822847999632</v>
      </c>
      <c r="BH8" s="288">
        <f>Y8</f>
        <v>19122806.5</v>
      </c>
      <c r="BI8" s="288">
        <v>19047403</v>
      </c>
      <c r="BJ8" s="288">
        <f>BH8-BI8</f>
        <v>75403.5</v>
      </c>
      <c r="BK8" s="13">
        <f>C8</f>
        <v>9351</v>
      </c>
      <c r="BL8" s="13">
        <v>9154</v>
      </c>
      <c r="BM8" s="124">
        <f>BK8-BL8</f>
        <v>197</v>
      </c>
      <c r="BN8" s="13">
        <f>P8</f>
        <v>12517</v>
      </c>
      <c r="BO8" s="13">
        <v>12413</v>
      </c>
      <c r="BP8" s="124">
        <f>BN8-BO8</f>
        <v>104</v>
      </c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</row>
    <row r="9" spans="1:148" s="5" customFormat="1">
      <c r="A9" s="103">
        <v>2</v>
      </c>
      <c r="B9" s="81" t="s">
        <v>103</v>
      </c>
      <c r="C9" s="81">
        <f>'Table 8 2.1.12 MFP Funded'!AD5</f>
        <v>4028</v>
      </c>
      <c r="D9" s="13">
        <f>'[2]totalled for Table 3'!$AD5</f>
        <v>2645</v>
      </c>
      <c r="E9" s="13">
        <f t="shared" si="3"/>
        <v>582</v>
      </c>
      <c r="F9" s="13">
        <f>'[3]Units-Corrected_for Table 3'!$T13</f>
        <v>1201</v>
      </c>
      <c r="G9" s="13">
        <f t="shared" si="4"/>
        <v>72</v>
      </c>
      <c r="H9" s="621">
        <f>[4]Disabling_Exceptionalities!$Z7</f>
        <v>428</v>
      </c>
      <c r="I9" s="13">
        <f t="shared" ref="I9:I72" si="14">ROUND($I$4*H9,0)</f>
        <v>642</v>
      </c>
      <c r="J9" s="621">
        <f>[4]GiftedTalented!$AA7</f>
        <v>59</v>
      </c>
      <c r="K9" s="13">
        <f t="shared" ref="K9:K72" si="15">ROUND($K$4*J9,0)</f>
        <v>35</v>
      </c>
      <c r="L9" s="13">
        <f t="shared" si="5"/>
        <v>3472</v>
      </c>
      <c r="M9" s="65">
        <f t="shared" si="6"/>
        <v>9.2590000000000006E-2</v>
      </c>
      <c r="N9" s="13">
        <f t="shared" si="7"/>
        <v>373</v>
      </c>
      <c r="O9" s="13">
        <f t="shared" ref="O9:O72" si="16">E9+G9+I9+K9+N9</f>
        <v>1704</v>
      </c>
      <c r="P9" s="13">
        <f t="shared" si="8"/>
        <v>5732</v>
      </c>
      <c r="Q9" s="398">
        <f t="shared" ref="Q9:Q72" si="17">$Q$4</f>
        <v>3855</v>
      </c>
      <c r="R9" s="398">
        <f t="shared" si="9"/>
        <v>22096860</v>
      </c>
      <c r="S9" s="398">
        <f>'Table 6 (Local Deduct Calc.)'!J10</f>
        <v>3309888</v>
      </c>
      <c r="T9" s="398">
        <f t="shared" ref="T9:T72" si="18">IF((S9&gt;R9*$T$4),R9*$T$4,S9)</f>
        <v>3309888</v>
      </c>
      <c r="U9" s="399">
        <f t="shared" ref="U9:U72" si="19">R9-T9</f>
        <v>18786972</v>
      </c>
      <c r="V9" s="400">
        <f>ROUND(U9/R9,4)</f>
        <v>0.85019999999999996</v>
      </c>
      <c r="W9" s="400">
        <f t="shared" ref="W9:W72" si="20">ROUND(T9/R9,4)</f>
        <v>0.14979999999999999</v>
      </c>
      <c r="X9" s="401">
        <f t="shared" ref="X9:X72" si="21">T9/C9</f>
        <v>821.71996027805358</v>
      </c>
      <c r="Y9" s="398">
        <f>'Table 7 Local Revenue'!AQ9</f>
        <v>10537350</v>
      </c>
      <c r="Z9" s="398">
        <f t="shared" ref="Z9:Z72" si="22">IF(Y9-T9&gt;0,Y9-T9,0)</f>
        <v>7227462</v>
      </c>
      <c r="AA9" s="288">
        <f t="shared" ref="AA9:AA72" si="23">IF(Y9-T9&lt;0,Y9-T9,0)</f>
        <v>0</v>
      </c>
      <c r="AB9" s="14">
        <f t="shared" ref="AB9:AB72" si="24">R9*$AB$4</f>
        <v>7512932.4000000004</v>
      </c>
      <c r="AC9" s="14">
        <f t="shared" ref="AC9:AC72" si="25">IF(Z9&lt;AB9,Z9,AB9)</f>
        <v>7227462</v>
      </c>
      <c r="AD9" s="398">
        <f t="shared" ref="AD9:AD72" si="26">IF(AC9&gt;0,AC9*(W9*$AD$4),0)</f>
        <v>1862198.9490719999</v>
      </c>
      <c r="AE9" s="402">
        <f t="shared" ref="AE9:AE72" si="27">IF(AC9-AD9&gt;AC9*$AE$4,AC9-AD9,AC9*$AE$4)</f>
        <v>5365263.0509280004</v>
      </c>
      <c r="AF9" s="16">
        <f t="shared" ref="AF9:AF72" si="28">IF(AC9=0,0,ROUND(AE9/AC9,4))</f>
        <v>0.74229999999999996</v>
      </c>
      <c r="AG9" s="402">
        <f t="shared" ref="AG9:AG72" si="29">U9+AE9</f>
        <v>24152235.050928</v>
      </c>
      <c r="AH9" s="14">
        <f t="shared" ref="AH9:AH72" si="30">ROUND(AG9/C9,0)</f>
        <v>5996</v>
      </c>
      <c r="AI9" s="402">
        <f>'Table 4 Level 3'!O7</f>
        <v>546797</v>
      </c>
      <c r="AJ9" s="14">
        <f t="shared" si="10"/>
        <v>135.74900695134062</v>
      </c>
      <c r="AK9" s="402">
        <f t="shared" ref="AK9:AK72" si="31">AI9+AG9</f>
        <v>24699032.050928</v>
      </c>
      <c r="AL9" s="14">
        <f t="shared" ref="AL9:AL39" si="32">AK9/C9</f>
        <v>6131.8351665660375</v>
      </c>
      <c r="AM9" s="532">
        <f>'Table 4 Level 3'!R7</f>
        <v>3938735.4079999998</v>
      </c>
      <c r="AN9" s="533">
        <f t="shared" ref="AN9:AN72" si="33">AM9/C9</f>
        <v>977.8389791459781</v>
      </c>
      <c r="AO9" s="402">
        <f t="shared" ref="AO9:AO72" si="34">AG9+AM9</f>
        <v>28090970.458928</v>
      </c>
      <c r="AP9" s="14">
        <f t="shared" ref="AP9:AP72" si="35">AO9/C9</f>
        <v>6973.9251387606755</v>
      </c>
      <c r="AQ9" s="16">
        <f t="shared" ref="AQ9:AQ72" si="36">AO9/AW9</f>
        <v>0.72721180018158027</v>
      </c>
      <c r="AR9" s="403">
        <f t="shared" ref="AR9:AR72" si="37">RANK(AQ9,$AQ$8:$AQ$76)</f>
        <v>14</v>
      </c>
      <c r="AS9" s="14">
        <f t="shared" ref="AS9:AS72" si="38">ROUND(AC9+T9,2)</f>
        <v>10537350</v>
      </c>
      <c r="AT9" s="14">
        <f t="shared" si="11"/>
        <v>2616.0300000000002</v>
      </c>
      <c r="AU9" s="403">
        <f t="shared" ref="AU9:AU72" si="39">RANK(AT9,$AT$8:$AT$76)</f>
        <v>54</v>
      </c>
      <c r="AV9" s="16">
        <f t="shared" ref="AV9:AV72" si="40">AS9/AW9</f>
        <v>0.27278819981841962</v>
      </c>
      <c r="AW9" s="403">
        <f t="shared" ref="AW9:AW72" si="41">AS9+AO9</f>
        <v>38628320.458928004</v>
      </c>
      <c r="AX9" s="404">
        <f t="shared" si="12"/>
        <v>9589.9504615014903</v>
      </c>
      <c r="AY9" s="403">
        <f t="shared" ref="AY9:AY72" si="42">RANK(AX9,$AX$8:$AX$76)</f>
        <v>7</v>
      </c>
      <c r="AZ9" s="14">
        <v>27837030.263048001</v>
      </c>
      <c r="BA9" s="288">
        <f t="shared" si="13"/>
        <v>253940.19587999955</v>
      </c>
      <c r="BB9" s="288">
        <f t="shared" ref="BB9:BB72" si="43">U9</f>
        <v>18786972</v>
      </c>
      <c r="BC9" s="288">
        <v>18901108.5</v>
      </c>
      <c r="BD9" s="288">
        <f t="shared" ref="BD9:BD72" si="44">BB9-BC9</f>
        <v>-114136.5</v>
      </c>
      <c r="BE9" s="288">
        <f t="shared" ref="BE9:BE72" si="45">AE9</f>
        <v>5365263.0509280004</v>
      </c>
      <c r="BF9" s="288">
        <v>4982062.7630479997</v>
      </c>
      <c r="BG9" s="288">
        <f t="shared" ref="BG9:BG72" si="46">BE9-BF9</f>
        <v>383200.28788000066</v>
      </c>
      <c r="BH9" s="288">
        <f t="shared" ref="BH9:BH72" si="47">Y9</f>
        <v>10537350</v>
      </c>
      <c r="BI9" s="288">
        <v>9913119.5</v>
      </c>
      <c r="BJ9" s="288">
        <f t="shared" ref="BJ9:BJ72" si="48">BH9-BI9</f>
        <v>624230.5</v>
      </c>
      <c r="BK9" s="81">
        <f t="shared" ref="BK9:BK72" si="49">C9</f>
        <v>4028</v>
      </c>
      <c r="BL9" s="81">
        <v>4039</v>
      </c>
      <c r="BM9" s="998">
        <f t="shared" ref="BM9:BM72" si="50">BK9-BL9</f>
        <v>-11</v>
      </c>
      <c r="BN9" s="81">
        <f t="shared" ref="BN9:BN72" si="51">P9</f>
        <v>5732</v>
      </c>
      <c r="BO9" s="81">
        <v>5746</v>
      </c>
      <c r="BP9" s="998">
        <f t="shared" ref="BP9:BP72" si="52">BN9-BO9</f>
        <v>-14</v>
      </c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</row>
    <row r="10" spans="1:148" s="5" customFormat="1">
      <c r="A10" s="103">
        <v>3</v>
      </c>
      <c r="B10" s="81" t="s">
        <v>104</v>
      </c>
      <c r="C10" s="81">
        <f>'Table 8 2.1.12 MFP Funded'!AD6</f>
        <v>20143</v>
      </c>
      <c r="D10" s="13">
        <f>'[2]totalled for Table 3'!$AD6</f>
        <v>9763</v>
      </c>
      <c r="E10" s="13">
        <f t="shared" si="3"/>
        <v>2148</v>
      </c>
      <c r="F10" s="13">
        <f>'[3]Units-Corrected_for Table 3'!$T14</f>
        <v>6719</v>
      </c>
      <c r="G10" s="13">
        <f t="shared" si="4"/>
        <v>403</v>
      </c>
      <c r="H10" s="621">
        <f>[4]Disabling_Exceptionalities!$Z8</f>
        <v>2298</v>
      </c>
      <c r="I10" s="13">
        <f t="shared" si="14"/>
        <v>3447</v>
      </c>
      <c r="J10" s="621">
        <f>[4]GiftedTalented!$AA8</f>
        <v>529</v>
      </c>
      <c r="K10" s="13">
        <f t="shared" si="15"/>
        <v>317</v>
      </c>
      <c r="L10" s="13">
        <f t="shared" si="5"/>
        <v>0</v>
      </c>
      <c r="M10" s="65">
        <f t="shared" si="6"/>
        <v>0</v>
      </c>
      <c r="N10" s="13">
        <f t="shared" si="7"/>
        <v>0</v>
      </c>
      <c r="O10" s="13">
        <f t="shared" si="16"/>
        <v>6315</v>
      </c>
      <c r="P10" s="13">
        <f t="shared" si="8"/>
        <v>26458</v>
      </c>
      <c r="Q10" s="398">
        <f t="shared" si="17"/>
        <v>3855</v>
      </c>
      <c r="R10" s="398">
        <f t="shared" si="9"/>
        <v>101995590</v>
      </c>
      <c r="S10" s="398">
        <f>'Table 6 (Local Deduct Calc.)'!J11</f>
        <v>32975139</v>
      </c>
      <c r="T10" s="398">
        <f t="shared" si="18"/>
        <v>32975139</v>
      </c>
      <c r="U10" s="399">
        <f t="shared" si="19"/>
        <v>69020451</v>
      </c>
      <c r="V10" s="400">
        <f t="shared" ref="V10:V72" si="53">ROUND(U10/R10,4)</f>
        <v>0.67669999999999997</v>
      </c>
      <c r="W10" s="400">
        <f t="shared" si="20"/>
        <v>0.32329999999999998</v>
      </c>
      <c r="X10" s="401">
        <f t="shared" si="21"/>
        <v>1637.0520279998013</v>
      </c>
      <c r="Y10" s="398">
        <f>'Table 7 Local Revenue'!AQ10</f>
        <v>94062198</v>
      </c>
      <c r="Z10" s="398">
        <f t="shared" si="22"/>
        <v>61087059</v>
      </c>
      <c r="AA10" s="288">
        <f t="shared" si="23"/>
        <v>0</v>
      </c>
      <c r="AB10" s="14">
        <f t="shared" si="24"/>
        <v>34678500.600000001</v>
      </c>
      <c r="AC10" s="14">
        <f t="shared" si="25"/>
        <v>34678500.600000001</v>
      </c>
      <c r="AD10" s="398">
        <f t="shared" si="26"/>
        <v>19283881.899645597</v>
      </c>
      <c r="AE10" s="402">
        <f t="shared" si="27"/>
        <v>15394618.700354405</v>
      </c>
      <c r="AF10" s="16">
        <f t="shared" si="28"/>
        <v>0.44390000000000002</v>
      </c>
      <c r="AG10" s="402">
        <f t="shared" si="29"/>
        <v>84415069.700354397</v>
      </c>
      <c r="AH10" s="14">
        <f t="shared" si="30"/>
        <v>4191</v>
      </c>
      <c r="AI10" s="402">
        <f>'Table 4 Level 3'!O8</f>
        <v>2734394</v>
      </c>
      <c r="AJ10" s="14">
        <f t="shared" si="10"/>
        <v>135.74909397805689</v>
      </c>
      <c r="AK10" s="402">
        <f>AI10+AG10</f>
        <v>87149463.700354397</v>
      </c>
      <c r="AL10" s="14">
        <f t="shared" si="32"/>
        <v>4326.5384352059973</v>
      </c>
      <c r="AM10" s="532">
        <f>'Table 4 Level 3'!R8</f>
        <v>14753916.024</v>
      </c>
      <c r="AN10" s="533">
        <f t="shared" si="33"/>
        <v>732.45872134240187</v>
      </c>
      <c r="AO10" s="402">
        <f t="shared" si="34"/>
        <v>99168985.724354401</v>
      </c>
      <c r="AP10" s="14">
        <f t="shared" si="35"/>
        <v>4923.248062570342</v>
      </c>
      <c r="AQ10" s="16">
        <f t="shared" si="36"/>
        <v>0.59445764944376966</v>
      </c>
      <c r="AR10" s="403">
        <f t="shared" si="37"/>
        <v>44</v>
      </c>
      <c r="AS10" s="14">
        <f t="shared" si="38"/>
        <v>67653639.599999994</v>
      </c>
      <c r="AT10" s="14">
        <f t="shared" si="11"/>
        <v>3358.67</v>
      </c>
      <c r="AU10" s="403">
        <f t="shared" si="39"/>
        <v>31</v>
      </c>
      <c r="AV10" s="16">
        <f t="shared" si="40"/>
        <v>0.40554235055623028</v>
      </c>
      <c r="AW10" s="403">
        <f t="shared" si="41"/>
        <v>166822625.32435441</v>
      </c>
      <c r="AX10" s="404">
        <f t="shared" si="12"/>
        <v>8281.9155698929862</v>
      </c>
      <c r="AY10" s="403">
        <f t="shared" si="42"/>
        <v>55</v>
      </c>
      <c r="AZ10" s="14">
        <v>92109497.640351996</v>
      </c>
      <c r="BA10" s="288">
        <f t="shared" si="13"/>
        <v>7059488.0840024054</v>
      </c>
      <c r="BB10" s="288">
        <f t="shared" si="43"/>
        <v>69020451</v>
      </c>
      <c r="BC10" s="288">
        <v>64334080</v>
      </c>
      <c r="BD10" s="288">
        <f t="shared" si="44"/>
        <v>4686371</v>
      </c>
      <c r="BE10" s="288">
        <f t="shared" si="45"/>
        <v>15394618.700354405</v>
      </c>
      <c r="BF10" s="288">
        <v>13466728.640352</v>
      </c>
      <c r="BG10" s="288">
        <f t="shared" si="46"/>
        <v>1927890.0600024052</v>
      </c>
      <c r="BH10" s="288">
        <f t="shared" si="47"/>
        <v>94062198</v>
      </c>
      <c r="BI10" s="288">
        <v>95681790</v>
      </c>
      <c r="BJ10" s="288">
        <f t="shared" si="48"/>
        <v>-1619592</v>
      </c>
      <c r="BK10" s="81">
        <f t="shared" si="49"/>
        <v>20143</v>
      </c>
      <c r="BL10" s="81">
        <v>19509</v>
      </c>
      <c r="BM10" s="998">
        <f t="shared" si="50"/>
        <v>634</v>
      </c>
      <c r="BN10" s="81">
        <f t="shared" si="51"/>
        <v>26458</v>
      </c>
      <c r="BO10" s="81">
        <v>25594</v>
      </c>
      <c r="BP10" s="998">
        <f t="shared" si="52"/>
        <v>864</v>
      </c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</row>
    <row r="11" spans="1:148" s="5" customFormat="1">
      <c r="A11" s="103">
        <v>4</v>
      </c>
      <c r="B11" s="81" t="s">
        <v>105</v>
      </c>
      <c r="C11" s="81">
        <f>'Table 8 2.1.12 MFP Funded'!AD7</f>
        <v>3577</v>
      </c>
      <c r="D11" s="13">
        <f>'[2]totalled for Table 3'!$AD7</f>
        <v>2496</v>
      </c>
      <c r="E11" s="13">
        <f t="shared" si="3"/>
        <v>549</v>
      </c>
      <c r="F11" s="13">
        <f>'[3]Units-Corrected_for Table 3'!$T15</f>
        <v>1958.5</v>
      </c>
      <c r="G11" s="13">
        <f t="shared" si="4"/>
        <v>118</v>
      </c>
      <c r="H11" s="621">
        <f>[4]Disabling_Exceptionalities!$Z9</f>
        <v>464</v>
      </c>
      <c r="I11" s="13">
        <f t="shared" si="14"/>
        <v>696</v>
      </c>
      <c r="J11" s="621">
        <f>[4]GiftedTalented!$AA9</f>
        <v>98</v>
      </c>
      <c r="K11" s="13">
        <f t="shared" si="15"/>
        <v>59</v>
      </c>
      <c r="L11" s="13">
        <f t="shared" si="5"/>
        <v>3923</v>
      </c>
      <c r="M11" s="65">
        <f t="shared" si="6"/>
        <v>0.10460999999999999</v>
      </c>
      <c r="N11" s="13">
        <f t="shared" si="7"/>
        <v>374</v>
      </c>
      <c r="O11" s="13">
        <f t="shared" si="16"/>
        <v>1796</v>
      </c>
      <c r="P11" s="13">
        <f t="shared" si="8"/>
        <v>5373</v>
      </c>
      <c r="Q11" s="398">
        <f t="shared" si="17"/>
        <v>3855</v>
      </c>
      <c r="R11" s="398">
        <f t="shared" si="9"/>
        <v>20712915</v>
      </c>
      <c r="S11" s="398">
        <f>'Table 6 (Local Deduct Calc.)'!J12</f>
        <v>4165941</v>
      </c>
      <c r="T11" s="398">
        <f t="shared" si="18"/>
        <v>4165941</v>
      </c>
      <c r="U11" s="399">
        <f t="shared" si="19"/>
        <v>16546974</v>
      </c>
      <c r="V11" s="400">
        <f t="shared" si="53"/>
        <v>0.79890000000000005</v>
      </c>
      <c r="W11" s="400">
        <f t="shared" si="20"/>
        <v>0.2011</v>
      </c>
      <c r="X11" s="401">
        <f t="shared" si="21"/>
        <v>1164.6466312552418</v>
      </c>
      <c r="Y11" s="398">
        <f>'Table 7 Local Revenue'!AQ11</f>
        <v>11580944</v>
      </c>
      <c r="Z11" s="398">
        <f t="shared" si="22"/>
        <v>7415003</v>
      </c>
      <c r="AA11" s="288">
        <f t="shared" si="23"/>
        <v>0</v>
      </c>
      <c r="AB11" s="14">
        <f t="shared" si="24"/>
        <v>7042391.1000000006</v>
      </c>
      <c r="AC11" s="14">
        <f t="shared" si="25"/>
        <v>7042391.1000000006</v>
      </c>
      <c r="AD11" s="398">
        <f t="shared" si="26"/>
        <v>2435906.7423612</v>
      </c>
      <c r="AE11" s="402">
        <f t="shared" si="27"/>
        <v>4606484.3576388005</v>
      </c>
      <c r="AF11" s="16">
        <f t="shared" si="28"/>
        <v>0.65410000000000001</v>
      </c>
      <c r="AG11" s="402">
        <f t="shared" si="29"/>
        <v>21153458.357638799</v>
      </c>
      <c r="AH11" s="14">
        <f t="shared" si="30"/>
        <v>5914</v>
      </c>
      <c r="AI11" s="402">
        <f>'Table 4 Level 3'!O9</f>
        <v>545575</v>
      </c>
      <c r="AJ11" s="14">
        <f t="shared" si="10"/>
        <v>152.5230640201286</v>
      </c>
      <c r="AK11" s="402">
        <f t="shared" si="31"/>
        <v>21699033.357638799</v>
      </c>
      <c r="AL11" s="14">
        <f t="shared" si="32"/>
        <v>6066.2659652331004</v>
      </c>
      <c r="AM11" s="532">
        <f>'Table 4 Level 3'!R9</f>
        <v>2640516.8156199697</v>
      </c>
      <c r="AN11" s="533">
        <f t="shared" si="33"/>
        <v>738.19312709532278</v>
      </c>
      <c r="AO11" s="402">
        <f t="shared" si="34"/>
        <v>23793975.173258767</v>
      </c>
      <c r="AP11" s="14">
        <f t="shared" si="35"/>
        <v>6651.9360283082933</v>
      </c>
      <c r="AQ11" s="16">
        <f t="shared" si="36"/>
        <v>0.67978304937163392</v>
      </c>
      <c r="AR11" s="403">
        <f t="shared" si="37"/>
        <v>28</v>
      </c>
      <c r="AS11" s="14">
        <f t="shared" si="38"/>
        <v>11208332.1</v>
      </c>
      <c r="AT11" s="14">
        <f t="shared" si="11"/>
        <v>3133.44</v>
      </c>
      <c r="AU11" s="403">
        <f t="shared" si="39"/>
        <v>34</v>
      </c>
      <c r="AV11" s="16">
        <f t="shared" si="40"/>
        <v>0.32021695062836603</v>
      </c>
      <c r="AW11" s="403">
        <f t="shared" si="41"/>
        <v>35002307.273258768</v>
      </c>
      <c r="AX11" s="404">
        <f t="shared" si="12"/>
        <v>9785.3808423983137</v>
      </c>
      <c r="AY11" s="403">
        <f t="shared" si="42"/>
        <v>5</v>
      </c>
      <c r="AZ11" s="14">
        <v>23568142.452640001</v>
      </c>
      <c r="BA11" s="288">
        <f t="shared" si="13"/>
        <v>225832.7206187658</v>
      </c>
      <c r="BB11" s="288">
        <f t="shared" si="43"/>
        <v>16546974</v>
      </c>
      <c r="BC11" s="288">
        <v>16594731.5</v>
      </c>
      <c r="BD11" s="288">
        <f t="shared" si="44"/>
        <v>-47757.5</v>
      </c>
      <c r="BE11" s="288">
        <f t="shared" si="45"/>
        <v>4606484.3576388005</v>
      </c>
      <c r="BF11" s="288">
        <v>4324696.9526399998</v>
      </c>
      <c r="BG11" s="288">
        <f t="shared" si="46"/>
        <v>281787.40499880072</v>
      </c>
      <c r="BH11" s="288">
        <f t="shared" si="47"/>
        <v>11580944</v>
      </c>
      <c r="BI11" s="288">
        <v>10192717.5</v>
      </c>
      <c r="BJ11" s="288">
        <f t="shared" si="48"/>
        <v>1388226.5</v>
      </c>
      <c r="BK11" s="81">
        <f t="shared" si="49"/>
        <v>3577</v>
      </c>
      <c r="BL11" s="81">
        <v>3556</v>
      </c>
      <c r="BM11" s="998">
        <f t="shared" si="50"/>
        <v>21</v>
      </c>
      <c r="BN11" s="81">
        <f t="shared" si="51"/>
        <v>5373</v>
      </c>
      <c r="BO11" s="81">
        <v>5295</v>
      </c>
      <c r="BP11" s="998">
        <f t="shared" si="52"/>
        <v>78</v>
      </c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</row>
    <row r="12" spans="1:148" s="21" customFormat="1">
      <c r="A12" s="104">
        <v>5</v>
      </c>
      <c r="B12" s="82" t="s">
        <v>106</v>
      </c>
      <c r="C12" s="82">
        <f>'Table 8 2.1.12 MFP Funded'!AD8</f>
        <v>6437</v>
      </c>
      <c r="D12" s="19">
        <f>'[2]totalled for Table 3'!$AD8</f>
        <v>5285</v>
      </c>
      <c r="E12" s="19">
        <f t="shared" si="3"/>
        <v>1163</v>
      </c>
      <c r="F12" s="19">
        <f>'[3]Units-Corrected_for Table 3'!$T16</f>
        <v>2272</v>
      </c>
      <c r="G12" s="19">
        <f t="shared" si="4"/>
        <v>136</v>
      </c>
      <c r="H12" s="810">
        <f>[4]Disabling_Exceptionalities!$Z10</f>
        <v>573</v>
      </c>
      <c r="I12" s="19">
        <f t="shared" si="14"/>
        <v>860</v>
      </c>
      <c r="J12" s="810">
        <f>[4]GiftedTalented!$AA10</f>
        <v>9</v>
      </c>
      <c r="K12" s="19">
        <f t="shared" si="15"/>
        <v>5</v>
      </c>
      <c r="L12" s="19">
        <f t="shared" si="5"/>
        <v>1063</v>
      </c>
      <c r="M12" s="66">
        <f t="shared" si="6"/>
        <v>2.835E-2</v>
      </c>
      <c r="N12" s="19">
        <f t="shared" si="7"/>
        <v>182</v>
      </c>
      <c r="O12" s="19">
        <f t="shared" si="16"/>
        <v>2346</v>
      </c>
      <c r="P12" s="13">
        <f t="shared" si="8"/>
        <v>8783</v>
      </c>
      <c r="Q12" s="405">
        <f t="shared" si="17"/>
        <v>3855</v>
      </c>
      <c r="R12" s="405">
        <f t="shared" si="9"/>
        <v>33858465</v>
      </c>
      <c r="S12" s="405">
        <f>'Table 6 (Local Deduct Calc.)'!J13</f>
        <v>5403351.5</v>
      </c>
      <c r="T12" s="405">
        <f t="shared" si="18"/>
        <v>5403351.5</v>
      </c>
      <c r="U12" s="406">
        <f t="shared" si="19"/>
        <v>28455113.5</v>
      </c>
      <c r="V12" s="407">
        <f t="shared" si="53"/>
        <v>0.84040000000000004</v>
      </c>
      <c r="W12" s="408">
        <f t="shared" si="20"/>
        <v>0.15959999999999999</v>
      </c>
      <c r="X12" s="409">
        <f t="shared" si="21"/>
        <v>839.42077054528511</v>
      </c>
      <c r="Y12" s="405">
        <f>'Table 7 Local Revenue'!AQ12</f>
        <v>7620700.5</v>
      </c>
      <c r="Z12" s="405">
        <f t="shared" si="22"/>
        <v>2217349</v>
      </c>
      <c r="AA12" s="289">
        <f t="shared" si="23"/>
        <v>0</v>
      </c>
      <c r="AB12" s="20">
        <f t="shared" si="24"/>
        <v>11511878.100000001</v>
      </c>
      <c r="AC12" s="20">
        <f t="shared" si="25"/>
        <v>2217349</v>
      </c>
      <c r="AD12" s="405">
        <f t="shared" si="26"/>
        <v>608688.90868799994</v>
      </c>
      <c r="AE12" s="410">
        <f t="shared" si="27"/>
        <v>1608660.0913120001</v>
      </c>
      <c r="AF12" s="282">
        <f t="shared" si="28"/>
        <v>0.72550000000000003</v>
      </c>
      <c r="AG12" s="410">
        <f t="shared" si="29"/>
        <v>30063773.591311999</v>
      </c>
      <c r="AH12" s="20">
        <f t="shared" si="30"/>
        <v>4670</v>
      </c>
      <c r="AI12" s="410">
        <f>'Table 4 Level 3'!O10</f>
        <v>873817</v>
      </c>
      <c r="AJ12" s="20">
        <f t="shared" si="10"/>
        <v>135.74910672673604</v>
      </c>
      <c r="AK12" s="410">
        <f t="shared" si="31"/>
        <v>30937590.591311999</v>
      </c>
      <c r="AL12" s="20">
        <f t="shared" si="32"/>
        <v>4806.2126132223084</v>
      </c>
      <c r="AM12" s="534">
        <f>'Table 4 Level 3'!R10</f>
        <v>4437432.3978824699</v>
      </c>
      <c r="AN12" s="535">
        <f t="shared" si="33"/>
        <v>689.36342984037128</v>
      </c>
      <c r="AO12" s="410">
        <f t="shared" si="34"/>
        <v>34501205.989194468</v>
      </c>
      <c r="AP12" s="20">
        <f t="shared" si="35"/>
        <v>5359.8269363359432</v>
      </c>
      <c r="AQ12" s="282">
        <f t="shared" si="36"/>
        <v>0.81907987707168628</v>
      </c>
      <c r="AR12" s="411">
        <f t="shared" si="37"/>
        <v>1</v>
      </c>
      <c r="AS12" s="20">
        <f t="shared" si="38"/>
        <v>7620700.5</v>
      </c>
      <c r="AT12" s="20">
        <f t="shared" si="11"/>
        <v>1183.8900000000001</v>
      </c>
      <c r="AU12" s="411">
        <f t="shared" si="39"/>
        <v>69</v>
      </c>
      <c r="AV12" s="282">
        <f t="shared" si="40"/>
        <v>0.18092012292831375</v>
      </c>
      <c r="AW12" s="411">
        <f t="shared" si="41"/>
        <v>42121906.489194468</v>
      </c>
      <c r="AX12" s="412">
        <f t="shared" si="12"/>
        <v>6543.7170248865104</v>
      </c>
      <c r="AY12" s="411">
        <f t="shared" si="42"/>
        <v>69</v>
      </c>
      <c r="AZ12" s="20">
        <v>31543403.201848</v>
      </c>
      <c r="BA12" s="289">
        <f t="shared" si="13"/>
        <v>2957802.7873464674</v>
      </c>
      <c r="BB12" s="289">
        <f t="shared" si="43"/>
        <v>28455113.5</v>
      </c>
      <c r="BC12" s="289">
        <v>26060825.5</v>
      </c>
      <c r="BD12" s="289">
        <f t="shared" si="44"/>
        <v>2394288</v>
      </c>
      <c r="BE12" s="289">
        <f t="shared" si="45"/>
        <v>1608660.0913120001</v>
      </c>
      <c r="BF12" s="289">
        <v>1464631.7018480001</v>
      </c>
      <c r="BG12" s="289">
        <f t="shared" si="46"/>
        <v>144028.38946400001</v>
      </c>
      <c r="BH12" s="289">
        <f t="shared" si="47"/>
        <v>7620700.5</v>
      </c>
      <c r="BI12" s="289">
        <v>7294778.5</v>
      </c>
      <c r="BJ12" s="289">
        <f t="shared" si="48"/>
        <v>325922</v>
      </c>
      <c r="BK12" s="82">
        <f t="shared" si="49"/>
        <v>6437</v>
      </c>
      <c r="BL12" s="82">
        <v>5802</v>
      </c>
      <c r="BM12" s="999">
        <f t="shared" si="50"/>
        <v>635</v>
      </c>
      <c r="BN12" s="82">
        <f t="shared" si="51"/>
        <v>8783</v>
      </c>
      <c r="BO12" s="82">
        <v>8119</v>
      </c>
      <c r="BP12" s="999">
        <f t="shared" si="52"/>
        <v>664</v>
      </c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</row>
    <row r="13" spans="1:148" s="5" customFormat="1">
      <c r="A13" s="103">
        <v>6</v>
      </c>
      <c r="B13" s="81" t="s">
        <v>107</v>
      </c>
      <c r="C13" s="81">
        <f>'Table 8 2.1.12 MFP Funded'!AD9</f>
        <v>6042</v>
      </c>
      <c r="D13" s="81">
        <f>'[2]totalled for Table 3'!$AD9</f>
        <v>3259</v>
      </c>
      <c r="E13" s="81">
        <f t="shared" si="3"/>
        <v>717</v>
      </c>
      <c r="F13" s="81">
        <f>'[3]Units-Corrected_for Table 3'!$T17</f>
        <v>1772.5</v>
      </c>
      <c r="G13" s="81">
        <f t="shared" si="4"/>
        <v>106</v>
      </c>
      <c r="H13" s="621">
        <f>[4]Disabling_Exceptionalities!$Z11</f>
        <v>959</v>
      </c>
      <c r="I13" s="81">
        <f t="shared" si="14"/>
        <v>1439</v>
      </c>
      <c r="J13" s="621">
        <f>[4]GiftedTalented!$AA11</f>
        <v>70</v>
      </c>
      <c r="K13" s="13">
        <f t="shared" si="15"/>
        <v>42</v>
      </c>
      <c r="L13" s="13">
        <f t="shared" si="5"/>
        <v>1458</v>
      </c>
      <c r="M13" s="65">
        <f t="shared" si="6"/>
        <v>3.8879999999999998E-2</v>
      </c>
      <c r="N13" s="13">
        <f t="shared" si="7"/>
        <v>235</v>
      </c>
      <c r="O13" s="13">
        <f t="shared" si="16"/>
        <v>2539</v>
      </c>
      <c r="P13" s="36">
        <f t="shared" si="8"/>
        <v>8581</v>
      </c>
      <c r="Q13" s="398">
        <f t="shared" si="17"/>
        <v>3855</v>
      </c>
      <c r="R13" s="398">
        <f t="shared" si="9"/>
        <v>33079755</v>
      </c>
      <c r="S13" s="398">
        <f>'Table 6 (Local Deduct Calc.)'!J14</f>
        <v>7373930.5</v>
      </c>
      <c r="T13" s="398">
        <f t="shared" si="18"/>
        <v>7373930.5</v>
      </c>
      <c r="U13" s="399">
        <f t="shared" si="19"/>
        <v>25705824.5</v>
      </c>
      <c r="V13" s="400">
        <f t="shared" si="53"/>
        <v>0.77710000000000001</v>
      </c>
      <c r="W13" s="400">
        <f t="shared" si="20"/>
        <v>0.22289999999999999</v>
      </c>
      <c r="X13" s="401">
        <f t="shared" si="21"/>
        <v>1220.4452995696788</v>
      </c>
      <c r="Y13" s="398">
        <f>'Table 7 Local Revenue'!AQ13</f>
        <v>18904980.5</v>
      </c>
      <c r="Z13" s="398">
        <f t="shared" si="22"/>
        <v>11531050</v>
      </c>
      <c r="AA13" s="288">
        <f t="shared" si="23"/>
        <v>0</v>
      </c>
      <c r="AB13" s="14">
        <f t="shared" si="24"/>
        <v>11247116.700000001</v>
      </c>
      <c r="AC13" s="14">
        <f t="shared" si="25"/>
        <v>11247116.700000001</v>
      </c>
      <c r="AD13" s="398">
        <f t="shared" si="26"/>
        <v>4312009.5773796001</v>
      </c>
      <c r="AE13" s="402">
        <f t="shared" si="27"/>
        <v>6935107.122620401</v>
      </c>
      <c r="AF13" s="16">
        <f t="shared" si="28"/>
        <v>0.61660000000000004</v>
      </c>
      <c r="AG13" s="402">
        <f t="shared" si="29"/>
        <v>32640931.6226204</v>
      </c>
      <c r="AH13" s="14">
        <f t="shared" si="30"/>
        <v>5402</v>
      </c>
      <c r="AI13" s="402">
        <f>'Table 4 Level 3'!O11</f>
        <v>820196</v>
      </c>
      <c r="AJ13" s="14">
        <f t="shared" si="10"/>
        <v>135.74908970539556</v>
      </c>
      <c r="AK13" s="402">
        <f t="shared" si="31"/>
        <v>33461127.6226204</v>
      </c>
      <c r="AL13" s="14">
        <f t="shared" si="32"/>
        <v>5538.0879878550813</v>
      </c>
      <c r="AM13" s="532">
        <f>'Table 4 Level 3'!R11</f>
        <v>4114949.7479999997</v>
      </c>
      <c r="AN13" s="533">
        <f t="shared" si="33"/>
        <v>681.05755511420057</v>
      </c>
      <c r="AO13" s="402">
        <f t="shared" si="34"/>
        <v>36755881.3706204</v>
      </c>
      <c r="AP13" s="14">
        <f t="shared" si="35"/>
        <v>6083.3964532638856</v>
      </c>
      <c r="AQ13" s="16">
        <f t="shared" si="36"/>
        <v>0.66373997835121556</v>
      </c>
      <c r="AR13" s="403">
        <f t="shared" si="37"/>
        <v>32</v>
      </c>
      <c r="AS13" s="14">
        <f t="shared" si="38"/>
        <v>18621047.199999999</v>
      </c>
      <c r="AT13" s="14">
        <f t="shared" si="11"/>
        <v>3081.93</v>
      </c>
      <c r="AU13" s="403">
        <f t="shared" si="39"/>
        <v>36</v>
      </c>
      <c r="AV13" s="16">
        <f t="shared" si="40"/>
        <v>0.33626002164878432</v>
      </c>
      <c r="AW13" s="403">
        <f t="shared" si="41"/>
        <v>55376928.570620403</v>
      </c>
      <c r="AX13" s="404">
        <f t="shared" si="12"/>
        <v>9165.3307796458794</v>
      </c>
      <c r="AY13" s="403">
        <f t="shared" si="42"/>
        <v>18</v>
      </c>
      <c r="AZ13" s="14">
        <v>37341743.566248</v>
      </c>
      <c r="BA13" s="288">
        <f t="shared" si="13"/>
        <v>-585862.19562759995</v>
      </c>
      <c r="BB13" s="288">
        <f t="shared" si="43"/>
        <v>25705824.5</v>
      </c>
      <c r="BC13" s="288">
        <v>26359453</v>
      </c>
      <c r="BD13" s="288">
        <f t="shared" si="44"/>
        <v>-653628.5</v>
      </c>
      <c r="BE13" s="288">
        <f t="shared" si="45"/>
        <v>6935107.122620401</v>
      </c>
      <c r="BF13" s="288">
        <v>6861842.5662479997</v>
      </c>
      <c r="BG13" s="288">
        <f t="shared" si="46"/>
        <v>73264.556372401305</v>
      </c>
      <c r="BH13" s="288">
        <f t="shared" si="47"/>
        <v>18904980.5</v>
      </c>
      <c r="BI13" s="288">
        <v>17700149</v>
      </c>
      <c r="BJ13" s="288">
        <f t="shared" si="48"/>
        <v>1204831.5</v>
      </c>
      <c r="BK13" s="81">
        <f t="shared" si="49"/>
        <v>6042</v>
      </c>
      <c r="BL13" s="81">
        <v>6041</v>
      </c>
      <c r="BM13" s="998">
        <f t="shared" si="50"/>
        <v>1</v>
      </c>
      <c r="BN13" s="81">
        <f t="shared" si="51"/>
        <v>8581</v>
      </c>
      <c r="BO13" s="81">
        <v>8648</v>
      </c>
      <c r="BP13" s="998">
        <f t="shared" si="52"/>
        <v>-67</v>
      </c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</row>
    <row r="14" spans="1:148" s="5" customFormat="1">
      <c r="A14" s="103">
        <v>7</v>
      </c>
      <c r="B14" s="81" t="s">
        <v>108</v>
      </c>
      <c r="C14" s="81">
        <f>'Table 8 2.1.12 MFP Funded'!AD10</f>
        <v>2218</v>
      </c>
      <c r="D14" s="81">
        <f>'[2]totalled for Table 3'!$AD10</f>
        <v>1572</v>
      </c>
      <c r="E14" s="81">
        <f t="shared" si="3"/>
        <v>346</v>
      </c>
      <c r="F14" s="81">
        <f>'[3]Units-Corrected_for Table 3'!$T18</f>
        <v>824</v>
      </c>
      <c r="G14" s="81">
        <f t="shared" si="4"/>
        <v>49</v>
      </c>
      <c r="H14" s="621">
        <f>[4]Disabling_Exceptionalities!$Z12</f>
        <v>201</v>
      </c>
      <c r="I14" s="81">
        <f t="shared" si="14"/>
        <v>302</v>
      </c>
      <c r="J14" s="621">
        <f>[4]GiftedTalented!$AA12</f>
        <v>21</v>
      </c>
      <c r="K14" s="13">
        <f t="shared" si="15"/>
        <v>13</v>
      </c>
      <c r="L14" s="13">
        <f t="shared" si="5"/>
        <v>5282</v>
      </c>
      <c r="M14" s="65">
        <f t="shared" si="6"/>
        <v>0.14085</v>
      </c>
      <c r="N14" s="13">
        <f t="shared" si="7"/>
        <v>312</v>
      </c>
      <c r="O14" s="13">
        <f t="shared" si="16"/>
        <v>1022</v>
      </c>
      <c r="P14" s="13">
        <f t="shared" si="8"/>
        <v>3240</v>
      </c>
      <c r="Q14" s="398">
        <f t="shared" si="17"/>
        <v>3855</v>
      </c>
      <c r="R14" s="398">
        <f t="shared" si="9"/>
        <v>12490200</v>
      </c>
      <c r="S14" s="398">
        <f>'Table 6 (Local Deduct Calc.)'!J15</f>
        <v>10663727.5</v>
      </c>
      <c r="T14" s="398">
        <f t="shared" si="18"/>
        <v>9367650</v>
      </c>
      <c r="U14" s="399">
        <f t="shared" si="19"/>
        <v>3122550</v>
      </c>
      <c r="V14" s="400">
        <f t="shared" si="53"/>
        <v>0.25</v>
      </c>
      <c r="W14" s="400">
        <f t="shared" si="20"/>
        <v>0.75</v>
      </c>
      <c r="X14" s="401">
        <f t="shared" si="21"/>
        <v>4223.4670874661861</v>
      </c>
      <c r="Y14" s="398">
        <f>'Table 7 Local Revenue'!AQ14</f>
        <v>28544183.5</v>
      </c>
      <c r="Z14" s="398">
        <f t="shared" si="22"/>
        <v>19176533.5</v>
      </c>
      <c r="AA14" s="288">
        <f t="shared" si="23"/>
        <v>0</v>
      </c>
      <c r="AB14" s="14">
        <f t="shared" si="24"/>
        <v>4246668</v>
      </c>
      <c r="AC14" s="14">
        <f t="shared" si="25"/>
        <v>4246668</v>
      </c>
      <c r="AD14" s="398">
        <f t="shared" si="26"/>
        <v>5478201.7199999997</v>
      </c>
      <c r="AE14" s="402">
        <f t="shared" si="27"/>
        <v>0</v>
      </c>
      <c r="AF14" s="16">
        <f t="shared" si="28"/>
        <v>0</v>
      </c>
      <c r="AG14" s="402">
        <f t="shared" si="29"/>
        <v>3122550</v>
      </c>
      <c r="AH14" s="14">
        <f t="shared" si="30"/>
        <v>1408</v>
      </c>
      <c r="AI14" s="402">
        <f>'Table 4 Level 3'!O12</f>
        <v>301091</v>
      </c>
      <c r="AJ14" s="14">
        <f t="shared" si="10"/>
        <v>135.74887285843101</v>
      </c>
      <c r="AK14" s="402">
        <f t="shared" si="31"/>
        <v>3423641</v>
      </c>
      <c r="AL14" s="14">
        <f t="shared" si="32"/>
        <v>1543.5712353471597</v>
      </c>
      <c r="AM14" s="532">
        <f>'Table 4 Level 3'!R12</f>
        <v>1979106.9479999996</v>
      </c>
      <c r="AN14" s="533">
        <f t="shared" si="33"/>
        <v>892.29348422001783</v>
      </c>
      <c r="AO14" s="402">
        <f t="shared" si="34"/>
        <v>5101656.9479999999</v>
      </c>
      <c r="AP14" s="14">
        <f t="shared" si="35"/>
        <v>2300.1158467087466</v>
      </c>
      <c r="AQ14" s="16">
        <f t="shared" si="36"/>
        <v>0.27258301863377765</v>
      </c>
      <c r="AR14" s="403">
        <f t="shared" si="37"/>
        <v>68</v>
      </c>
      <c r="AS14" s="14">
        <f t="shared" si="38"/>
        <v>13614318</v>
      </c>
      <c r="AT14" s="14">
        <f t="shared" si="11"/>
        <v>6138.11</v>
      </c>
      <c r="AU14" s="403">
        <f t="shared" si="39"/>
        <v>3</v>
      </c>
      <c r="AV14" s="16">
        <f t="shared" si="40"/>
        <v>0.72741698136622235</v>
      </c>
      <c r="AW14" s="403">
        <f t="shared" si="41"/>
        <v>18715974.947999999</v>
      </c>
      <c r="AX14" s="404">
        <f t="shared" si="12"/>
        <v>8438.2213471596024</v>
      </c>
      <c r="AY14" s="403">
        <f t="shared" si="42"/>
        <v>48</v>
      </c>
      <c r="AZ14" s="14">
        <v>5055456.75</v>
      </c>
      <c r="BA14" s="288">
        <f t="shared" si="13"/>
        <v>46200.197999999858</v>
      </c>
      <c r="BB14" s="288">
        <f t="shared" si="43"/>
        <v>3122550</v>
      </c>
      <c r="BC14" s="288">
        <v>3088818.75</v>
      </c>
      <c r="BD14" s="288">
        <f t="shared" si="44"/>
        <v>33731.25</v>
      </c>
      <c r="BE14" s="288">
        <f t="shared" si="45"/>
        <v>0</v>
      </c>
      <c r="BF14" s="288">
        <v>0</v>
      </c>
      <c r="BG14" s="288">
        <f t="shared" si="46"/>
        <v>0</v>
      </c>
      <c r="BH14" s="288">
        <f t="shared" si="47"/>
        <v>28544183.5</v>
      </c>
      <c r="BI14" s="288">
        <v>28508946</v>
      </c>
      <c r="BJ14" s="288">
        <f t="shared" si="48"/>
        <v>35237.5</v>
      </c>
      <c r="BK14" s="81">
        <f t="shared" si="49"/>
        <v>2218</v>
      </c>
      <c r="BL14" s="81">
        <v>2201</v>
      </c>
      <c r="BM14" s="998">
        <f t="shared" si="50"/>
        <v>17</v>
      </c>
      <c r="BN14" s="81">
        <f t="shared" si="51"/>
        <v>3240</v>
      </c>
      <c r="BO14" s="81">
        <v>3205</v>
      </c>
      <c r="BP14" s="998">
        <f t="shared" si="52"/>
        <v>35</v>
      </c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</row>
    <row r="15" spans="1:148" s="5" customFormat="1">
      <c r="A15" s="103">
        <v>8</v>
      </c>
      <c r="B15" s="81" t="s">
        <v>109</v>
      </c>
      <c r="C15" s="81">
        <f>'Table 8 2.1.12 MFP Funded'!AD11</f>
        <v>20789</v>
      </c>
      <c r="D15" s="81">
        <f>'[2]totalled for Table 3'!$AD11</f>
        <v>9575</v>
      </c>
      <c r="E15" s="81">
        <f t="shared" si="3"/>
        <v>2107</v>
      </c>
      <c r="F15" s="81">
        <f>'[3]Units-Corrected_for Table 3'!$T19</f>
        <v>5752</v>
      </c>
      <c r="G15" s="81">
        <f t="shared" si="4"/>
        <v>345</v>
      </c>
      <c r="H15" s="621">
        <f>[4]Disabling_Exceptionalities!$Z13</f>
        <v>2365</v>
      </c>
      <c r="I15" s="81">
        <f t="shared" si="14"/>
        <v>3548</v>
      </c>
      <c r="J15" s="621">
        <f>[4]GiftedTalented!$AA13</f>
        <v>873</v>
      </c>
      <c r="K15" s="13">
        <f t="shared" si="15"/>
        <v>524</v>
      </c>
      <c r="L15" s="13">
        <f t="shared" si="5"/>
        <v>0</v>
      </c>
      <c r="M15" s="65">
        <f t="shared" si="6"/>
        <v>0</v>
      </c>
      <c r="N15" s="13">
        <f t="shared" si="7"/>
        <v>0</v>
      </c>
      <c r="O15" s="13">
        <f t="shared" si="16"/>
        <v>6524</v>
      </c>
      <c r="P15" s="13">
        <f t="shared" si="8"/>
        <v>27313</v>
      </c>
      <c r="Q15" s="398">
        <f t="shared" si="17"/>
        <v>3855</v>
      </c>
      <c r="R15" s="398">
        <f t="shared" si="9"/>
        <v>105291615</v>
      </c>
      <c r="S15" s="398">
        <f>'Table 6 (Local Deduct Calc.)'!J16</f>
        <v>37935392.5</v>
      </c>
      <c r="T15" s="398">
        <f t="shared" si="18"/>
        <v>37935392.5</v>
      </c>
      <c r="U15" s="399">
        <f t="shared" si="19"/>
        <v>67356222.5</v>
      </c>
      <c r="V15" s="400">
        <f t="shared" si="53"/>
        <v>0.63970000000000005</v>
      </c>
      <c r="W15" s="400">
        <f t="shared" si="20"/>
        <v>0.36030000000000001</v>
      </c>
      <c r="X15" s="401">
        <f t="shared" si="21"/>
        <v>1824.7819760450238</v>
      </c>
      <c r="Y15" s="398">
        <f>'Table 7 Local Revenue'!AQ15</f>
        <v>89756957.5</v>
      </c>
      <c r="Z15" s="398">
        <f t="shared" si="22"/>
        <v>51821565</v>
      </c>
      <c r="AA15" s="288">
        <f t="shared" si="23"/>
        <v>0</v>
      </c>
      <c r="AB15" s="14">
        <f t="shared" si="24"/>
        <v>35799149.100000001</v>
      </c>
      <c r="AC15" s="14">
        <f t="shared" si="25"/>
        <v>35799149.100000001</v>
      </c>
      <c r="AD15" s="398">
        <f t="shared" si="26"/>
        <v>22185305.483655602</v>
      </c>
      <c r="AE15" s="402">
        <f t="shared" si="27"/>
        <v>13613843.6163444</v>
      </c>
      <c r="AF15" s="16">
        <f t="shared" si="28"/>
        <v>0.38030000000000003</v>
      </c>
      <c r="AG15" s="402">
        <f t="shared" si="29"/>
        <v>80970066.116344392</v>
      </c>
      <c r="AH15" s="14">
        <f t="shared" si="30"/>
        <v>3895</v>
      </c>
      <c r="AI15" s="402">
        <f>'Table 4 Level 3'!O13</f>
        <v>2882088</v>
      </c>
      <c r="AJ15" s="14">
        <f t="shared" si="10"/>
        <v>138.63523979027372</v>
      </c>
      <c r="AK15" s="402">
        <f t="shared" si="31"/>
        <v>83852154.116344392</v>
      </c>
      <c r="AL15" s="14">
        <f t="shared" si="32"/>
        <v>4033.4866571910334</v>
      </c>
      <c r="AM15" s="532">
        <f>'Table 4 Level 3'!R13</f>
        <v>17965050.048</v>
      </c>
      <c r="AN15" s="533">
        <f t="shared" si="33"/>
        <v>864.16133763047765</v>
      </c>
      <c r="AO15" s="402">
        <f t="shared" si="34"/>
        <v>98935116.1643444</v>
      </c>
      <c r="AP15" s="14">
        <f t="shared" si="35"/>
        <v>4759.0127550312372</v>
      </c>
      <c r="AQ15" s="16">
        <f t="shared" si="36"/>
        <v>0.57297337265455628</v>
      </c>
      <c r="AR15" s="403">
        <f t="shared" si="37"/>
        <v>47</v>
      </c>
      <c r="AS15" s="14">
        <f t="shared" si="38"/>
        <v>73734541.599999994</v>
      </c>
      <c r="AT15" s="14">
        <f t="shared" si="11"/>
        <v>3546.81</v>
      </c>
      <c r="AU15" s="403">
        <f t="shared" si="39"/>
        <v>25</v>
      </c>
      <c r="AV15" s="16">
        <f t="shared" si="40"/>
        <v>0.42702662734544372</v>
      </c>
      <c r="AW15" s="403">
        <f t="shared" si="41"/>
        <v>172669657.76434439</v>
      </c>
      <c r="AX15" s="404">
        <f t="shared" si="12"/>
        <v>8305.8183541461531</v>
      </c>
      <c r="AY15" s="403">
        <f t="shared" si="42"/>
        <v>52</v>
      </c>
      <c r="AZ15" s="14">
        <v>95969576.916182399</v>
      </c>
      <c r="BA15" s="288">
        <f t="shared" si="13"/>
        <v>2965539.2481620014</v>
      </c>
      <c r="BB15" s="288">
        <f t="shared" si="43"/>
        <v>67356222.5</v>
      </c>
      <c r="BC15" s="288">
        <v>65219018.5</v>
      </c>
      <c r="BD15" s="288">
        <f t="shared" si="44"/>
        <v>2137204</v>
      </c>
      <c r="BE15" s="288">
        <f t="shared" si="45"/>
        <v>13613843.6163444</v>
      </c>
      <c r="BF15" s="288">
        <v>13142917.416182403</v>
      </c>
      <c r="BG15" s="288">
        <f t="shared" si="46"/>
        <v>470926.20016199723</v>
      </c>
      <c r="BH15" s="288">
        <f t="shared" si="47"/>
        <v>89756957.5</v>
      </c>
      <c r="BI15" s="288">
        <v>85387256.5</v>
      </c>
      <c r="BJ15" s="288">
        <f t="shared" si="48"/>
        <v>4369701</v>
      </c>
      <c r="BK15" s="81">
        <f t="shared" si="49"/>
        <v>20789</v>
      </c>
      <c r="BL15" s="81">
        <v>20302</v>
      </c>
      <c r="BM15" s="998">
        <f t="shared" si="50"/>
        <v>487</v>
      </c>
      <c r="BN15" s="81">
        <f t="shared" si="51"/>
        <v>27313</v>
      </c>
      <c r="BO15" s="81">
        <v>26488</v>
      </c>
      <c r="BP15" s="998">
        <f t="shared" si="52"/>
        <v>825</v>
      </c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</row>
    <row r="16" spans="1:148" s="5" customFormat="1">
      <c r="A16" s="103">
        <v>9</v>
      </c>
      <c r="B16" s="81" t="s">
        <v>110</v>
      </c>
      <c r="C16" s="621">
        <f>'Table 8 2.1.12 MFP Funded'!AD12</f>
        <v>41444</v>
      </c>
      <c r="D16" s="621">
        <f>'[2]totalled for Table 3'!$AD12</f>
        <v>27542</v>
      </c>
      <c r="E16" s="621">
        <f t="shared" si="3"/>
        <v>6059</v>
      </c>
      <c r="F16" s="621">
        <f>'[3]Units-Corrected_for Table 3'!$T20</f>
        <v>10910</v>
      </c>
      <c r="G16" s="621">
        <f t="shared" si="4"/>
        <v>655</v>
      </c>
      <c r="H16" s="621">
        <f>[4]Disabling_Exceptionalities!$Z14</f>
        <v>4171</v>
      </c>
      <c r="I16" s="621">
        <f t="shared" si="14"/>
        <v>6257</v>
      </c>
      <c r="J16" s="621">
        <f>[4]GiftedTalented!$AA14</f>
        <v>1719</v>
      </c>
      <c r="K16" s="13">
        <f t="shared" si="15"/>
        <v>1031</v>
      </c>
      <c r="L16" s="13">
        <f t="shared" si="5"/>
        <v>0</v>
      </c>
      <c r="M16" s="65">
        <f t="shared" si="6"/>
        <v>0</v>
      </c>
      <c r="N16" s="13">
        <f t="shared" si="7"/>
        <v>0</v>
      </c>
      <c r="O16" s="13">
        <f t="shared" si="16"/>
        <v>14002</v>
      </c>
      <c r="P16" s="13">
        <f t="shared" si="8"/>
        <v>55446</v>
      </c>
      <c r="Q16" s="398">
        <f t="shared" si="17"/>
        <v>3855</v>
      </c>
      <c r="R16" s="398">
        <f t="shared" si="9"/>
        <v>213744330</v>
      </c>
      <c r="S16" s="398">
        <f>'Table 6 (Local Deduct Calc.)'!J17</f>
        <v>72875352</v>
      </c>
      <c r="T16" s="398">
        <f t="shared" si="18"/>
        <v>72875352</v>
      </c>
      <c r="U16" s="399">
        <f t="shared" si="19"/>
        <v>140868978</v>
      </c>
      <c r="V16" s="400">
        <f t="shared" si="53"/>
        <v>0.65910000000000002</v>
      </c>
      <c r="W16" s="400">
        <f t="shared" si="20"/>
        <v>0.34089999999999998</v>
      </c>
      <c r="X16" s="401">
        <f t="shared" si="21"/>
        <v>1758.4053662773863</v>
      </c>
      <c r="Y16" s="398">
        <f>'Table 7 Local Revenue'!AQ16</f>
        <v>194328775</v>
      </c>
      <c r="Z16" s="398">
        <f t="shared" si="22"/>
        <v>121453423</v>
      </c>
      <c r="AA16" s="288">
        <f t="shared" si="23"/>
        <v>0</v>
      </c>
      <c r="AB16" s="14">
        <f t="shared" si="24"/>
        <v>72673072.200000003</v>
      </c>
      <c r="AC16" s="14">
        <f t="shared" si="25"/>
        <v>72673072.200000003</v>
      </c>
      <c r="AD16" s="398">
        <f t="shared" si="26"/>
        <v>42611710.5383256</v>
      </c>
      <c r="AE16" s="402">
        <f t="shared" si="27"/>
        <v>30061361.661674403</v>
      </c>
      <c r="AF16" s="16">
        <f t="shared" si="28"/>
        <v>0.41370000000000001</v>
      </c>
      <c r="AG16" s="402">
        <f t="shared" si="29"/>
        <v>170930339.66167441</v>
      </c>
      <c r="AH16" s="14">
        <f t="shared" si="30"/>
        <v>4124</v>
      </c>
      <c r="AI16" s="402">
        <f>'Table 4 Level 3'!O14</f>
        <v>5965986</v>
      </c>
      <c r="AJ16" s="14">
        <f t="shared" si="10"/>
        <v>143.95294855708909</v>
      </c>
      <c r="AK16" s="402">
        <f t="shared" si="31"/>
        <v>176896325.66167441</v>
      </c>
      <c r="AL16" s="14">
        <f t="shared" si="32"/>
        <v>4268.3217271902904</v>
      </c>
      <c r="AM16" s="532">
        <f>'Table 4 Level 3'!R14</f>
        <v>36822063.083999999</v>
      </c>
      <c r="AN16" s="533">
        <f t="shared" si="33"/>
        <v>888.4775379789595</v>
      </c>
      <c r="AO16" s="402">
        <f t="shared" si="34"/>
        <v>207752402.7456744</v>
      </c>
      <c r="AP16" s="14">
        <f t="shared" si="35"/>
        <v>5012.846316612161</v>
      </c>
      <c r="AQ16" s="16">
        <f t="shared" si="36"/>
        <v>0.58803259687138976</v>
      </c>
      <c r="AR16" s="403">
        <f t="shared" si="37"/>
        <v>45</v>
      </c>
      <c r="AS16" s="14">
        <f t="shared" si="38"/>
        <v>145548424.19999999</v>
      </c>
      <c r="AT16" s="14">
        <f t="shared" si="11"/>
        <v>3511.93</v>
      </c>
      <c r="AU16" s="403">
        <f t="shared" si="39"/>
        <v>28</v>
      </c>
      <c r="AV16" s="16">
        <f t="shared" si="40"/>
        <v>0.41196740312861013</v>
      </c>
      <c r="AW16" s="403">
        <f t="shared" si="41"/>
        <v>353300826.94567442</v>
      </c>
      <c r="AX16" s="404">
        <f t="shared" si="12"/>
        <v>8524.7762509814311</v>
      </c>
      <c r="AY16" s="403">
        <f t="shared" si="42"/>
        <v>43</v>
      </c>
      <c r="AZ16" s="14">
        <v>212429947.15309441</v>
      </c>
      <c r="BA16" s="288">
        <f t="shared" si="13"/>
        <v>-4677544.4074200094</v>
      </c>
      <c r="BB16" s="288">
        <f t="shared" si="43"/>
        <v>140868978</v>
      </c>
      <c r="BC16" s="288">
        <v>143967923</v>
      </c>
      <c r="BD16" s="288">
        <f t="shared" si="44"/>
        <v>-3098945</v>
      </c>
      <c r="BE16" s="288">
        <f t="shared" si="45"/>
        <v>30061361.661674403</v>
      </c>
      <c r="BF16" s="288">
        <v>31623127.033094406</v>
      </c>
      <c r="BG16" s="288">
        <f t="shared" si="46"/>
        <v>-1561765.3714200035</v>
      </c>
      <c r="BH16" s="288">
        <f t="shared" si="47"/>
        <v>194328775</v>
      </c>
      <c r="BI16" s="288">
        <v>183703540</v>
      </c>
      <c r="BJ16" s="288">
        <f t="shared" si="48"/>
        <v>10625235</v>
      </c>
      <c r="BK16" s="603">
        <f t="shared" si="49"/>
        <v>41444</v>
      </c>
      <c r="BL16" s="603">
        <v>41412</v>
      </c>
      <c r="BM16" s="1000">
        <f t="shared" si="50"/>
        <v>32</v>
      </c>
      <c r="BN16" s="603">
        <f t="shared" si="51"/>
        <v>55446</v>
      </c>
      <c r="BO16" s="603">
        <v>55709</v>
      </c>
      <c r="BP16" s="1000">
        <f t="shared" si="52"/>
        <v>-263</v>
      </c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</row>
    <row r="17" spans="1:148" s="21" customFormat="1">
      <c r="A17" s="104">
        <v>10</v>
      </c>
      <c r="B17" s="82" t="s">
        <v>111</v>
      </c>
      <c r="C17" s="810">
        <f>'Table 8 2.1.12 MFP Funded'!AD13</f>
        <v>31713</v>
      </c>
      <c r="D17" s="810">
        <f>'[2]totalled for Table 3'!$AD13</f>
        <v>19223</v>
      </c>
      <c r="E17" s="810">
        <f t="shared" si="3"/>
        <v>4229</v>
      </c>
      <c r="F17" s="810">
        <f>'[3]Units-Corrected_for Table 3'!$T21</f>
        <v>7918.5</v>
      </c>
      <c r="G17" s="810">
        <f t="shared" si="4"/>
        <v>475</v>
      </c>
      <c r="H17" s="810">
        <f>[4]Disabling_Exceptionalities!$Z15</f>
        <v>4904</v>
      </c>
      <c r="I17" s="810">
        <f t="shared" si="14"/>
        <v>7356</v>
      </c>
      <c r="J17" s="810">
        <f>[4]GiftedTalented!$AA15</f>
        <v>1253</v>
      </c>
      <c r="K17" s="19">
        <f t="shared" si="15"/>
        <v>752</v>
      </c>
      <c r="L17" s="19">
        <f t="shared" si="5"/>
        <v>0</v>
      </c>
      <c r="M17" s="66">
        <f t="shared" si="6"/>
        <v>0</v>
      </c>
      <c r="N17" s="19">
        <f t="shared" si="7"/>
        <v>0</v>
      </c>
      <c r="O17" s="19">
        <f t="shared" si="16"/>
        <v>12812</v>
      </c>
      <c r="P17" s="13">
        <f t="shared" si="8"/>
        <v>44525</v>
      </c>
      <c r="Q17" s="405">
        <f t="shared" si="17"/>
        <v>3855</v>
      </c>
      <c r="R17" s="405">
        <f t="shared" si="9"/>
        <v>171643875</v>
      </c>
      <c r="S17" s="405">
        <f>'Table 6 (Local Deduct Calc.)'!J18</f>
        <v>62113184</v>
      </c>
      <c r="T17" s="405">
        <f t="shared" si="18"/>
        <v>62113184</v>
      </c>
      <c r="U17" s="406">
        <f t="shared" si="19"/>
        <v>109530691</v>
      </c>
      <c r="V17" s="407">
        <f t="shared" si="53"/>
        <v>0.6381</v>
      </c>
      <c r="W17" s="408">
        <f t="shared" si="20"/>
        <v>0.3619</v>
      </c>
      <c r="X17" s="409">
        <f t="shared" si="21"/>
        <v>1958.6032226531706</v>
      </c>
      <c r="Y17" s="405">
        <f>'Table 7 Local Revenue'!AQ17</f>
        <v>132951742</v>
      </c>
      <c r="Z17" s="791">
        <f>IF(Y17-T17&gt;0,Y17-T17,0)</f>
        <v>70838558</v>
      </c>
      <c r="AA17" s="289">
        <f t="shared" si="23"/>
        <v>0</v>
      </c>
      <c r="AB17" s="20">
        <f t="shared" si="24"/>
        <v>58358917.500000007</v>
      </c>
      <c r="AC17" s="20">
        <f t="shared" si="25"/>
        <v>58358917.500000007</v>
      </c>
      <c r="AD17" s="405">
        <f t="shared" si="26"/>
        <v>36326558.658390008</v>
      </c>
      <c r="AE17" s="410">
        <f t="shared" si="27"/>
        <v>22032358.84161</v>
      </c>
      <c r="AF17" s="282">
        <f t="shared" si="28"/>
        <v>0.3775</v>
      </c>
      <c r="AG17" s="410">
        <f t="shared" si="29"/>
        <v>131563049.84161</v>
      </c>
      <c r="AH17" s="20">
        <f t="shared" si="30"/>
        <v>4149</v>
      </c>
      <c r="AI17" s="410">
        <f>'Table 4 Level 3'!O15</f>
        <v>4805011</v>
      </c>
      <c r="AJ17" s="20">
        <f t="shared" si="10"/>
        <v>151.51549837606029</v>
      </c>
      <c r="AK17" s="410">
        <f t="shared" si="31"/>
        <v>136368060.84161001</v>
      </c>
      <c r="AL17" s="20">
        <f t="shared" si="32"/>
        <v>4300.0681374076885</v>
      </c>
      <c r="AM17" s="534">
        <f>'Table 4 Level 3'!R15</f>
        <v>24082554.376000002</v>
      </c>
      <c r="AN17" s="535">
        <f t="shared" si="33"/>
        <v>759.39060877242775</v>
      </c>
      <c r="AO17" s="410">
        <f t="shared" si="34"/>
        <v>155645604.21761</v>
      </c>
      <c r="AP17" s="20">
        <f t="shared" si="35"/>
        <v>4907.9432478040553</v>
      </c>
      <c r="AQ17" s="282">
        <f t="shared" si="36"/>
        <v>0.56369295048681611</v>
      </c>
      <c r="AR17" s="411">
        <f t="shared" si="37"/>
        <v>50</v>
      </c>
      <c r="AS17" s="20">
        <f t="shared" si="38"/>
        <v>120472101.5</v>
      </c>
      <c r="AT17" s="20">
        <f t="shared" si="11"/>
        <v>3798.82</v>
      </c>
      <c r="AU17" s="411">
        <f t="shared" si="39"/>
        <v>21</v>
      </c>
      <c r="AV17" s="282">
        <f t="shared" si="40"/>
        <v>0.43630704951318389</v>
      </c>
      <c r="AW17" s="411">
        <f t="shared" si="41"/>
        <v>276117705.71761</v>
      </c>
      <c r="AX17" s="412">
        <f t="shared" si="12"/>
        <v>8706.7671212944224</v>
      </c>
      <c r="AY17" s="411">
        <f t="shared" si="42"/>
        <v>34</v>
      </c>
      <c r="AZ17" s="20">
        <v>154346181.85660601</v>
      </c>
      <c r="BA17" s="289">
        <f t="shared" si="13"/>
        <v>1299422.3610039949</v>
      </c>
      <c r="BB17" s="289">
        <f t="shared" si="43"/>
        <v>109530691</v>
      </c>
      <c r="BC17" s="289">
        <v>108645655</v>
      </c>
      <c r="BD17" s="289">
        <f t="shared" si="44"/>
        <v>885036</v>
      </c>
      <c r="BE17" s="289">
        <f t="shared" si="45"/>
        <v>22032358.84161</v>
      </c>
      <c r="BF17" s="289">
        <v>21881156.856605999</v>
      </c>
      <c r="BG17" s="289">
        <f t="shared" si="46"/>
        <v>151201.98500400037</v>
      </c>
      <c r="BH17" s="289">
        <f t="shared" si="47"/>
        <v>132951742</v>
      </c>
      <c r="BI17" s="289">
        <v>129748230</v>
      </c>
      <c r="BJ17" s="289">
        <f t="shared" si="48"/>
        <v>3203512</v>
      </c>
      <c r="BK17" s="82">
        <f t="shared" si="49"/>
        <v>31713</v>
      </c>
      <c r="BL17" s="82">
        <v>31370</v>
      </c>
      <c r="BM17" s="999">
        <f t="shared" si="50"/>
        <v>343</v>
      </c>
      <c r="BN17" s="82">
        <f t="shared" si="51"/>
        <v>44525</v>
      </c>
      <c r="BO17" s="82">
        <v>44139</v>
      </c>
      <c r="BP17" s="999">
        <f t="shared" si="52"/>
        <v>386</v>
      </c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</row>
    <row r="18" spans="1:148" s="5" customFormat="1">
      <c r="A18" s="103">
        <v>11</v>
      </c>
      <c r="B18" s="81" t="s">
        <v>112</v>
      </c>
      <c r="C18" s="621">
        <f>'Table 8 2.1.12 MFP Funded'!AD14</f>
        <v>1577</v>
      </c>
      <c r="D18" s="621">
        <f>'[2]totalled for Table 3'!$AD14</f>
        <v>1099</v>
      </c>
      <c r="E18" s="621">
        <f t="shared" si="3"/>
        <v>242</v>
      </c>
      <c r="F18" s="621">
        <f>'[3]Units-Corrected_for Table 3'!$T22</f>
        <v>641.5</v>
      </c>
      <c r="G18" s="621">
        <f t="shared" si="4"/>
        <v>38</v>
      </c>
      <c r="H18" s="621">
        <f>[4]Disabling_Exceptionalities!$Z16</f>
        <v>283</v>
      </c>
      <c r="I18" s="621">
        <f t="shared" si="14"/>
        <v>425</v>
      </c>
      <c r="J18" s="621">
        <f>[4]GiftedTalented!$AA16</f>
        <v>30</v>
      </c>
      <c r="K18" s="13">
        <f t="shared" si="15"/>
        <v>18</v>
      </c>
      <c r="L18" s="13">
        <f t="shared" si="5"/>
        <v>5923</v>
      </c>
      <c r="M18" s="65">
        <f t="shared" si="6"/>
        <v>0.15795000000000001</v>
      </c>
      <c r="N18" s="13">
        <f t="shared" si="7"/>
        <v>249</v>
      </c>
      <c r="O18" s="13">
        <f t="shared" si="16"/>
        <v>972</v>
      </c>
      <c r="P18" s="36">
        <f t="shared" si="8"/>
        <v>2549</v>
      </c>
      <c r="Q18" s="398">
        <f t="shared" si="17"/>
        <v>3855</v>
      </c>
      <c r="R18" s="398">
        <f t="shared" si="9"/>
        <v>9826395</v>
      </c>
      <c r="S18" s="398">
        <f>'Table 6 (Local Deduct Calc.)'!J19</f>
        <v>1736685.5</v>
      </c>
      <c r="T18" s="398">
        <f t="shared" si="18"/>
        <v>1736685.5</v>
      </c>
      <c r="U18" s="399">
        <f t="shared" si="19"/>
        <v>8089709.5</v>
      </c>
      <c r="V18" s="400">
        <f t="shared" si="53"/>
        <v>0.82330000000000003</v>
      </c>
      <c r="W18" s="400">
        <f t="shared" si="20"/>
        <v>0.1767</v>
      </c>
      <c r="X18" s="401">
        <f t="shared" si="21"/>
        <v>1101.2590361445782</v>
      </c>
      <c r="Y18" s="398">
        <f>'Table 7 Local Revenue'!AQ18</f>
        <v>5302112.5</v>
      </c>
      <c r="Z18" s="398">
        <f t="shared" si="22"/>
        <v>3565427</v>
      </c>
      <c r="AA18" s="288">
        <f t="shared" si="23"/>
        <v>0</v>
      </c>
      <c r="AB18" s="14">
        <f t="shared" si="24"/>
        <v>3340974.3000000003</v>
      </c>
      <c r="AC18" s="14">
        <f t="shared" si="25"/>
        <v>3340974.3000000003</v>
      </c>
      <c r="AD18" s="398">
        <f t="shared" si="26"/>
        <v>1015402.2731532</v>
      </c>
      <c r="AE18" s="402">
        <f t="shared" si="27"/>
        <v>2325572.0268468</v>
      </c>
      <c r="AF18" s="16">
        <f t="shared" si="28"/>
        <v>0.69610000000000005</v>
      </c>
      <c r="AG18" s="402">
        <f t="shared" si="29"/>
        <v>10415281.5268468</v>
      </c>
      <c r="AH18" s="14">
        <f t="shared" si="30"/>
        <v>6604</v>
      </c>
      <c r="AI18" s="402">
        <f>'Table 4 Level 3'!O16</f>
        <v>214076</v>
      </c>
      <c r="AJ18" s="14">
        <f t="shared" si="10"/>
        <v>135.74889029803424</v>
      </c>
      <c r="AK18" s="402">
        <f t="shared" si="31"/>
        <v>10629357.5268468</v>
      </c>
      <c r="AL18" s="14">
        <f t="shared" si="32"/>
        <v>6740.2393955908683</v>
      </c>
      <c r="AM18" s="532">
        <f>'Table 4 Level 3'!R16</f>
        <v>1328112.8760437709</v>
      </c>
      <c r="AN18" s="533">
        <f t="shared" si="33"/>
        <v>842.17683959655733</v>
      </c>
      <c r="AO18" s="402">
        <f t="shared" si="34"/>
        <v>11743394.40289057</v>
      </c>
      <c r="AP18" s="14">
        <f t="shared" si="35"/>
        <v>7446.6673448893916</v>
      </c>
      <c r="AQ18" s="16">
        <f t="shared" si="36"/>
        <v>0.69813664834826805</v>
      </c>
      <c r="AR18" s="403">
        <f t="shared" si="37"/>
        <v>20</v>
      </c>
      <c r="AS18" s="14">
        <f t="shared" si="38"/>
        <v>5077659.8</v>
      </c>
      <c r="AT18" s="14">
        <f t="shared" si="11"/>
        <v>3219.82</v>
      </c>
      <c r="AU18" s="403">
        <f t="shared" si="39"/>
        <v>33</v>
      </c>
      <c r="AV18" s="16">
        <f t="shared" si="40"/>
        <v>0.30186335165173195</v>
      </c>
      <c r="AW18" s="403">
        <f t="shared" si="41"/>
        <v>16821054.202890571</v>
      </c>
      <c r="AX18" s="404">
        <f t="shared" si="12"/>
        <v>10666.489665751789</v>
      </c>
      <c r="AY18" s="403">
        <f t="shared" si="42"/>
        <v>1</v>
      </c>
      <c r="AZ18" s="14">
        <v>11835132.484581999</v>
      </c>
      <c r="BA18" s="288">
        <f t="shared" si="13"/>
        <v>-91738.081691429019</v>
      </c>
      <c r="BB18" s="288">
        <f t="shared" si="43"/>
        <v>8089709.5</v>
      </c>
      <c r="BC18" s="288">
        <v>8123357</v>
      </c>
      <c r="BD18" s="288">
        <f t="shared" si="44"/>
        <v>-33647.5</v>
      </c>
      <c r="BE18" s="288">
        <f t="shared" si="45"/>
        <v>2325572.0268468</v>
      </c>
      <c r="BF18" s="288">
        <v>2358518.4845820004</v>
      </c>
      <c r="BG18" s="288">
        <f t="shared" si="46"/>
        <v>-32946.457735200413</v>
      </c>
      <c r="BH18" s="288">
        <f t="shared" si="47"/>
        <v>5302112.5</v>
      </c>
      <c r="BI18" s="288">
        <v>5553239</v>
      </c>
      <c r="BJ18" s="288">
        <f t="shared" si="48"/>
        <v>-251126.5</v>
      </c>
      <c r="BK18" s="81">
        <f t="shared" si="49"/>
        <v>1577</v>
      </c>
      <c r="BL18" s="81">
        <v>1605</v>
      </c>
      <c r="BM18" s="998">
        <f t="shared" si="50"/>
        <v>-28</v>
      </c>
      <c r="BN18" s="81">
        <f t="shared" si="51"/>
        <v>2549</v>
      </c>
      <c r="BO18" s="81">
        <v>2535</v>
      </c>
      <c r="BP18" s="998">
        <f t="shared" si="52"/>
        <v>14</v>
      </c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</row>
    <row r="19" spans="1:148" s="5" customFormat="1">
      <c r="A19" s="103">
        <v>12</v>
      </c>
      <c r="B19" s="81" t="s">
        <v>113</v>
      </c>
      <c r="C19" s="621">
        <f>'Table 8 2.1.12 MFP Funded'!AD15</f>
        <v>1225</v>
      </c>
      <c r="D19" s="621">
        <f>'[2]totalled for Table 3'!$AD15</f>
        <v>570</v>
      </c>
      <c r="E19" s="621">
        <f t="shared" si="3"/>
        <v>125</v>
      </c>
      <c r="F19" s="621">
        <f>'[3]Units-Corrected_for Table 3'!$T23</f>
        <v>432.5</v>
      </c>
      <c r="G19" s="621">
        <f t="shared" si="4"/>
        <v>26</v>
      </c>
      <c r="H19" s="621">
        <f>[4]Disabling_Exceptionalities!$Z17</f>
        <v>153</v>
      </c>
      <c r="I19" s="621">
        <f t="shared" si="14"/>
        <v>230</v>
      </c>
      <c r="J19" s="621">
        <f>[4]GiftedTalented!$AA17</f>
        <v>99</v>
      </c>
      <c r="K19" s="13">
        <f t="shared" si="15"/>
        <v>59</v>
      </c>
      <c r="L19" s="13">
        <f t="shared" si="5"/>
        <v>6275</v>
      </c>
      <c r="M19" s="65">
        <f t="shared" si="6"/>
        <v>0.16733000000000001</v>
      </c>
      <c r="N19" s="13">
        <f t="shared" si="7"/>
        <v>205</v>
      </c>
      <c r="O19" s="13">
        <f t="shared" si="16"/>
        <v>645</v>
      </c>
      <c r="P19" s="13">
        <f t="shared" si="8"/>
        <v>1870</v>
      </c>
      <c r="Q19" s="398">
        <f t="shared" si="17"/>
        <v>3855</v>
      </c>
      <c r="R19" s="398">
        <f t="shared" si="9"/>
        <v>7208850</v>
      </c>
      <c r="S19" s="398">
        <f>'Table 6 (Local Deduct Calc.)'!J20</f>
        <v>5193065.5</v>
      </c>
      <c r="T19" s="398">
        <f t="shared" si="18"/>
        <v>5193065.5</v>
      </c>
      <c r="U19" s="399">
        <f t="shared" si="19"/>
        <v>2015784.5</v>
      </c>
      <c r="V19" s="400">
        <f t="shared" si="53"/>
        <v>0.27960000000000002</v>
      </c>
      <c r="W19" s="400">
        <f t="shared" si="20"/>
        <v>0.72040000000000004</v>
      </c>
      <c r="X19" s="401">
        <f t="shared" si="21"/>
        <v>4239.2371428571432</v>
      </c>
      <c r="Y19" s="398">
        <f>'Table 7 Local Revenue'!AQ19</f>
        <v>13313535.5</v>
      </c>
      <c r="Z19" s="398">
        <f t="shared" si="22"/>
        <v>8120470</v>
      </c>
      <c r="AA19" s="288">
        <f t="shared" si="23"/>
        <v>0</v>
      </c>
      <c r="AB19" s="14">
        <f t="shared" si="24"/>
        <v>2451009</v>
      </c>
      <c r="AC19" s="14">
        <f t="shared" si="25"/>
        <v>2451009</v>
      </c>
      <c r="AD19" s="398">
        <f t="shared" si="26"/>
        <v>3037015.8397920001</v>
      </c>
      <c r="AE19" s="402">
        <f t="shared" si="27"/>
        <v>0</v>
      </c>
      <c r="AF19" s="16">
        <f t="shared" si="28"/>
        <v>0</v>
      </c>
      <c r="AG19" s="402">
        <f t="shared" si="29"/>
        <v>2015784.5</v>
      </c>
      <c r="AH19" s="14">
        <f t="shared" si="30"/>
        <v>1646</v>
      </c>
      <c r="AI19" s="402">
        <f>'Table 4 Level 3'!O17</f>
        <v>166293</v>
      </c>
      <c r="AJ19" s="14">
        <f t="shared" si="10"/>
        <v>135.74938775510205</v>
      </c>
      <c r="AK19" s="402">
        <f t="shared" si="31"/>
        <v>2182077.5</v>
      </c>
      <c r="AL19" s="14">
        <f t="shared" si="32"/>
        <v>1781.2877551020408</v>
      </c>
      <c r="AM19" s="532">
        <f>'Table 4 Level 3'!R17</f>
        <v>1468635.088</v>
      </c>
      <c r="AN19" s="533">
        <f t="shared" si="33"/>
        <v>1198.885786122449</v>
      </c>
      <c r="AO19" s="402">
        <f t="shared" si="34"/>
        <v>3484419.588</v>
      </c>
      <c r="AP19" s="14">
        <f t="shared" si="35"/>
        <v>2844.4241534693879</v>
      </c>
      <c r="AQ19" s="16">
        <f t="shared" si="36"/>
        <v>0.31310791563049806</v>
      </c>
      <c r="AR19" s="403">
        <f t="shared" si="37"/>
        <v>66</v>
      </c>
      <c r="AS19" s="14">
        <f t="shared" si="38"/>
        <v>7644074.5</v>
      </c>
      <c r="AT19" s="14">
        <f t="shared" si="11"/>
        <v>6240.06</v>
      </c>
      <c r="AU19" s="403">
        <f t="shared" si="39"/>
        <v>2</v>
      </c>
      <c r="AV19" s="16">
        <f t="shared" si="40"/>
        <v>0.686892084369502</v>
      </c>
      <c r="AW19" s="403">
        <f t="shared" si="41"/>
        <v>11128494.088</v>
      </c>
      <c r="AX19" s="404">
        <f t="shared" si="12"/>
        <v>9084.484969795918</v>
      </c>
      <c r="AY19" s="403">
        <f t="shared" si="42"/>
        <v>21</v>
      </c>
      <c r="AZ19" s="14">
        <v>3335396.75</v>
      </c>
      <c r="BA19" s="288">
        <f t="shared" si="13"/>
        <v>149022.83799999999</v>
      </c>
      <c r="BB19" s="288">
        <f t="shared" si="43"/>
        <v>2015784.5</v>
      </c>
      <c r="BC19" s="288">
        <v>1847508.75</v>
      </c>
      <c r="BD19" s="288">
        <f t="shared" si="44"/>
        <v>168275.75</v>
      </c>
      <c r="BE19" s="288">
        <f t="shared" si="45"/>
        <v>0</v>
      </c>
      <c r="BF19" s="288">
        <v>0</v>
      </c>
      <c r="BG19" s="288">
        <f t="shared" si="46"/>
        <v>0</v>
      </c>
      <c r="BH19" s="288">
        <f t="shared" si="47"/>
        <v>13313535.5</v>
      </c>
      <c r="BI19" s="288">
        <v>13506440.5</v>
      </c>
      <c r="BJ19" s="288">
        <f t="shared" si="48"/>
        <v>-192905</v>
      </c>
      <c r="BK19" s="81">
        <f t="shared" si="49"/>
        <v>1225</v>
      </c>
      <c r="BL19" s="81">
        <v>1240</v>
      </c>
      <c r="BM19" s="998">
        <f t="shared" si="50"/>
        <v>-15</v>
      </c>
      <c r="BN19" s="81">
        <f t="shared" si="51"/>
        <v>1870</v>
      </c>
      <c r="BO19" s="81">
        <v>1917</v>
      </c>
      <c r="BP19" s="998">
        <f t="shared" si="52"/>
        <v>-47</v>
      </c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</row>
    <row r="20" spans="1:148" s="5" customFormat="1">
      <c r="A20" s="103">
        <v>13</v>
      </c>
      <c r="B20" s="81" t="s">
        <v>114</v>
      </c>
      <c r="C20" s="621">
        <f>'Table 8 2.1.12 MFP Funded'!AD16</f>
        <v>1519</v>
      </c>
      <c r="D20" s="621">
        <f>'[2]totalled for Table 3'!$AD16</f>
        <v>1144</v>
      </c>
      <c r="E20" s="621">
        <f t="shared" si="3"/>
        <v>252</v>
      </c>
      <c r="F20" s="621">
        <f>'[3]Units-Corrected_for Table 3'!$T24</f>
        <v>701.5</v>
      </c>
      <c r="G20" s="621">
        <f t="shared" si="4"/>
        <v>42</v>
      </c>
      <c r="H20" s="621">
        <f>[4]Disabling_Exceptionalities!$Z18</f>
        <v>167</v>
      </c>
      <c r="I20" s="621">
        <f t="shared" si="14"/>
        <v>251</v>
      </c>
      <c r="J20" s="621">
        <f>[4]GiftedTalented!$AA18</f>
        <v>31</v>
      </c>
      <c r="K20" s="13">
        <f t="shared" si="15"/>
        <v>19</v>
      </c>
      <c r="L20" s="13">
        <f t="shared" si="5"/>
        <v>5981</v>
      </c>
      <c r="M20" s="65">
        <f t="shared" si="6"/>
        <v>0.15948999999999999</v>
      </c>
      <c r="N20" s="13">
        <f t="shared" si="7"/>
        <v>242</v>
      </c>
      <c r="O20" s="13">
        <f t="shared" si="16"/>
        <v>806</v>
      </c>
      <c r="P20" s="13">
        <f t="shared" si="8"/>
        <v>2325</v>
      </c>
      <c r="Q20" s="398">
        <f t="shared" si="17"/>
        <v>3855</v>
      </c>
      <c r="R20" s="398">
        <f t="shared" si="9"/>
        <v>8962875</v>
      </c>
      <c r="S20" s="398">
        <f>'Table 6 (Local Deduct Calc.)'!J21</f>
        <v>1477771</v>
      </c>
      <c r="T20" s="398">
        <f t="shared" si="18"/>
        <v>1477771</v>
      </c>
      <c r="U20" s="399">
        <f t="shared" si="19"/>
        <v>7485104</v>
      </c>
      <c r="V20" s="400">
        <f t="shared" si="53"/>
        <v>0.83509999999999995</v>
      </c>
      <c r="W20" s="400">
        <f t="shared" si="20"/>
        <v>0.16489999999999999</v>
      </c>
      <c r="X20" s="401">
        <f t="shared" si="21"/>
        <v>972.85780118499008</v>
      </c>
      <c r="Y20" s="398">
        <f>'Table 7 Local Revenue'!AQ20</f>
        <v>3729922</v>
      </c>
      <c r="Z20" s="398">
        <f t="shared" si="22"/>
        <v>2252151</v>
      </c>
      <c r="AA20" s="288">
        <f t="shared" si="23"/>
        <v>0</v>
      </c>
      <c r="AB20" s="14">
        <f t="shared" si="24"/>
        <v>3047377.5</v>
      </c>
      <c r="AC20" s="14">
        <f t="shared" si="25"/>
        <v>2252151</v>
      </c>
      <c r="AD20" s="398">
        <f t="shared" si="26"/>
        <v>638773.083828</v>
      </c>
      <c r="AE20" s="402">
        <f t="shared" si="27"/>
        <v>1613377.9161720001</v>
      </c>
      <c r="AF20" s="16">
        <f t="shared" si="28"/>
        <v>0.71640000000000004</v>
      </c>
      <c r="AG20" s="402">
        <f t="shared" si="29"/>
        <v>9098481.9161719996</v>
      </c>
      <c r="AH20" s="14">
        <f t="shared" si="30"/>
        <v>5990</v>
      </c>
      <c r="AI20" s="402">
        <f>'Table 4 Level 3'!O18</f>
        <v>206203</v>
      </c>
      <c r="AJ20" s="14">
        <f t="shared" si="10"/>
        <v>135.74917709019093</v>
      </c>
      <c r="AK20" s="402">
        <f t="shared" si="31"/>
        <v>9304684.9161719996</v>
      </c>
      <c r="AL20" s="14">
        <f t="shared" si="32"/>
        <v>6125.5331903699798</v>
      </c>
      <c r="AM20" s="532">
        <f>'Table 4 Level 3'!R18</f>
        <v>1343762.7970000003</v>
      </c>
      <c r="AN20" s="533">
        <f t="shared" si="33"/>
        <v>884.63646938775526</v>
      </c>
      <c r="AO20" s="402">
        <f t="shared" si="34"/>
        <v>10442244.713172</v>
      </c>
      <c r="AP20" s="14">
        <f t="shared" si="35"/>
        <v>6874.4204826675441</v>
      </c>
      <c r="AQ20" s="16">
        <f t="shared" si="36"/>
        <v>0.73681356736134718</v>
      </c>
      <c r="AR20" s="403">
        <f t="shared" si="37"/>
        <v>11</v>
      </c>
      <c r="AS20" s="14">
        <f t="shared" si="38"/>
        <v>3729922</v>
      </c>
      <c r="AT20" s="14">
        <f t="shared" si="11"/>
        <v>2455.5100000000002</v>
      </c>
      <c r="AU20" s="403">
        <f t="shared" si="39"/>
        <v>55</v>
      </c>
      <c r="AV20" s="16">
        <f t="shared" si="40"/>
        <v>0.26318643263865282</v>
      </c>
      <c r="AW20" s="403">
        <f t="shared" si="41"/>
        <v>14172166.713172</v>
      </c>
      <c r="AX20" s="404">
        <f t="shared" si="12"/>
        <v>9329.9320034048724</v>
      </c>
      <c r="AY20" s="403">
        <f t="shared" si="42"/>
        <v>11</v>
      </c>
      <c r="AZ20" s="14">
        <v>10189093.787416</v>
      </c>
      <c r="BA20" s="288">
        <f t="shared" si="13"/>
        <v>253150.92575599998</v>
      </c>
      <c r="BB20" s="288">
        <f t="shared" si="43"/>
        <v>7485104</v>
      </c>
      <c r="BC20" s="288">
        <v>7413337.5</v>
      </c>
      <c r="BD20" s="288">
        <f t="shared" si="44"/>
        <v>71766.5</v>
      </c>
      <c r="BE20" s="288">
        <f t="shared" si="45"/>
        <v>1613377.9161720001</v>
      </c>
      <c r="BF20" s="288">
        <v>1433420.2874159999</v>
      </c>
      <c r="BG20" s="288">
        <f t="shared" si="46"/>
        <v>179957.62875600019</v>
      </c>
      <c r="BH20" s="288">
        <f t="shared" si="47"/>
        <v>3729922</v>
      </c>
      <c r="BI20" s="288">
        <v>3421469.5</v>
      </c>
      <c r="BJ20" s="288">
        <f t="shared" si="48"/>
        <v>308452.5</v>
      </c>
      <c r="BK20" s="81">
        <f t="shared" si="49"/>
        <v>1519</v>
      </c>
      <c r="BL20" s="81">
        <v>1515</v>
      </c>
      <c r="BM20" s="998">
        <f t="shared" si="50"/>
        <v>4</v>
      </c>
      <c r="BN20" s="81">
        <f t="shared" si="51"/>
        <v>2325</v>
      </c>
      <c r="BO20" s="81">
        <v>2295</v>
      </c>
      <c r="BP20" s="998">
        <f t="shared" si="52"/>
        <v>30</v>
      </c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</row>
    <row r="21" spans="1:148" s="5" customFormat="1">
      <c r="A21" s="103">
        <v>14</v>
      </c>
      <c r="B21" s="81" t="s">
        <v>115</v>
      </c>
      <c r="C21" s="621">
        <f>'Table 8 2.1.12 MFP Funded'!AD17</f>
        <v>1958</v>
      </c>
      <c r="D21" s="621">
        <f>'[2]totalled for Table 3'!$AD17</f>
        <v>1448</v>
      </c>
      <c r="E21" s="621">
        <f t="shared" si="3"/>
        <v>319</v>
      </c>
      <c r="F21" s="621">
        <f>'[3]Units-Corrected_for Table 3'!$T25</f>
        <v>523.5</v>
      </c>
      <c r="G21" s="621">
        <f t="shared" si="4"/>
        <v>31</v>
      </c>
      <c r="H21" s="621">
        <f>[4]Disabling_Exceptionalities!$Z19</f>
        <v>356</v>
      </c>
      <c r="I21" s="621">
        <f t="shared" si="14"/>
        <v>534</v>
      </c>
      <c r="J21" s="621">
        <f>[4]GiftedTalented!$AA19</f>
        <v>96</v>
      </c>
      <c r="K21" s="13">
        <f t="shared" si="15"/>
        <v>58</v>
      </c>
      <c r="L21" s="13">
        <f t="shared" si="5"/>
        <v>5542</v>
      </c>
      <c r="M21" s="65">
        <f t="shared" si="6"/>
        <v>0.14779</v>
      </c>
      <c r="N21" s="13">
        <f t="shared" si="7"/>
        <v>289</v>
      </c>
      <c r="O21" s="13">
        <f t="shared" si="16"/>
        <v>1231</v>
      </c>
      <c r="P21" s="13">
        <f t="shared" si="8"/>
        <v>3189</v>
      </c>
      <c r="Q21" s="398">
        <f t="shared" si="17"/>
        <v>3855</v>
      </c>
      <c r="R21" s="398">
        <f t="shared" si="9"/>
        <v>12293595</v>
      </c>
      <c r="S21" s="398">
        <f>'Table 6 (Local Deduct Calc.)'!J22</f>
        <v>3732913</v>
      </c>
      <c r="T21" s="398">
        <f t="shared" si="18"/>
        <v>3732913</v>
      </c>
      <c r="U21" s="399">
        <f t="shared" si="19"/>
        <v>8560682</v>
      </c>
      <c r="V21" s="400">
        <f t="shared" si="53"/>
        <v>0.69640000000000002</v>
      </c>
      <c r="W21" s="400">
        <f t="shared" si="20"/>
        <v>0.30359999999999998</v>
      </c>
      <c r="X21" s="401">
        <f t="shared" si="21"/>
        <v>1906.4928498467825</v>
      </c>
      <c r="Y21" s="398">
        <f>'Table 7 Local Revenue'!AQ21</f>
        <v>6889052</v>
      </c>
      <c r="Z21" s="398">
        <f t="shared" si="22"/>
        <v>3156139</v>
      </c>
      <c r="AA21" s="288">
        <f t="shared" si="23"/>
        <v>0</v>
      </c>
      <c r="AB21" s="14">
        <f t="shared" si="24"/>
        <v>4179822.3000000003</v>
      </c>
      <c r="AC21" s="14">
        <f t="shared" si="25"/>
        <v>3156139</v>
      </c>
      <c r="AD21" s="398">
        <f t="shared" si="26"/>
        <v>1648110.536688</v>
      </c>
      <c r="AE21" s="402">
        <f t="shared" si="27"/>
        <v>1508028.463312</v>
      </c>
      <c r="AF21" s="16">
        <f t="shared" si="28"/>
        <v>0.4778</v>
      </c>
      <c r="AG21" s="402">
        <f t="shared" si="29"/>
        <v>10068710.463312</v>
      </c>
      <c r="AH21" s="14">
        <f t="shared" si="30"/>
        <v>5142</v>
      </c>
      <c r="AI21" s="402">
        <f>'Table 4 Level 3'!O19</f>
        <v>265797</v>
      </c>
      <c r="AJ21" s="14">
        <f t="shared" si="10"/>
        <v>135.74923391215526</v>
      </c>
      <c r="AK21" s="402">
        <f t="shared" si="31"/>
        <v>10334507.463312</v>
      </c>
      <c r="AL21" s="14">
        <f t="shared" si="32"/>
        <v>5278.0936993421856</v>
      </c>
      <c r="AM21" s="532">
        <f>'Table 4 Level 3'!R19</f>
        <v>1850927.8599999999</v>
      </c>
      <c r="AN21" s="533">
        <f t="shared" si="33"/>
        <v>945.31555669050044</v>
      </c>
      <c r="AO21" s="402">
        <f t="shared" si="34"/>
        <v>11919638.323311999</v>
      </c>
      <c r="AP21" s="14">
        <f t="shared" si="35"/>
        <v>6087.6600221205308</v>
      </c>
      <c r="AQ21" s="16">
        <f t="shared" si="36"/>
        <v>0.63373037241931074</v>
      </c>
      <c r="AR21" s="403">
        <f t="shared" si="37"/>
        <v>39</v>
      </c>
      <c r="AS21" s="14">
        <f t="shared" si="38"/>
        <v>6889052</v>
      </c>
      <c r="AT21" s="14">
        <f t="shared" si="11"/>
        <v>3518.41</v>
      </c>
      <c r="AU21" s="403">
        <f t="shared" si="39"/>
        <v>27</v>
      </c>
      <c r="AV21" s="16">
        <f t="shared" si="40"/>
        <v>0.36626962758068926</v>
      </c>
      <c r="AW21" s="403">
        <f t="shared" si="41"/>
        <v>18808690.323311999</v>
      </c>
      <c r="AX21" s="404">
        <f t="shared" si="12"/>
        <v>9606.072688106231</v>
      </c>
      <c r="AY21" s="403">
        <f t="shared" si="42"/>
        <v>6</v>
      </c>
      <c r="AZ21" s="14">
        <v>13176947.058854401</v>
      </c>
      <c r="BA21" s="288">
        <f t="shared" si="13"/>
        <v>-1257308.7355424017</v>
      </c>
      <c r="BB21" s="288">
        <f t="shared" si="43"/>
        <v>8560682</v>
      </c>
      <c r="BC21" s="288">
        <v>9058223</v>
      </c>
      <c r="BD21" s="288">
        <f t="shared" si="44"/>
        <v>-497541</v>
      </c>
      <c r="BE21" s="288">
        <f t="shared" si="45"/>
        <v>1508028.463312</v>
      </c>
      <c r="BF21" s="288">
        <v>2217044.0588544002</v>
      </c>
      <c r="BG21" s="288">
        <f t="shared" si="46"/>
        <v>-709015.59554240014</v>
      </c>
      <c r="BH21" s="288">
        <f t="shared" si="47"/>
        <v>6889052</v>
      </c>
      <c r="BI21" s="288">
        <v>8297313</v>
      </c>
      <c r="BJ21" s="288">
        <f t="shared" si="48"/>
        <v>-1408261</v>
      </c>
      <c r="BK21" s="81">
        <f t="shared" si="49"/>
        <v>1958</v>
      </c>
      <c r="BL21" s="81">
        <v>2009</v>
      </c>
      <c r="BM21" s="998">
        <f t="shared" si="50"/>
        <v>-51</v>
      </c>
      <c r="BN21" s="81">
        <f t="shared" si="51"/>
        <v>3189</v>
      </c>
      <c r="BO21" s="81">
        <v>3264</v>
      </c>
      <c r="BP21" s="998">
        <f t="shared" si="52"/>
        <v>-75</v>
      </c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</row>
    <row r="22" spans="1:148" s="21" customFormat="1">
      <c r="A22" s="104">
        <v>15</v>
      </c>
      <c r="B22" s="82" t="s">
        <v>116</v>
      </c>
      <c r="C22" s="810">
        <f>'Table 8 2.1.12 MFP Funded'!AD18</f>
        <v>3629</v>
      </c>
      <c r="D22" s="810">
        <f>'[2]totalled for Table 3'!$AD18</f>
        <v>2820</v>
      </c>
      <c r="E22" s="810">
        <f t="shared" si="3"/>
        <v>620</v>
      </c>
      <c r="F22" s="810">
        <f>'[3]Units-Corrected_for Table 3'!$T26</f>
        <v>1159</v>
      </c>
      <c r="G22" s="810">
        <f t="shared" si="4"/>
        <v>70</v>
      </c>
      <c r="H22" s="810">
        <f>[4]Disabling_Exceptionalities!$Z20</f>
        <v>369</v>
      </c>
      <c r="I22" s="810">
        <f t="shared" si="14"/>
        <v>554</v>
      </c>
      <c r="J22" s="810">
        <f>[4]GiftedTalented!$AA20</f>
        <v>70</v>
      </c>
      <c r="K22" s="19">
        <f t="shared" si="15"/>
        <v>42</v>
      </c>
      <c r="L22" s="19">
        <f t="shared" si="5"/>
        <v>3871</v>
      </c>
      <c r="M22" s="66">
        <f t="shared" si="6"/>
        <v>0.10323</v>
      </c>
      <c r="N22" s="19">
        <f t="shared" si="7"/>
        <v>375</v>
      </c>
      <c r="O22" s="19">
        <f t="shared" si="16"/>
        <v>1661</v>
      </c>
      <c r="P22" s="13">
        <f t="shared" si="8"/>
        <v>5290</v>
      </c>
      <c r="Q22" s="405">
        <f t="shared" si="17"/>
        <v>3855</v>
      </c>
      <c r="R22" s="405">
        <f t="shared" si="9"/>
        <v>20392950</v>
      </c>
      <c r="S22" s="405">
        <f>'Table 6 (Local Deduct Calc.)'!J23</f>
        <v>4392232.5</v>
      </c>
      <c r="T22" s="405">
        <f t="shared" si="18"/>
        <v>4392232.5</v>
      </c>
      <c r="U22" s="406">
        <f t="shared" si="19"/>
        <v>16000717.5</v>
      </c>
      <c r="V22" s="407">
        <f t="shared" si="53"/>
        <v>0.78459999999999996</v>
      </c>
      <c r="W22" s="408">
        <f t="shared" si="20"/>
        <v>0.21540000000000001</v>
      </c>
      <c r="X22" s="409">
        <f t="shared" si="21"/>
        <v>1210.3148250206668</v>
      </c>
      <c r="Y22" s="405">
        <f>'Table 7 Local Revenue'!AQ22</f>
        <v>9520648.5</v>
      </c>
      <c r="Z22" s="405">
        <f t="shared" si="22"/>
        <v>5128416</v>
      </c>
      <c r="AA22" s="289">
        <f t="shared" si="23"/>
        <v>0</v>
      </c>
      <c r="AB22" s="20">
        <f t="shared" si="24"/>
        <v>6933603.0000000009</v>
      </c>
      <c r="AC22" s="20">
        <f t="shared" si="25"/>
        <v>5128416</v>
      </c>
      <c r="AD22" s="405">
        <f t="shared" si="26"/>
        <v>1900016.5870079999</v>
      </c>
      <c r="AE22" s="410">
        <f t="shared" si="27"/>
        <v>3228399.4129920001</v>
      </c>
      <c r="AF22" s="282">
        <f t="shared" si="28"/>
        <v>0.62949999999999995</v>
      </c>
      <c r="AG22" s="410">
        <f t="shared" si="29"/>
        <v>19229116.912992001</v>
      </c>
      <c r="AH22" s="20">
        <f t="shared" si="30"/>
        <v>5299</v>
      </c>
      <c r="AI22" s="410">
        <f>'Table 4 Level 3'!O20</f>
        <v>472667</v>
      </c>
      <c r="AJ22" s="20">
        <f t="shared" si="10"/>
        <v>130.24717553044917</v>
      </c>
      <c r="AK22" s="410">
        <f t="shared" si="31"/>
        <v>19701783.912992001</v>
      </c>
      <c r="AL22" s="20">
        <f t="shared" si="32"/>
        <v>5428.9842692179664</v>
      </c>
      <c r="AM22" s="534">
        <f>'Table 4 Level 3'!R20</f>
        <v>2482074.92</v>
      </c>
      <c r="AN22" s="535">
        <f t="shared" si="33"/>
        <v>683.95561311656104</v>
      </c>
      <c r="AO22" s="410">
        <f t="shared" si="34"/>
        <v>21711191.832992002</v>
      </c>
      <c r="AP22" s="20">
        <f t="shared" si="35"/>
        <v>5982.6927068040786</v>
      </c>
      <c r="AQ22" s="282">
        <f t="shared" si="36"/>
        <v>0.69516210385006394</v>
      </c>
      <c r="AR22" s="411">
        <f t="shared" si="37"/>
        <v>21</v>
      </c>
      <c r="AS22" s="20">
        <f t="shared" si="38"/>
        <v>9520648.5</v>
      </c>
      <c r="AT22" s="20">
        <f t="shared" si="11"/>
        <v>2623.49</v>
      </c>
      <c r="AU22" s="411">
        <f t="shared" si="39"/>
        <v>53</v>
      </c>
      <c r="AV22" s="282">
        <f t="shared" si="40"/>
        <v>0.30483789614993606</v>
      </c>
      <c r="AW22" s="411">
        <f t="shared" si="41"/>
        <v>31231840.332992002</v>
      </c>
      <c r="AX22" s="412">
        <f t="shared" si="12"/>
        <v>8606.183613389916</v>
      </c>
      <c r="AY22" s="411">
        <f t="shared" si="42"/>
        <v>40</v>
      </c>
      <c r="AZ22" s="20">
        <v>21976176.18928</v>
      </c>
      <c r="BA22" s="289">
        <f t="shared" si="13"/>
        <v>-264984.35628799722</v>
      </c>
      <c r="BB22" s="289">
        <f t="shared" si="43"/>
        <v>16000717.5</v>
      </c>
      <c r="BC22" s="289">
        <v>16327505</v>
      </c>
      <c r="BD22" s="289">
        <f t="shared" si="44"/>
        <v>-326787.5</v>
      </c>
      <c r="BE22" s="289">
        <f t="shared" si="45"/>
        <v>3228399.4129920001</v>
      </c>
      <c r="BF22" s="289">
        <v>3102632.18928</v>
      </c>
      <c r="BG22" s="289">
        <f t="shared" si="46"/>
        <v>125767.22371200006</v>
      </c>
      <c r="BH22" s="289">
        <f t="shared" si="47"/>
        <v>9520648.5</v>
      </c>
      <c r="BI22" s="289">
        <v>9166405</v>
      </c>
      <c r="BJ22" s="289">
        <f t="shared" si="48"/>
        <v>354243.5</v>
      </c>
      <c r="BK22" s="82">
        <f t="shared" si="49"/>
        <v>3629</v>
      </c>
      <c r="BL22" s="82">
        <v>3692</v>
      </c>
      <c r="BM22" s="999">
        <f t="shared" si="50"/>
        <v>-63</v>
      </c>
      <c r="BN22" s="82">
        <f t="shared" si="51"/>
        <v>5290</v>
      </c>
      <c r="BO22" s="82">
        <v>5356</v>
      </c>
      <c r="BP22" s="999">
        <f t="shared" si="52"/>
        <v>-66</v>
      </c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</row>
    <row r="23" spans="1:148" s="5" customFormat="1">
      <c r="A23" s="103">
        <v>16</v>
      </c>
      <c r="B23" s="81" t="s">
        <v>117</v>
      </c>
      <c r="C23" s="621">
        <f>'Table 8 2.1.12 MFP Funded'!AD19</f>
        <v>4787</v>
      </c>
      <c r="D23" s="621">
        <f>'[2]totalled for Table 3'!$AD19</f>
        <v>3020</v>
      </c>
      <c r="E23" s="621">
        <f t="shared" si="3"/>
        <v>664</v>
      </c>
      <c r="F23" s="621">
        <f>'[3]Units-Corrected_for Table 3'!$T27</f>
        <v>1342.5</v>
      </c>
      <c r="G23" s="621">
        <f t="shared" si="4"/>
        <v>81</v>
      </c>
      <c r="H23" s="621">
        <f>[4]Disabling_Exceptionalities!$Z21</f>
        <v>505</v>
      </c>
      <c r="I23" s="621">
        <f t="shared" si="14"/>
        <v>758</v>
      </c>
      <c r="J23" s="621">
        <f>[4]GiftedTalented!$AA21</f>
        <v>175</v>
      </c>
      <c r="K23" s="13">
        <f t="shared" si="15"/>
        <v>105</v>
      </c>
      <c r="L23" s="13">
        <f t="shared" si="5"/>
        <v>2713</v>
      </c>
      <c r="M23" s="65">
        <f t="shared" si="6"/>
        <v>7.2349999999999998E-2</v>
      </c>
      <c r="N23" s="13">
        <f t="shared" si="7"/>
        <v>346</v>
      </c>
      <c r="O23" s="13">
        <f t="shared" si="16"/>
        <v>1954</v>
      </c>
      <c r="P23" s="36">
        <f t="shared" si="8"/>
        <v>6741</v>
      </c>
      <c r="Q23" s="398">
        <f t="shared" si="17"/>
        <v>3855</v>
      </c>
      <c r="R23" s="398">
        <f t="shared" si="9"/>
        <v>25986555</v>
      </c>
      <c r="S23" s="398">
        <f>'Table 6 (Local Deduct Calc.)'!J24</f>
        <v>29639293</v>
      </c>
      <c r="T23" s="398">
        <f t="shared" si="18"/>
        <v>19489916.25</v>
      </c>
      <c r="U23" s="399">
        <f t="shared" si="19"/>
        <v>6496638.75</v>
      </c>
      <c r="V23" s="400">
        <f t="shared" si="53"/>
        <v>0.25</v>
      </c>
      <c r="W23" s="400">
        <f t="shared" si="20"/>
        <v>0.75</v>
      </c>
      <c r="X23" s="401">
        <f t="shared" si="21"/>
        <v>4071.4259974932106</v>
      </c>
      <c r="Y23" s="398">
        <f>'Table 7 Local Revenue'!AQ23</f>
        <v>95838930</v>
      </c>
      <c r="Z23" s="398">
        <f t="shared" si="22"/>
        <v>76349013.75</v>
      </c>
      <c r="AA23" s="288">
        <f t="shared" si="23"/>
        <v>0</v>
      </c>
      <c r="AB23" s="14">
        <f t="shared" si="24"/>
        <v>8835428.7000000011</v>
      </c>
      <c r="AC23" s="14">
        <f t="shared" si="25"/>
        <v>8835428.7000000011</v>
      </c>
      <c r="AD23" s="398">
        <f t="shared" si="26"/>
        <v>11397703.023000002</v>
      </c>
      <c r="AE23" s="402">
        <f t="shared" si="27"/>
        <v>0</v>
      </c>
      <c r="AF23" s="16">
        <f t="shared" si="28"/>
        <v>0</v>
      </c>
      <c r="AG23" s="402">
        <f t="shared" si="29"/>
        <v>6496638.75</v>
      </c>
      <c r="AH23" s="14">
        <f t="shared" si="30"/>
        <v>1357</v>
      </c>
      <c r="AI23" s="402">
        <f>'Table 4 Level 3'!O21</f>
        <v>689831</v>
      </c>
      <c r="AJ23" s="14">
        <f t="shared" si="10"/>
        <v>144.10507624817214</v>
      </c>
      <c r="AK23" s="402">
        <f t="shared" si="31"/>
        <v>7186469.75</v>
      </c>
      <c r="AL23" s="14">
        <f t="shared" si="32"/>
        <v>1501.2470754125757</v>
      </c>
      <c r="AM23" s="532">
        <f>'Table 4 Level 3'!R21</f>
        <v>3976246.088</v>
      </c>
      <c r="AN23" s="533">
        <f t="shared" si="33"/>
        <v>830.63423605598496</v>
      </c>
      <c r="AO23" s="402">
        <f t="shared" si="34"/>
        <v>10472884.838</v>
      </c>
      <c r="AP23" s="14">
        <f t="shared" si="35"/>
        <v>2187.7762352203886</v>
      </c>
      <c r="AQ23" s="16">
        <f t="shared" si="36"/>
        <v>0.26993202770398517</v>
      </c>
      <c r="AR23" s="403">
        <f t="shared" si="37"/>
        <v>69</v>
      </c>
      <c r="AS23" s="14">
        <f t="shared" si="38"/>
        <v>28325344.949999999</v>
      </c>
      <c r="AT23" s="14">
        <f t="shared" si="11"/>
        <v>5917.14</v>
      </c>
      <c r="AU23" s="403">
        <f t="shared" si="39"/>
        <v>5</v>
      </c>
      <c r="AV23" s="16">
        <f t="shared" si="40"/>
        <v>0.73006797229601472</v>
      </c>
      <c r="AW23" s="403">
        <f t="shared" si="41"/>
        <v>38798229.788000003</v>
      </c>
      <c r="AX23" s="404">
        <f t="shared" si="12"/>
        <v>8104.9153515771886</v>
      </c>
      <c r="AY23" s="403">
        <f t="shared" si="42"/>
        <v>59</v>
      </c>
      <c r="AZ23" s="14">
        <v>10289052.25</v>
      </c>
      <c r="BA23" s="288">
        <f t="shared" si="13"/>
        <v>183832.58799999952</v>
      </c>
      <c r="BB23" s="288">
        <f t="shared" si="43"/>
        <v>6496638.75</v>
      </c>
      <c r="BC23" s="288">
        <v>6398336.25</v>
      </c>
      <c r="BD23" s="288">
        <f t="shared" si="44"/>
        <v>98302.5</v>
      </c>
      <c r="BE23" s="288">
        <f t="shared" si="45"/>
        <v>0</v>
      </c>
      <c r="BF23" s="288">
        <v>0</v>
      </c>
      <c r="BG23" s="288">
        <f t="shared" si="46"/>
        <v>0</v>
      </c>
      <c r="BH23" s="288">
        <f t="shared" si="47"/>
        <v>95838930</v>
      </c>
      <c r="BI23" s="288">
        <v>78134850.5</v>
      </c>
      <c r="BJ23" s="288">
        <f t="shared" si="48"/>
        <v>17704079.5</v>
      </c>
      <c r="BK23" s="81">
        <f t="shared" si="49"/>
        <v>4787</v>
      </c>
      <c r="BL23" s="81">
        <v>4677</v>
      </c>
      <c r="BM23" s="998">
        <f t="shared" si="50"/>
        <v>110</v>
      </c>
      <c r="BN23" s="81">
        <f t="shared" si="51"/>
        <v>6741</v>
      </c>
      <c r="BO23" s="81">
        <v>6639</v>
      </c>
      <c r="BP23" s="998">
        <f t="shared" si="52"/>
        <v>102</v>
      </c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</row>
    <row r="24" spans="1:148" s="5" customFormat="1">
      <c r="A24" s="103">
        <v>17</v>
      </c>
      <c r="B24" s="81" t="s">
        <v>118</v>
      </c>
      <c r="C24" s="621">
        <f>'Table 8 2.1.12 MFP Funded'!AD20</f>
        <v>43750</v>
      </c>
      <c r="D24" s="621">
        <f>'[2]totalled for Table 3'!$AD20</f>
        <v>36815</v>
      </c>
      <c r="E24" s="621">
        <f t="shared" si="3"/>
        <v>8099</v>
      </c>
      <c r="F24" s="621">
        <f>'[3]Units-Corrected_for Table 3'!$T28</f>
        <v>13831.5</v>
      </c>
      <c r="G24" s="621">
        <f t="shared" si="4"/>
        <v>830</v>
      </c>
      <c r="H24" s="621">
        <f>[4]Disabling_Exceptionalities!$Z22</f>
        <v>4734</v>
      </c>
      <c r="I24" s="621">
        <f t="shared" si="14"/>
        <v>7101</v>
      </c>
      <c r="J24" s="621">
        <f>[4]GiftedTalented!$AA22</f>
        <v>1746</v>
      </c>
      <c r="K24" s="81">
        <f t="shared" si="15"/>
        <v>1048</v>
      </c>
      <c r="L24" s="13">
        <f t="shared" si="5"/>
        <v>0</v>
      </c>
      <c r="M24" s="65">
        <f t="shared" si="6"/>
        <v>0</v>
      </c>
      <c r="N24" s="13">
        <f t="shared" si="7"/>
        <v>0</v>
      </c>
      <c r="O24" s="13">
        <f t="shared" si="16"/>
        <v>17078</v>
      </c>
      <c r="P24" s="13">
        <f t="shared" si="8"/>
        <v>60828</v>
      </c>
      <c r="Q24" s="398">
        <f t="shared" si="17"/>
        <v>3855</v>
      </c>
      <c r="R24" s="398">
        <f t="shared" si="9"/>
        <v>234491940</v>
      </c>
      <c r="S24" s="398">
        <f>'Table 6 (Local Deduct Calc.)'!J25</f>
        <v>119253541</v>
      </c>
      <c r="T24" s="398">
        <f t="shared" si="18"/>
        <v>119253541</v>
      </c>
      <c r="U24" s="399">
        <f t="shared" si="19"/>
        <v>115238399</v>
      </c>
      <c r="V24" s="400">
        <f t="shared" si="53"/>
        <v>0.4914</v>
      </c>
      <c r="W24" s="400">
        <f t="shared" si="20"/>
        <v>0.50860000000000005</v>
      </c>
      <c r="X24" s="401">
        <f t="shared" si="21"/>
        <v>2725.795222857143</v>
      </c>
      <c r="Y24" s="398">
        <f>'Table 7 Local Revenue'!AQ24</f>
        <v>281602906</v>
      </c>
      <c r="Z24" s="398">
        <f t="shared" si="22"/>
        <v>162349365</v>
      </c>
      <c r="AA24" s="288">
        <f t="shared" si="23"/>
        <v>0</v>
      </c>
      <c r="AB24" s="14">
        <f t="shared" si="24"/>
        <v>79727259.600000009</v>
      </c>
      <c r="AC24" s="14">
        <f t="shared" si="25"/>
        <v>79727259.600000009</v>
      </c>
      <c r="AD24" s="398">
        <f t="shared" si="26"/>
        <v>69744768.880003214</v>
      </c>
      <c r="AE24" s="402">
        <f t="shared" si="27"/>
        <v>9982490.7199967951</v>
      </c>
      <c r="AF24" s="16">
        <f t="shared" si="28"/>
        <v>0.12520000000000001</v>
      </c>
      <c r="AG24" s="402">
        <f t="shared" si="29"/>
        <v>125220889.7199968</v>
      </c>
      <c r="AH24" s="14">
        <f t="shared" si="30"/>
        <v>2862</v>
      </c>
      <c r="AI24" s="402">
        <f>'Table 4 Level 3'!O22</f>
        <v>22941622</v>
      </c>
      <c r="AJ24" s="14">
        <f t="shared" si="10"/>
        <v>524.37993142857147</v>
      </c>
      <c r="AK24" s="402">
        <f t="shared" si="31"/>
        <v>148162511.71999681</v>
      </c>
      <c r="AL24" s="14">
        <f t="shared" si="32"/>
        <v>3386.5716964570697</v>
      </c>
      <c r="AM24" s="532">
        <f>'Table 4 Level 3'!R22</f>
        <v>57996890.769150198</v>
      </c>
      <c r="AN24" s="533">
        <f t="shared" si="33"/>
        <v>1325.643217580576</v>
      </c>
      <c r="AO24" s="402">
        <f t="shared" si="34"/>
        <v>183217780.48914701</v>
      </c>
      <c r="AP24" s="14">
        <f t="shared" si="35"/>
        <v>4187.8349826090744</v>
      </c>
      <c r="AQ24" s="16">
        <f t="shared" si="36"/>
        <v>0.47937849472657218</v>
      </c>
      <c r="AR24" s="403">
        <f t="shared" si="37"/>
        <v>59</v>
      </c>
      <c r="AS24" s="14">
        <f t="shared" si="38"/>
        <v>198980800.59999999</v>
      </c>
      <c r="AT24" s="14">
        <f t="shared" si="11"/>
        <v>4548.13</v>
      </c>
      <c r="AU24" s="403">
        <f t="shared" si="39"/>
        <v>12</v>
      </c>
      <c r="AV24" s="16">
        <f t="shared" si="40"/>
        <v>0.52062150527342788</v>
      </c>
      <c r="AW24" s="403">
        <f t="shared" si="41"/>
        <v>382198581.08914697</v>
      </c>
      <c r="AX24" s="404">
        <f t="shared" si="12"/>
        <v>8735.9675677519299</v>
      </c>
      <c r="AY24" s="403">
        <f t="shared" si="42"/>
        <v>32</v>
      </c>
      <c r="AZ24" s="14">
        <v>175810122.30855921</v>
      </c>
      <c r="BA24" s="288">
        <f t="shared" si="13"/>
        <v>7407658.1805877984</v>
      </c>
      <c r="BB24" s="288">
        <f t="shared" si="43"/>
        <v>115238399</v>
      </c>
      <c r="BC24" s="288">
        <v>109532344</v>
      </c>
      <c r="BD24" s="288">
        <f t="shared" si="44"/>
        <v>5706055</v>
      </c>
      <c r="BE24" s="288">
        <f t="shared" si="45"/>
        <v>9982490.7199967951</v>
      </c>
      <c r="BF24" s="288">
        <v>7522414.2082692087</v>
      </c>
      <c r="BG24" s="288">
        <f t="shared" si="46"/>
        <v>2460076.5117275864</v>
      </c>
      <c r="BH24" s="288">
        <f t="shared" si="47"/>
        <v>281602906</v>
      </c>
      <c r="BI24" s="288">
        <v>280201144</v>
      </c>
      <c r="BJ24" s="288">
        <f t="shared" si="48"/>
        <v>1401762</v>
      </c>
      <c r="BK24" s="511">
        <f t="shared" si="49"/>
        <v>43750</v>
      </c>
      <c r="BL24" s="511">
        <v>43218</v>
      </c>
      <c r="BM24" s="1001">
        <f t="shared" si="50"/>
        <v>532</v>
      </c>
      <c r="BN24" s="511">
        <f t="shared" si="51"/>
        <v>60828</v>
      </c>
      <c r="BO24" s="511">
        <v>59911</v>
      </c>
      <c r="BP24" s="1001">
        <f t="shared" si="52"/>
        <v>917</v>
      </c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</row>
    <row r="25" spans="1:148" s="5" customFormat="1">
      <c r="A25" s="103">
        <v>18</v>
      </c>
      <c r="B25" s="81" t="s">
        <v>119</v>
      </c>
      <c r="C25" s="621">
        <f>'Table 8 2.1.12 MFP Funded'!AD21</f>
        <v>1145</v>
      </c>
      <c r="D25" s="621">
        <f>'[2]totalled for Table 3'!$AD21</f>
        <v>1089</v>
      </c>
      <c r="E25" s="621">
        <f t="shared" si="3"/>
        <v>240</v>
      </c>
      <c r="F25" s="621">
        <f>'[3]Units-Corrected_for Table 3'!$T29</f>
        <v>451.5</v>
      </c>
      <c r="G25" s="621">
        <f t="shared" si="4"/>
        <v>27</v>
      </c>
      <c r="H25" s="621">
        <f>[4]Disabling_Exceptionalities!$Z23</f>
        <v>135</v>
      </c>
      <c r="I25" s="621">
        <f t="shared" si="14"/>
        <v>203</v>
      </c>
      <c r="J25" s="621">
        <f>[4]GiftedTalented!$AA23</f>
        <v>0</v>
      </c>
      <c r="K25" s="13">
        <f t="shared" si="15"/>
        <v>0</v>
      </c>
      <c r="L25" s="13">
        <f t="shared" si="5"/>
        <v>6355</v>
      </c>
      <c r="M25" s="65">
        <f t="shared" si="6"/>
        <v>0.16947000000000001</v>
      </c>
      <c r="N25" s="13">
        <f t="shared" si="7"/>
        <v>194</v>
      </c>
      <c r="O25" s="13">
        <f t="shared" si="16"/>
        <v>664</v>
      </c>
      <c r="P25" s="13">
        <f t="shared" si="8"/>
        <v>1809</v>
      </c>
      <c r="Q25" s="398">
        <f t="shared" si="17"/>
        <v>3855</v>
      </c>
      <c r="R25" s="398">
        <f t="shared" si="9"/>
        <v>6973695</v>
      </c>
      <c r="S25" s="398">
        <f>'Table 6 (Local Deduct Calc.)'!J26</f>
        <v>1160146.5</v>
      </c>
      <c r="T25" s="398">
        <f t="shared" si="18"/>
        <v>1160146.5</v>
      </c>
      <c r="U25" s="399">
        <f t="shared" si="19"/>
        <v>5813548.5</v>
      </c>
      <c r="V25" s="400">
        <f t="shared" si="53"/>
        <v>0.83360000000000001</v>
      </c>
      <c r="W25" s="400">
        <f t="shared" si="20"/>
        <v>0.16639999999999999</v>
      </c>
      <c r="X25" s="401">
        <f t="shared" si="21"/>
        <v>1013.228384279476</v>
      </c>
      <c r="Y25" s="398">
        <f>'Table 7 Local Revenue'!AQ25</f>
        <v>2070491.5</v>
      </c>
      <c r="Z25" s="398">
        <f t="shared" si="22"/>
        <v>910345</v>
      </c>
      <c r="AA25" s="288">
        <f t="shared" si="23"/>
        <v>0</v>
      </c>
      <c r="AB25" s="14">
        <f t="shared" si="24"/>
        <v>2371056.3000000003</v>
      </c>
      <c r="AC25" s="14">
        <f t="shared" si="25"/>
        <v>910345</v>
      </c>
      <c r="AD25" s="398">
        <f t="shared" si="26"/>
        <v>260548.02175999997</v>
      </c>
      <c r="AE25" s="402">
        <f t="shared" si="27"/>
        <v>649796.97824000008</v>
      </c>
      <c r="AF25" s="16">
        <f t="shared" si="28"/>
        <v>0.71379999999999999</v>
      </c>
      <c r="AG25" s="402">
        <f t="shared" si="29"/>
        <v>6463345.4782400001</v>
      </c>
      <c r="AH25" s="14">
        <f t="shared" si="30"/>
        <v>5645</v>
      </c>
      <c r="AI25" s="402">
        <f>'Table 4 Level 3'!O23</f>
        <v>175433</v>
      </c>
      <c r="AJ25" s="14">
        <f t="shared" si="10"/>
        <v>153.21659388646287</v>
      </c>
      <c r="AK25" s="402">
        <f t="shared" si="31"/>
        <v>6638778.4782400001</v>
      </c>
      <c r="AL25" s="14">
        <f t="shared" si="32"/>
        <v>5798.0598063231446</v>
      </c>
      <c r="AM25" s="532">
        <f>'Table 4 Level 3'!R23</f>
        <v>1140771.8904414154</v>
      </c>
      <c r="AN25" s="533">
        <f t="shared" si="33"/>
        <v>996.30732789643264</v>
      </c>
      <c r="AO25" s="402">
        <f t="shared" si="34"/>
        <v>7604117.3686814159</v>
      </c>
      <c r="AP25" s="14">
        <f t="shared" si="35"/>
        <v>6641.1505403331139</v>
      </c>
      <c r="AQ25" s="16">
        <f t="shared" si="36"/>
        <v>0.78598705869106689</v>
      </c>
      <c r="AR25" s="403">
        <f t="shared" si="37"/>
        <v>4</v>
      </c>
      <c r="AS25" s="14">
        <f t="shared" si="38"/>
        <v>2070491.5</v>
      </c>
      <c r="AT25" s="14">
        <f t="shared" si="11"/>
        <v>1808.29</v>
      </c>
      <c r="AU25" s="403">
        <f t="shared" si="39"/>
        <v>65</v>
      </c>
      <c r="AV25" s="16">
        <f t="shared" si="40"/>
        <v>0.21401294130893314</v>
      </c>
      <c r="AW25" s="403">
        <f t="shared" si="41"/>
        <v>9674608.8686814159</v>
      </c>
      <c r="AX25" s="404">
        <f t="shared" si="12"/>
        <v>8449.44005998377</v>
      </c>
      <c r="AY25" s="403">
        <f t="shared" si="42"/>
        <v>47</v>
      </c>
      <c r="AZ25" s="14">
        <v>7693588.7673519999</v>
      </c>
      <c r="BA25" s="288">
        <f t="shared" si="13"/>
        <v>-89471.398670583963</v>
      </c>
      <c r="BB25" s="288">
        <f t="shared" si="43"/>
        <v>5813548.5</v>
      </c>
      <c r="BC25" s="288">
        <v>5891394</v>
      </c>
      <c r="BD25" s="288">
        <f t="shared" si="44"/>
        <v>-77845.5</v>
      </c>
      <c r="BE25" s="288">
        <f t="shared" si="45"/>
        <v>649796.97824000008</v>
      </c>
      <c r="BF25" s="288">
        <v>619488.767352</v>
      </c>
      <c r="BG25" s="288">
        <f t="shared" si="46"/>
        <v>30308.210888000089</v>
      </c>
      <c r="BH25" s="288">
        <f t="shared" si="47"/>
        <v>2070491.5</v>
      </c>
      <c r="BI25" s="288">
        <v>2080927</v>
      </c>
      <c r="BJ25" s="288">
        <f t="shared" si="48"/>
        <v>-10435.5</v>
      </c>
      <c r="BK25" s="81">
        <f t="shared" si="49"/>
        <v>1145</v>
      </c>
      <c r="BL25" s="81">
        <v>1163</v>
      </c>
      <c r="BM25" s="998">
        <f t="shared" si="50"/>
        <v>-18</v>
      </c>
      <c r="BN25" s="81">
        <f t="shared" si="51"/>
        <v>1809</v>
      </c>
      <c r="BO25" s="81">
        <v>1841</v>
      </c>
      <c r="BP25" s="998">
        <f t="shared" si="52"/>
        <v>-32</v>
      </c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</row>
    <row r="26" spans="1:148" s="5" customFormat="1">
      <c r="A26" s="103">
        <v>19</v>
      </c>
      <c r="B26" s="81" t="s">
        <v>120</v>
      </c>
      <c r="C26" s="621">
        <f>'Table 8 2.1.12 MFP Funded'!AD22</f>
        <v>1956</v>
      </c>
      <c r="D26" s="621">
        <f>'[2]totalled for Table 3'!$AD22</f>
        <v>1692</v>
      </c>
      <c r="E26" s="621">
        <f t="shared" si="3"/>
        <v>372</v>
      </c>
      <c r="F26" s="621">
        <f>'[3]Units-Corrected_for Table 3'!$T30</f>
        <v>674</v>
      </c>
      <c r="G26" s="621">
        <f t="shared" si="4"/>
        <v>40</v>
      </c>
      <c r="H26" s="621">
        <f>[4]Disabling_Exceptionalities!$Z24</f>
        <v>284</v>
      </c>
      <c r="I26" s="621">
        <f t="shared" si="14"/>
        <v>426</v>
      </c>
      <c r="J26" s="621">
        <f>[4]GiftedTalented!$AA24</f>
        <v>19</v>
      </c>
      <c r="K26" s="13">
        <f t="shared" si="15"/>
        <v>11</v>
      </c>
      <c r="L26" s="13">
        <f t="shared" si="5"/>
        <v>5544</v>
      </c>
      <c r="M26" s="65">
        <f t="shared" si="6"/>
        <v>0.14784</v>
      </c>
      <c r="N26" s="13">
        <f t="shared" si="7"/>
        <v>289</v>
      </c>
      <c r="O26" s="13">
        <f t="shared" si="16"/>
        <v>1138</v>
      </c>
      <c r="P26" s="13">
        <f t="shared" si="8"/>
        <v>3094</v>
      </c>
      <c r="Q26" s="398">
        <f t="shared" si="17"/>
        <v>3855</v>
      </c>
      <c r="R26" s="398">
        <f t="shared" si="9"/>
        <v>11927370</v>
      </c>
      <c r="S26" s="398">
        <f>'Table 6 (Local Deduct Calc.)'!J27</f>
        <v>2887255</v>
      </c>
      <c r="T26" s="398">
        <f t="shared" si="18"/>
        <v>2887255</v>
      </c>
      <c r="U26" s="399">
        <f t="shared" si="19"/>
        <v>9040115</v>
      </c>
      <c r="V26" s="400">
        <f t="shared" si="53"/>
        <v>0.75790000000000002</v>
      </c>
      <c r="W26" s="400">
        <f t="shared" si="20"/>
        <v>0.24210000000000001</v>
      </c>
      <c r="X26" s="401">
        <f t="shared" si="21"/>
        <v>1476.1017382413088</v>
      </c>
      <c r="Y26" s="398">
        <f>'Table 7 Local Revenue'!AQ26</f>
        <v>4434446</v>
      </c>
      <c r="Z26" s="398">
        <f t="shared" si="22"/>
        <v>1547191</v>
      </c>
      <c r="AA26" s="288">
        <f t="shared" si="23"/>
        <v>0</v>
      </c>
      <c r="AB26" s="14">
        <f t="shared" si="24"/>
        <v>4055305.8000000003</v>
      </c>
      <c r="AC26" s="14">
        <f t="shared" si="25"/>
        <v>1547191</v>
      </c>
      <c r="AD26" s="398">
        <f t="shared" si="26"/>
        <v>644268.89869199996</v>
      </c>
      <c r="AE26" s="402">
        <f t="shared" si="27"/>
        <v>902922.10130800004</v>
      </c>
      <c r="AF26" s="16">
        <f t="shared" si="28"/>
        <v>0.58360000000000001</v>
      </c>
      <c r="AG26" s="402">
        <f t="shared" si="29"/>
        <v>9943037.1013079993</v>
      </c>
      <c r="AH26" s="14">
        <f t="shared" si="30"/>
        <v>5083</v>
      </c>
      <c r="AI26" s="402">
        <f>'Table 4 Level 3'!O24</f>
        <v>265525</v>
      </c>
      <c r="AJ26" s="14">
        <f t="shared" si="10"/>
        <v>135.74897750511246</v>
      </c>
      <c r="AK26" s="402">
        <f t="shared" si="31"/>
        <v>10208562.101307999</v>
      </c>
      <c r="AL26" s="14">
        <f t="shared" si="32"/>
        <v>5219.1012787873206</v>
      </c>
      <c r="AM26" s="532">
        <f>'Table 4 Level 3'!R24</f>
        <v>2035731.193</v>
      </c>
      <c r="AN26" s="533">
        <f t="shared" si="33"/>
        <v>1040.7623686094068</v>
      </c>
      <c r="AO26" s="402">
        <f t="shared" si="34"/>
        <v>11978768.294307999</v>
      </c>
      <c r="AP26" s="14">
        <f t="shared" si="35"/>
        <v>6124.1146698916154</v>
      </c>
      <c r="AQ26" s="16">
        <f t="shared" si="36"/>
        <v>0.72982464491809884</v>
      </c>
      <c r="AR26" s="403">
        <f t="shared" si="37"/>
        <v>12</v>
      </c>
      <c r="AS26" s="14">
        <f t="shared" si="38"/>
        <v>4434446</v>
      </c>
      <c r="AT26" s="14">
        <f t="shared" si="11"/>
        <v>2267.1</v>
      </c>
      <c r="AU26" s="403">
        <f t="shared" si="39"/>
        <v>56</v>
      </c>
      <c r="AV26" s="16">
        <f t="shared" si="40"/>
        <v>0.27017535508190121</v>
      </c>
      <c r="AW26" s="403">
        <f t="shared" si="41"/>
        <v>16413214.294307999</v>
      </c>
      <c r="AX26" s="404">
        <f t="shared" si="12"/>
        <v>8391.2138518957054</v>
      </c>
      <c r="AY26" s="403">
        <f t="shared" si="42"/>
        <v>49</v>
      </c>
      <c r="AZ26" s="14">
        <v>11962583.051328</v>
      </c>
      <c r="BA26" s="288">
        <f t="shared" si="13"/>
        <v>16185.242979999632</v>
      </c>
      <c r="BB26" s="288">
        <f t="shared" si="43"/>
        <v>9040115</v>
      </c>
      <c r="BC26" s="288">
        <v>9090310.5</v>
      </c>
      <c r="BD26" s="288">
        <f t="shared" si="44"/>
        <v>-50195.5</v>
      </c>
      <c r="BE26" s="288">
        <f t="shared" si="45"/>
        <v>902922.10130800004</v>
      </c>
      <c r="BF26" s="288">
        <v>831976.55132800003</v>
      </c>
      <c r="BG26" s="288">
        <f t="shared" si="46"/>
        <v>70945.549980000011</v>
      </c>
      <c r="BH26" s="288">
        <f t="shared" si="47"/>
        <v>4434446</v>
      </c>
      <c r="BI26" s="288">
        <v>4225743.5</v>
      </c>
      <c r="BJ26" s="288">
        <f t="shared" si="48"/>
        <v>208702.5</v>
      </c>
      <c r="BK26" s="81">
        <f t="shared" si="49"/>
        <v>1956</v>
      </c>
      <c r="BL26" s="81">
        <v>1958</v>
      </c>
      <c r="BM26" s="998">
        <f t="shared" si="50"/>
        <v>-2</v>
      </c>
      <c r="BN26" s="81">
        <f t="shared" si="51"/>
        <v>3094</v>
      </c>
      <c r="BO26" s="81">
        <v>3090</v>
      </c>
      <c r="BP26" s="998">
        <f t="shared" si="52"/>
        <v>4</v>
      </c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</row>
    <row r="27" spans="1:148" s="21" customFormat="1">
      <c r="A27" s="104">
        <v>20</v>
      </c>
      <c r="B27" s="82" t="s">
        <v>121</v>
      </c>
      <c r="C27" s="82">
        <f>'Table 8 2.1.12 MFP Funded'!AD23</f>
        <v>5819</v>
      </c>
      <c r="D27" s="82">
        <f>'[2]totalled for Table 3'!$AD23</f>
        <v>4677</v>
      </c>
      <c r="E27" s="82">
        <f t="shared" si="3"/>
        <v>1029</v>
      </c>
      <c r="F27" s="82">
        <f>'[3]Units-Corrected_for Table 3'!$T31</f>
        <v>1941</v>
      </c>
      <c r="G27" s="82">
        <f t="shared" si="4"/>
        <v>116</v>
      </c>
      <c r="H27" s="82">
        <f>[4]Disabling_Exceptionalities!$Z25</f>
        <v>829</v>
      </c>
      <c r="I27" s="82">
        <f t="shared" si="14"/>
        <v>1244</v>
      </c>
      <c r="J27" s="82">
        <f>[4]GiftedTalented!$AA25</f>
        <v>68</v>
      </c>
      <c r="K27" s="19">
        <f t="shared" si="15"/>
        <v>41</v>
      </c>
      <c r="L27" s="19">
        <f t="shared" si="5"/>
        <v>1681</v>
      </c>
      <c r="M27" s="66">
        <f t="shared" si="6"/>
        <v>4.4830000000000002E-2</v>
      </c>
      <c r="N27" s="19">
        <f t="shared" si="7"/>
        <v>261</v>
      </c>
      <c r="O27" s="19">
        <f t="shared" si="16"/>
        <v>2691</v>
      </c>
      <c r="P27" s="13">
        <f t="shared" si="8"/>
        <v>8510</v>
      </c>
      <c r="Q27" s="405">
        <f t="shared" si="17"/>
        <v>3855</v>
      </c>
      <c r="R27" s="405">
        <f t="shared" si="9"/>
        <v>32806050</v>
      </c>
      <c r="S27" s="405">
        <f>'Table 6 (Local Deduct Calc.)'!J28</f>
        <v>6313323.5</v>
      </c>
      <c r="T27" s="405">
        <f t="shared" si="18"/>
        <v>6313323.5</v>
      </c>
      <c r="U27" s="406">
        <f t="shared" si="19"/>
        <v>26492726.5</v>
      </c>
      <c r="V27" s="407">
        <f t="shared" si="53"/>
        <v>0.80759999999999998</v>
      </c>
      <c r="W27" s="408">
        <f t="shared" si="20"/>
        <v>0.19239999999999999</v>
      </c>
      <c r="X27" s="409">
        <f t="shared" si="21"/>
        <v>1084.9499054820417</v>
      </c>
      <c r="Y27" s="405">
        <f>'Table 7 Local Revenue'!AQ27</f>
        <v>13070209.5</v>
      </c>
      <c r="Z27" s="405">
        <f t="shared" si="22"/>
        <v>6756886</v>
      </c>
      <c r="AA27" s="289">
        <f t="shared" si="23"/>
        <v>0</v>
      </c>
      <c r="AB27" s="20">
        <f t="shared" si="24"/>
        <v>11154057</v>
      </c>
      <c r="AC27" s="20">
        <f t="shared" si="25"/>
        <v>6756886</v>
      </c>
      <c r="AD27" s="405">
        <f t="shared" si="26"/>
        <v>2236042.7702080002</v>
      </c>
      <c r="AE27" s="410">
        <f t="shared" si="27"/>
        <v>4520843.2297919998</v>
      </c>
      <c r="AF27" s="282">
        <f t="shared" si="28"/>
        <v>0.66910000000000003</v>
      </c>
      <c r="AG27" s="410">
        <f t="shared" si="29"/>
        <v>31013569.729791999</v>
      </c>
      <c r="AH27" s="20">
        <f t="shared" si="30"/>
        <v>5330</v>
      </c>
      <c r="AI27" s="410">
        <f>'Table 4 Level 3'!O25</f>
        <v>652148</v>
      </c>
      <c r="AJ27" s="20">
        <f t="shared" si="10"/>
        <v>112.07217735006014</v>
      </c>
      <c r="AK27" s="410">
        <f t="shared" si="31"/>
        <v>31665717.729791999</v>
      </c>
      <c r="AL27" s="20">
        <f t="shared" si="32"/>
        <v>5441.7799844976798</v>
      </c>
      <c r="AM27" s="534">
        <f>'Table 4 Level 3'!R25</f>
        <v>4062543.6770000001</v>
      </c>
      <c r="AN27" s="535">
        <f t="shared" si="33"/>
        <v>698.15151692730717</v>
      </c>
      <c r="AO27" s="410">
        <f t="shared" si="34"/>
        <v>35076113.406792</v>
      </c>
      <c r="AP27" s="20">
        <f t="shared" si="35"/>
        <v>6027.8593240749269</v>
      </c>
      <c r="AQ27" s="282">
        <f t="shared" si="36"/>
        <v>0.72853151163167673</v>
      </c>
      <c r="AR27" s="411">
        <f t="shared" si="37"/>
        <v>13</v>
      </c>
      <c r="AS27" s="20">
        <f t="shared" si="38"/>
        <v>13070209.5</v>
      </c>
      <c r="AT27" s="20">
        <f t="shared" si="11"/>
        <v>2246.13</v>
      </c>
      <c r="AU27" s="411">
        <f t="shared" si="39"/>
        <v>58</v>
      </c>
      <c r="AV27" s="282">
        <f t="shared" si="40"/>
        <v>0.27146848836832327</v>
      </c>
      <c r="AW27" s="411">
        <f t="shared" si="41"/>
        <v>48146322.906792</v>
      </c>
      <c r="AX27" s="412">
        <f t="shared" si="12"/>
        <v>8273.985720362949</v>
      </c>
      <c r="AY27" s="411">
        <f t="shared" si="42"/>
        <v>56</v>
      </c>
      <c r="AZ27" s="20">
        <v>34332859.735444002</v>
      </c>
      <c r="BA27" s="289">
        <f t="shared" si="13"/>
        <v>743253.67134799808</v>
      </c>
      <c r="BB27" s="289">
        <f t="shared" si="43"/>
        <v>26492726.5</v>
      </c>
      <c r="BC27" s="289">
        <v>25991586.5</v>
      </c>
      <c r="BD27" s="289">
        <f t="shared" si="44"/>
        <v>501140</v>
      </c>
      <c r="BE27" s="289">
        <f t="shared" si="45"/>
        <v>4520843.2297919998</v>
      </c>
      <c r="BF27" s="289">
        <v>4342980.235444</v>
      </c>
      <c r="BG27" s="289">
        <f t="shared" si="46"/>
        <v>177862.9943479998</v>
      </c>
      <c r="BH27" s="289">
        <f t="shared" si="47"/>
        <v>13070209.5</v>
      </c>
      <c r="BI27" s="289">
        <v>12789964.5</v>
      </c>
      <c r="BJ27" s="289">
        <f t="shared" si="48"/>
        <v>280245</v>
      </c>
      <c r="BK27" s="82">
        <f t="shared" si="49"/>
        <v>5819</v>
      </c>
      <c r="BL27" s="82">
        <v>5699</v>
      </c>
      <c r="BM27" s="999">
        <f t="shared" si="50"/>
        <v>120</v>
      </c>
      <c r="BN27" s="82">
        <f t="shared" si="51"/>
        <v>8510</v>
      </c>
      <c r="BO27" s="82">
        <v>8368</v>
      </c>
      <c r="BP27" s="999">
        <f t="shared" si="52"/>
        <v>142</v>
      </c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</row>
    <row r="28" spans="1:148" s="5" customFormat="1">
      <c r="A28" s="103">
        <v>21</v>
      </c>
      <c r="B28" s="81" t="s">
        <v>122</v>
      </c>
      <c r="C28" s="81">
        <f>'Table 8 2.1.12 MFP Funded'!AD24</f>
        <v>3038</v>
      </c>
      <c r="D28" s="81">
        <f>'[2]totalled for Table 3'!$AD24</f>
        <v>2461</v>
      </c>
      <c r="E28" s="81">
        <f t="shared" si="3"/>
        <v>541</v>
      </c>
      <c r="F28" s="81">
        <f>'[3]Units-Corrected_for Table 3'!$T32</f>
        <v>1214.5</v>
      </c>
      <c r="G28" s="81">
        <f t="shared" si="4"/>
        <v>73</v>
      </c>
      <c r="H28" s="81">
        <f>[4]Disabling_Exceptionalities!$Z26</f>
        <v>405</v>
      </c>
      <c r="I28" s="81">
        <f t="shared" si="14"/>
        <v>608</v>
      </c>
      <c r="J28" s="81">
        <f>[4]GiftedTalented!$AA26</f>
        <v>34</v>
      </c>
      <c r="K28" s="13">
        <f t="shared" si="15"/>
        <v>20</v>
      </c>
      <c r="L28" s="13">
        <f t="shared" si="5"/>
        <v>4462</v>
      </c>
      <c r="M28" s="65">
        <f t="shared" si="6"/>
        <v>0.11899</v>
      </c>
      <c r="N28" s="13">
        <f t="shared" si="7"/>
        <v>361</v>
      </c>
      <c r="O28" s="13">
        <f t="shared" si="16"/>
        <v>1603</v>
      </c>
      <c r="P28" s="36">
        <f t="shared" si="8"/>
        <v>4641</v>
      </c>
      <c r="Q28" s="398">
        <f t="shared" si="17"/>
        <v>3855</v>
      </c>
      <c r="R28" s="398">
        <f t="shared" si="9"/>
        <v>17891055</v>
      </c>
      <c r="S28" s="398">
        <f>'Table 6 (Local Deduct Calc.)'!J29</f>
        <v>3094082.5</v>
      </c>
      <c r="T28" s="398">
        <f t="shared" si="18"/>
        <v>3094082.5</v>
      </c>
      <c r="U28" s="399">
        <f t="shared" si="19"/>
        <v>14796972.5</v>
      </c>
      <c r="V28" s="400">
        <f t="shared" si="53"/>
        <v>0.82709999999999995</v>
      </c>
      <c r="W28" s="400">
        <f t="shared" si="20"/>
        <v>0.1729</v>
      </c>
      <c r="X28" s="401">
        <f t="shared" si="21"/>
        <v>1018.4603357472021</v>
      </c>
      <c r="Y28" s="398">
        <f>'Table 7 Local Revenue'!AQ28</f>
        <v>6174410.5</v>
      </c>
      <c r="Z28" s="398">
        <f t="shared" si="22"/>
        <v>3080328</v>
      </c>
      <c r="AA28" s="288">
        <f t="shared" si="23"/>
        <v>0</v>
      </c>
      <c r="AB28" s="14">
        <f t="shared" si="24"/>
        <v>6082958.7000000002</v>
      </c>
      <c r="AC28" s="14">
        <f t="shared" si="25"/>
        <v>3080328</v>
      </c>
      <c r="AD28" s="398">
        <f t="shared" si="26"/>
        <v>916052.5832639999</v>
      </c>
      <c r="AE28" s="402">
        <f t="shared" si="27"/>
        <v>2164275.4167360002</v>
      </c>
      <c r="AF28" s="16">
        <f t="shared" si="28"/>
        <v>0.7026</v>
      </c>
      <c r="AG28" s="402">
        <f t="shared" si="29"/>
        <v>16961247.916735999</v>
      </c>
      <c r="AH28" s="14">
        <f t="shared" si="30"/>
        <v>5583</v>
      </c>
      <c r="AI28" s="402">
        <f>'Table 4 Level 3'!O26</f>
        <v>412406</v>
      </c>
      <c r="AJ28" s="14">
        <f t="shared" si="10"/>
        <v>135.74917709019093</v>
      </c>
      <c r="AK28" s="402">
        <f t="shared" si="31"/>
        <v>17373653.916735999</v>
      </c>
      <c r="AL28" s="14">
        <f t="shared" si="32"/>
        <v>5718.7800910915075</v>
      </c>
      <c r="AM28" s="532">
        <f>'Table 4 Level 3'!R26</f>
        <v>2258667.4783403138</v>
      </c>
      <c r="AN28" s="533">
        <f t="shared" si="33"/>
        <v>743.47184935494204</v>
      </c>
      <c r="AO28" s="402">
        <f t="shared" si="34"/>
        <v>19219915.395076312</v>
      </c>
      <c r="AP28" s="14">
        <f t="shared" si="35"/>
        <v>6326.5027633562577</v>
      </c>
      <c r="AQ28" s="16">
        <f t="shared" si="36"/>
        <v>0.75685865710665889</v>
      </c>
      <c r="AR28" s="403">
        <f t="shared" si="37"/>
        <v>9</v>
      </c>
      <c r="AS28" s="14">
        <f t="shared" si="38"/>
        <v>6174410.5</v>
      </c>
      <c r="AT28" s="14">
        <f t="shared" si="11"/>
        <v>2032.39</v>
      </c>
      <c r="AU28" s="403">
        <f t="shared" si="39"/>
        <v>60</v>
      </c>
      <c r="AV28" s="16">
        <f t="shared" si="40"/>
        <v>0.24314134289334108</v>
      </c>
      <c r="AW28" s="403">
        <f t="shared" si="41"/>
        <v>25394325.895076312</v>
      </c>
      <c r="AX28" s="404">
        <f t="shared" si="12"/>
        <v>8358.8959496630396</v>
      </c>
      <c r="AY28" s="403">
        <f t="shared" si="42"/>
        <v>50</v>
      </c>
      <c r="AZ28" s="14">
        <v>18077881.655280001</v>
      </c>
      <c r="BA28" s="288">
        <f t="shared" si="13"/>
        <v>1142033.7397963107</v>
      </c>
      <c r="BB28" s="288">
        <f t="shared" si="43"/>
        <v>14796972.5</v>
      </c>
      <c r="BC28" s="288">
        <v>13880268</v>
      </c>
      <c r="BD28" s="288">
        <f t="shared" si="44"/>
        <v>916704.5</v>
      </c>
      <c r="BE28" s="288">
        <f t="shared" si="45"/>
        <v>2164275.4167360002</v>
      </c>
      <c r="BF28" s="288">
        <v>2029963.6552800001</v>
      </c>
      <c r="BG28" s="288">
        <f t="shared" si="46"/>
        <v>134311.76145600015</v>
      </c>
      <c r="BH28" s="288">
        <f t="shared" si="47"/>
        <v>6174410.5</v>
      </c>
      <c r="BI28" s="288">
        <v>6081817</v>
      </c>
      <c r="BJ28" s="288">
        <f t="shared" si="48"/>
        <v>92593.5</v>
      </c>
      <c r="BK28" s="81">
        <f t="shared" si="49"/>
        <v>3038</v>
      </c>
      <c r="BL28" s="81">
        <v>2902</v>
      </c>
      <c r="BM28" s="998">
        <f t="shared" si="50"/>
        <v>136</v>
      </c>
      <c r="BN28" s="81">
        <f t="shared" si="51"/>
        <v>4641</v>
      </c>
      <c r="BO28" s="81">
        <v>4409</v>
      </c>
      <c r="BP28" s="998">
        <f t="shared" si="52"/>
        <v>232</v>
      </c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</row>
    <row r="29" spans="1:148" s="5" customFormat="1">
      <c r="A29" s="103">
        <v>22</v>
      </c>
      <c r="B29" s="81" t="s">
        <v>123</v>
      </c>
      <c r="C29" s="81">
        <f>'Table 8 2.1.12 MFP Funded'!AD25</f>
        <v>3281</v>
      </c>
      <c r="D29" s="81">
        <f>'[2]totalled for Table 3'!$AD25</f>
        <v>2177</v>
      </c>
      <c r="E29" s="81">
        <f t="shared" si="3"/>
        <v>479</v>
      </c>
      <c r="F29" s="81">
        <f>'[3]Units-Corrected_for Table 3'!$T33</f>
        <v>839.5</v>
      </c>
      <c r="G29" s="81">
        <f t="shared" si="4"/>
        <v>50</v>
      </c>
      <c r="H29" s="81">
        <f>[4]Disabling_Exceptionalities!$Z27</f>
        <v>520</v>
      </c>
      <c r="I29" s="81">
        <f t="shared" si="14"/>
        <v>780</v>
      </c>
      <c r="J29" s="81">
        <f>[4]GiftedTalented!$AA27</f>
        <v>25</v>
      </c>
      <c r="K29" s="13">
        <f t="shared" si="15"/>
        <v>15</v>
      </c>
      <c r="L29" s="13">
        <f t="shared" si="5"/>
        <v>4219</v>
      </c>
      <c r="M29" s="65">
        <f t="shared" si="6"/>
        <v>0.11251</v>
      </c>
      <c r="N29" s="13">
        <f t="shared" si="7"/>
        <v>369</v>
      </c>
      <c r="O29" s="13">
        <f t="shared" si="16"/>
        <v>1693</v>
      </c>
      <c r="P29" s="13">
        <f t="shared" si="8"/>
        <v>4974</v>
      </c>
      <c r="Q29" s="398">
        <f t="shared" si="17"/>
        <v>3855</v>
      </c>
      <c r="R29" s="398">
        <f t="shared" si="9"/>
        <v>19174770</v>
      </c>
      <c r="S29" s="398">
        <f>'Table 6 (Local Deduct Calc.)'!J30</f>
        <v>1943017</v>
      </c>
      <c r="T29" s="398">
        <f t="shared" si="18"/>
        <v>1943017</v>
      </c>
      <c r="U29" s="399">
        <f t="shared" si="19"/>
        <v>17231753</v>
      </c>
      <c r="V29" s="400">
        <f t="shared" si="53"/>
        <v>0.89870000000000005</v>
      </c>
      <c r="W29" s="400">
        <f t="shared" si="20"/>
        <v>0.1013</v>
      </c>
      <c r="X29" s="401">
        <f t="shared" si="21"/>
        <v>592.20268210911308</v>
      </c>
      <c r="Y29" s="398">
        <f>'Table 7 Local Revenue'!AQ29</f>
        <v>5165748</v>
      </c>
      <c r="Z29" s="398">
        <f t="shared" si="22"/>
        <v>3222731</v>
      </c>
      <c r="AA29" s="288">
        <f t="shared" si="23"/>
        <v>0</v>
      </c>
      <c r="AB29" s="14">
        <f t="shared" si="24"/>
        <v>6519421.8000000007</v>
      </c>
      <c r="AC29" s="14">
        <f t="shared" si="25"/>
        <v>3222731</v>
      </c>
      <c r="AD29" s="398">
        <f t="shared" si="26"/>
        <v>561515.758516</v>
      </c>
      <c r="AE29" s="402">
        <f t="shared" si="27"/>
        <v>2661215.2414839999</v>
      </c>
      <c r="AF29" s="16">
        <f t="shared" si="28"/>
        <v>0.82579999999999998</v>
      </c>
      <c r="AG29" s="402">
        <f t="shared" si="29"/>
        <v>19892968.241484001</v>
      </c>
      <c r="AH29" s="14">
        <f t="shared" si="30"/>
        <v>6063</v>
      </c>
      <c r="AI29" s="402">
        <f>'Table 4 Level 3'!O27</f>
        <v>445393</v>
      </c>
      <c r="AJ29" s="14">
        <f t="shared" si="10"/>
        <v>135.74916184090216</v>
      </c>
      <c r="AK29" s="402">
        <f t="shared" si="31"/>
        <v>20338361.241484001</v>
      </c>
      <c r="AL29" s="14">
        <f t="shared" si="32"/>
        <v>6198.830003500153</v>
      </c>
      <c r="AM29" s="532">
        <f>'Table 4 Level 3'!R27</f>
        <v>2073453.8</v>
      </c>
      <c r="AN29" s="533">
        <f t="shared" si="33"/>
        <v>631.95787869551964</v>
      </c>
      <c r="AO29" s="402">
        <f t="shared" si="34"/>
        <v>21966422.041484002</v>
      </c>
      <c r="AP29" s="14">
        <f t="shared" si="35"/>
        <v>6695.0387203547707</v>
      </c>
      <c r="AQ29" s="16">
        <f t="shared" si="36"/>
        <v>0.80960800436891789</v>
      </c>
      <c r="AR29" s="403">
        <f t="shared" si="37"/>
        <v>2</v>
      </c>
      <c r="AS29" s="14">
        <f t="shared" si="38"/>
        <v>5165748</v>
      </c>
      <c r="AT29" s="14">
        <f t="shared" si="11"/>
        <v>1574.44</v>
      </c>
      <c r="AU29" s="403">
        <f t="shared" si="39"/>
        <v>68</v>
      </c>
      <c r="AV29" s="16">
        <f t="shared" si="40"/>
        <v>0.19039199563108214</v>
      </c>
      <c r="AW29" s="403">
        <f t="shared" si="41"/>
        <v>27132170.041484002</v>
      </c>
      <c r="AX29" s="404">
        <f t="shared" si="12"/>
        <v>8269.4818779286816</v>
      </c>
      <c r="AY29" s="403">
        <f t="shared" si="42"/>
        <v>57</v>
      </c>
      <c r="AZ29" s="14">
        <v>22092719.614</v>
      </c>
      <c r="BA29" s="288">
        <f t="shared" si="13"/>
        <v>-126297.57251599804</v>
      </c>
      <c r="BB29" s="288">
        <f t="shared" si="43"/>
        <v>17231753</v>
      </c>
      <c r="BC29" s="288">
        <v>17404002</v>
      </c>
      <c r="BD29" s="288">
        <f t="shared" si="44"/>
        <v>-172249</v>
      </c>
      <c r="BE29" s="288">
        <f t="shared" si="45"/>
        <v>2661215.2414839999</v>
      </c>
      <c r="BF29" s="288">
        <v>2596150.6140000001</v>
      </c>
      <c r="BG29" s="288">
        <f t="shared" si="46"/>
        <v>65064.627483999822</v>
      </c>
      <c r="BH29" s="288">
        <f t="shared" si="47"/>
        <v>5165748</v>
      </c>
      <c r="BI29" s="288">
        <v>5012748</v>
      </c>
      <c r="BJ29" s="288">
        <f t="shared" si="48"/>
        <v>153000</v>
      </c>
      <c r="BK29" s="81">
        <f t="shared" si="49"/>
        <v>3281</v>
      </c>
      <c r="BL29" s="81">
        <v>3306</v>
      </c>
      <c r="BM29" s="998">
        <f t="shared" si="50"/>
        <v>-25</v>
      </c>
      <c r="BN29" s="81">
        <f t="shared" si="51"/>
        <v>4974</v>
      </c>
      <c r="BO29" s="81">
        <v>5005</v>
      </c>
      <c r="BP29" s="998">
        <f t="shared" si="52"/>
        <v>-31</v>
      </c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</row>
    <row r="30" spans="1:148" s="5" customFormat="1">
      <c r="A30" s="103">
        <v>23</v>
      </c>
      <c r="B30" s="81" t="s">
        <v>124</v>
      </c>
      <c r="C30" s="81">
        <f>'Table 8 2.1.12 MFP Funded'!AD26</f>
        <v>13367</v>
      </c>
      <c r="D30" s="81">
        <f>'[2]totalled for Table 3'!$AD26</f>
        <v>9731</v>
      </c>
      <c r="E30" s="81">
        <f t="shared" si="3"/>
        <v>2141</v>
      </c>
      <c r="F30" s="81">
        <f>'[3]Units-Corrected_for Table 3'!$T34</f>
        <v>5556</v>
      </c>
      <c r="G30" s="81">
        <f t="shared" si="4"/>
        <v>333</v>
      </c>
      <c r="H30" s="81">
        <f>[4]Disabling_Exceptionalities!$Z28</f>
        <v>1585</v>
      </c>
      <c r="I30" s="81">
        <f t="shared" si="14"/>
        <v>2378</v>
      </c>
      <c r="J30" s="81">
        <f>[4]GiftedTalented!$AA28</f>
        <v>430</v>
      </c>
      <c r="K30" s="13">
        <f t="shared" si="15"/>
        <v>258</v>
      </c>
      <c r="L30" s="13">
        <f t="shared" si="5"/>
        <v>0</v>
      </c>
      <c r="M30" s="65">
        <f t="shared" si="6"/>
        <v>0</v>
      </c>
      <c r="N30" s="13">
        <f t="shared" si="7"/>
        <v>0</v>
      </c>
      <c r="O30" s="13">
        <f t="shared" si="16"/>
        <v>5110</v>
      </c>
      <c r="P30" s="13">
        <f t="shared" si="8"/>
        <v>18477</v>
      </c>
      <c r="Q30" s="398">
        <f t="shared" si="17"/>
        <v>3855</v>
      </c>
      <c r="R30" s="398">
        <f t="shared" si="9"/>
        <v>71228835</v>
      </c>
      <c r="S30" s="398">
        <f>'Table 6 (Local Deduct Calc.)'!J31</f>
        <v>20108844</v>
      </c>
      <c r="T30" s="398">
        <f t="shared" si="18"/>
        <v>20108844</v>
      </c>
      <c r="U30" s="399">
        <f t="shared" si="19"/>
        <v>51119991</v>
      </c>
      <c r="V30" s="400">
        <f t="shared" si="53"/>
        <v>0.7177</v>
      </c>
      <c r="W30" s="400">
        <f t="shared" si="20"/>
        <v>0.2823</v>
      </c>
      <c r="X30" s="401">
        <f t="shared" si="21"/>
        <v>1504.3647789331937</v>
      </c>
      <c r="Y30" s="398">
        <f>'Table 7 Local Revenue'!AQ30</f>
        <v>41817240</v>
      </c>
      <c r="Z30" s="398">
        <f t="shared" si="22"/>
        <v>21708396</v>
      </c>
      <c r="AA30" s="288">
        <f t="shared" si="23"/>
        <v>0</v>
      </c>
      <c r="AB30" s="14">
        <f t="shared" si="24"/>
        <v>24217803.900000002</v>
      </c>
      <c r="AC30" s="14">
        <f t="shared" si="25"/>
        <v>21708396</v>
      </c>
      <c r="AD30" s="398">
        <f t="shared" si="26"/>
        <v>10540641.928175999</v>
      </c>
      <c r="AE30" s="402">
        <f t="shared" si="27"/>
        <v>11167754.071824001</v>
      </c>
      <c r="AF30" s="16">
        <f t="shared" si="28"/>
        <v>0.51439999999999997</v>
      </c>
      <c r="AG30" s="402">
        <f t="shared" si="29"/>
        <v>62287745.071823999</v>
      </c>
      <c r="AH30" s="14">
        <f t="shared" si="30"/>
        <v>4660</v>
      </c>
      <c r="AI30" s="402">
        <f>'Table 4 Level 3'!O28</f>
        <v>1994558</v>
      </c>
      <c r="AJ30" s="14">
        <f t="shared" si="10"/>
        <v>149.21508191815664</v>
      </c>
      <c r="AK30" s="402">
        <f t="shared" si="31"/>
        <v>64282303.071823999</v>
      </c>
      <c r="AL30" s="14">
        <f t="shared" si="32"/>
        <v>4809.0299298140199</v>
      </c>
      <c r="AM30" s="532">
        <f>'Table 4 Level 3'!R28</f>
        <v>11190327.08548364</v>
      </c>
      <c r="AN30" s="533">
        <f t="shared" si="33"/>
        <v>837.1607006421516</v>
      </c>
      <c r="AO30" s="402">
        <f t="shared" si="34"/>
        <v>73478072.15730764</v>
      </c>
      <c r="AP30" s="14">
        <f t="shared" si="35"/>
        <v>5496.9755485380147</v>
      </c>
      <c r="AQ30" s="16">
        <f t="shared" si="36"/>
        <v>0.63730320671715579</v>
      </c>
      <c r="AR30" s="403">
        <f t="shared" si="37"/>
        <v>38</v>
      </c>
      <c r="AS30" s="14">
        <f t="shared" si="38"/>
        <v>41817240</v>
      </c>
      <c r="AT30" s="14">
        <f t="shared" si="11"/>
        <v>3128.39</v>
      </c>
      <c r="AU30" s="403">
        <f t="shared" si="39"/>
        <v>35</v>
      </c>
      <c r="AV30" s="16">
        <f t="shared" si="40"/>
        <v>0.36269679328284415</v>
      </c>
      <c r="AW30" s="403">
        <f t="shared" si="41"/>
        <v>115295312.15730764</v>
      </c>
      <c r="AX30" s="404">
        <f t="shared" si="12"/>
        <v>8625.3693541787725</v>
      </c>
      <c r="AY30" s="403">
        <f t="shared" si="42"/>
        <v>38</v>
      </c>
      <c r="AZ30" s="14">
        <v>72565767.913376004</v>
      </c>
      <c r="BA30" s="288">
        <f t="shared" si="13"/>
        <v>912304.24393163621</v>
      </c>
      <c r="BB30" s="288">
        <f t="shared" si="43"/>
        <v>51119991</v>
      </c>
      <c r="BC30" s="288">
        <v>50731634</v>
      </c>
      <c r="BD30" s="288">
        <f t="shared" si="44"/>
        <v>388357</v>
      </c>
      <c r="BE30" s="288">
        <f t="shared" si="45"/>
        <v>11167754.071824001</v>
      </c>
      <c r="BF30" s="288">
        <v>10802185.913376</v>
      </c>
      <c r="BG30" s="288">
        <f t="shared" si="46"/>
        <v>365568.15844800137</v>
      </c>
      <c r="BH30" s="288">
        <f t="shared" si="47"/>
        <v>41817240</v>
      </c>
      <c r="BI30" s="288">
        <v>40420758</v>
      </c>
      <c r="BJ30" s="288">
        <f t="shared" si="48"/>
        <v>1396482</v>
      </c>
      <c r="BK30" s="81">
        <f t="shared" si="49"/>
        <v>13367</v>
      </c>
      <c r="BL30" s="81">
        <v>13151</v>
      </c>
      <c r="BM30" s="998">
        <f t="shared" si="50"/>
        <v>216</v>
      </c>
      <c r="BN30" s="81">
        <f t="shared" si="51"/>
        <v>18477</v>
      </c>
      <c r="BO30" s="81">
        <v>18256</v>
      </c>
      <c r="BP30" s="998">
        <f t="shared" si="52"/>
        <v>221</v>
      </c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</row>
    <row r="31" spans="1:148" s="5" customFormat="1">
      <c r="A31" s="103">
        <v>24</v>
      </c>
      <c r="B31" s="81" t="s">
        <v>125</v>
      </c>
      <c r="C31" s="81">
        <f>'Table 8 2.1.12 MFP Funded'!AD27</f>
        <v>4479</v>
      </c>
      <c r="D31" s="81">
        <f>'[2]totalled for Table 3'!$AD27</f>
        <v>3666</v>
      </c>
      <c r="E31" s="81">
        <f t="shared" si="3"/>
        <v>807</v>
      </c>
      <c r="F31" s="81">
        <f>'[3]Units-Corrected_for Table 3'!$T35</f>
        <v>1206.5</v>
      </c>
      <c r="G31" s="81">
        <f t="shared" si="4"/>
        <v>72</v>
      </c>
      <c r="H31" s="81">
        <f>[4]Disabling_Exceptionalities!$Z29</f>
        <v>458</v>
      </c>
      <c r="I31" s="81">
        <f t="shared" si="14"/>
        <v>687</v>
      </c>
      <c r="J31" s="81">
        <f>[4]GiftedTalented!$AA29</f>
        <v>111</v>
      </c>
      <c r="K31" s="13">
        <f t="shared" si="15"/>
        <v>67</v>
      </c>
      <c r="L31" s="13">
        <f t="shared" si="5"/>
        <v>3021</v>
      </c>
      <c r="M31" s="65">
        <f t="shared" si="6"/>
        <v>8.0560000000000007E-2</v>
      </c>
      <c r="N31" s="13">
        <f t="shared" si="7"/>
        <v>361</v>
      </c>
      <c r="O31" s="13">
        <f t="shared" si="16"/>
        <v>1994</v>
      </c>
      <c r="P31" s="13">
        <f t="shared" si="8"/>
        <v>6473</v>
      </c>
      <c r="Q31" s="398">
        <f t="shared" si="17"/>
        <v>3855</v>
      </c>
      <c r="R31" s="398">
        <f t="shared" si="9"/>
        <v>24953415</v>
      </c>
      <c r="S31" s="398">
        <f>'Table 6 (Local Deduct Calc.)'!J32</f>
        <v>15494572</v>
      </c>
      <c r="T31" s="398">
        <f t="shared" si="18"/>
        <v>15494572</v>
      </c>
      <c r="U31" s="399">
        <f t="shared" si="19"/>
        <v>9458843</v>
      </c>
      <c r="V31" s="400">
        <f t="shared" si="53"/>
        <v>0.37909999999999999</v>
      </c>
      <c r="W31" s="400">
        <f t="shared" si="20"/>
        <v>0.62090000000000001</v>
      </c>
      <c r="X31" s="401">
        <f t="shared" si="21"/>
        <v>3459.3820049118108</v>
      </c>
      <c r="Y31" s="398">
        <f>'Table 7 Local Revenue'!AQ31</f>
        <v>42329712</v>
      </c>
      <c r="Z31" s="398">
        <f t="shared" si="22"/>
        <v>26835140</v>
      </c>
      <c r="AA31" s="288">
        <f t="shared" si="23"/>
        <v>0</v>
      </c>
      <c r="AB31" s="14">
        <f t="shared" si="24"/>
        <v>8484161.1000000015</v>
      </c>
      <c r="AC31" s="14">
        <f t="shared" si="25"/>
        <v>8484161.1000000015</v>
      </c>
      <c r="AD31" s="398">
        <f t="shared" si="26"/>
        <v>9060642.8784228005</v>
      </c>
      <c r="AE31" s="402">
        <f t="shared" si="27"/>
        <v>0</v>
      </c>
      <c r="AF31" s="16">
        <f t="shared" si="28"/>
        <v>0</v>
      </c>
      <c r="AG31" s="402">
        <f t="shared" si="29"/>
        <v>9458843</v>
      </c>
      <c r="AH31" s="14">
        <f t="shared" si="30"/>
        <v>2112</v>
      </c>
      <c r="AI31" s="402">
        <f>'Table 4 Level 3'!O29</f>
        <v>2409516</v>
      </c>
      <c r="AJ31" s="14">
        <f t="shared" si="10"/>
        <v>537.95847287340928</v>
      </c>
      <c r="AK31" s="402">
        <f t="shared" si="31"/>
        <v>11868359</v>
      </c>
      <c r="AL31" s="14">
        <f t="shared" si="32"/>
        <v>2649.7787452556372</v>
      </c>
      <c r="AM31" s="532">
        <f>'Table 4 Level 3'!R29</f>
        <v>6234847.5</v>
      </c>
      <c r="AN31" s="533">
        <f t="shared" si="33"/>
        <v>1392.0177494976558</v>
      </c>
      <c r="AO31" s="402">
        <f t="shared" si="34"/>
        <v>15693690.5</v>
      </c>
      <c r="AP31" s="14">
        <f t="shared" si="35"/>
        <v>3503.8380218798839</v>
      </c>
      <c r="AQ31" s="16">
        <f t="shared" si="36"/>
        <v>0.39558184441244976</v>
      </c>
      <c r="AR31" s="403">
        <f t="shared" si="37"/>
        <v>63</v>
      </c>
      <c r="AS31" s="14">
        <f t="shared" si="38"/>
        <v>23978733.100000001</v>
      </c>
      <c r="AT31" s="14">
        <f t="shared" si="11"/>
        <v>5353.59</v>
      </c>
      <c r="AU31" s="403">
        <f t="shared" si="39"/>
        <v>6</v>
      </c>
      <c r="AV31" s="16">
        <f t="shared" si="40"/>
        <v>0.6044181555875503</v>
      </c>
      <c r="AW31" s="403">
        <f t="shared" si="41"/>
        <v>39672423.600000001</v>
      </c>
      <c r="AX31" s="404">
        <f t="shared" si="12"/>
        <v>8857.4288010716682</v>
      </c>
      <c r="AY31" s="403">
        <f t="shared" si="42"/>
        <v>27</v>
      </c>
      <c r="AZ31" s="14">
        <v>14630943</v>
      </c>
      <c r="BA31" s="288">
        <f t="shared" si="13"/>
        <v>1062747.5</v>
      </c>
      <c r="BB31" s="288">
        <f t="shared" si="43"/>
        <v>9458843</v>
      </c>
      <c r="BC31" s="288">
        <v>8423489</v>
      </c>
      <c r="BD31" s="288">
        <f t="shared" si="44"/>
        <v>1035354</v>
      </c>
      <c r="BE31" s="288">
        <f t="shared" si="45"/>
        <v>0</v>
      </c>
      <c r="BF31" s="288">
        <v>0</v>
      </c>
      <c r="BG31" s="288">
        <f t="shared" si="46"/>
        <v>0</v>
      </c>
      <c r="BH31" s="288">
        <f t="shared" si="47"/>
        <v>42329712</v>
      </c>
      <c r="BI31" s="288">
        <v>43254243</v>
      </c>
      <c r="BJ31" s="288">
        <f t="shared" si="48"/>
        <v>-924531</v>
      </c>
      <c r="BK31" s="81">
        <f t="shared" si="49"/>
        <v>4479</v>
      </c>
      <c r="BL31" s="81">
        <v>4369</v>
      </c>
      <c r="BM31" s="998">
        <f t="shared" si="50"/>
        <v>110</v>
      </c>
      <c r="BN31" s="81">
        <f t="shared" si="51"/>
        <v>6473</v>
      </c>
      <c r="BO31" s="81">
        <v>6392</v>
      </c>
      <c r="BP31" s="998">
        <f t="shared" si="52"/>
        <v>81</v>
      </c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</row>
    <row r="32" spans="1:148" s="21" customFormat="1">
      <c r="A32" s="104">
        <v>25</v>
      </c>
      <c r="B32" s="82" t="s">
        <v>126</v>
      </c>
      <c r="C32" s="82">
        <f>'Table 8 2.1.12 MFP Funded'!AD28</f>
        <v>2226</v>
      </c>
      <c r="D32" s="82">
        <f>'[2]totalled for Table 3'!$AD28</f>
        <v>1398</v>
      </c>
      <c r="E32" s="82">
        <f t="shared" si="3"/>
        <v>308</v>
      </c>
      <c r="F32" s="82">
        <f>'[3]Units-Corrected_for Table 3'!$T36</f>
        <v>1195</v>
      </c>
      <c r="G32" s="82">
        <f t="shared" si="4"/>
        <v>72</v>
      </c>
      <c r="H32" s="82">
        <f>[4]Disabling_Exceptionalities!$Z30</f>
        <v>201</v>
      </c>
      <c r="I32" s="82">
        <f t="shared" si="14"/>
        <v>302</v>
      </c>
      <c r="J32" s="82">
        <f>[4]GiftedTalented!$AA30</f>
        <v>77</v>
      </c>
      <c r="K32" s="19">
        <f t="shared" si="15"/>
        <v>46</v>
      </c>
      <c r="L32" s="19">
        <f t="shared" si="5"/>
        <v>5274</v>
      </c>
      <c r="M32" s="66">
        <f t="shared" si="6"/>
        <v>0.14063999999999999</v>
      </c>
      <c r="N32" s="19">
        <f t="shared" si="7"/>
        <v>313</v>
      </c>
      <c r="O32" s="19">
        <f t="shared" si="16"/>
        <v>1041</v>
      </c>
      <c r="P32" s="13">
        <f t="shared" si="8"/>
        <v>3267</v>
      </c>
      <c r="Q32" s="405">
        <f t="shared" si="17"/>
        <v>3855</v>
      </c>
      <c r="R32" s="405">
        <f t="shared" si="9"/>
        <v>12594285</v>
      </c>
      <c r="S32" s="405">
        <f>'Table 6 (Local Deduct Calc.)'!J33</f>
        <v>5433940.5</v>
      </c>
      <c r="T32" s="405">
        <f t="shared" si="18"/>
        <v>5433940.5</v>
      </c>
      <c r="U32" s="406">
        <f t="shared" si="19"/>
        <v>7160344.5</v>
      </c>
      <c r="V32" s="407">
        <f t="shared" si="53"/>
        <v>0.56850000000000001</v>
      </c>
      <c r="W32" s="408">
        <f t="shared" si="20"/>
        <v>0.43149999999999999</v>
      </c>
      <c r="X32" s="409">
        <f t="shared" si="21"/>
        <v>2441.1233153638814</v>
      </c>
      <c r="Y32" s="405">
        <f>'Table 7 Local Revenue'!AQ32</f>
        <v>11514408.5</v>
      </c>
      <c r="Z32" s="405">
        <f t="shared" si="22"/>
        <v>6080468</v>
      </c>
      <c r="AA32" s="289">
        <f t="shared" si="23"/>
        <v>0</v>
      </c>
      <c r="AB32" s="20">
        <f t="shared" si="24"/>
        <v>4282056.9000000004</v>
      </c>
      <c r="AC32" s="20">
        <f t="shared" si="25"/>
        <v>4282056.9000000004</v>
      </c>
      <c r="AD32" s="405">
        <f t="shared" si="26"/>
        <v>3178056.9900420001</v>
      </c>
      <c r="AE32" s="410">
        <f t="shared" si="27"/>
        <v>1103999.9099580003</v>
      </c>
      <c r="AF32" s="282">
        <f t="shared" si="28"/>
        <v>0.25779999999999997</v>
      </c>
      <c r="AG32" s="410">
        <f t="shared" si="29"/>
        <v>8264344.4099580003</v>
      </c>
      <c r="AH32" s="20">
        <f t="shared" si="30"/>
        <v>3713</v>
      </c>
      <c r="AI32" s="410">
        <f>'Table 4 Level 3'!O30</f>
        <v>302177</v>
      </c>
      <c r="AJ32" s="20">
        <f t="shared" si="10"/>
        <v>135.74887690925428</v>
      </c>
      <c r="AK32" s="410">
        <f t="shared" si="31"/>
        <v>8566521.4099580012</v>
      </c>
      <c r="AL32" s="20">
        <f t="shared" si="32"/>
        <v>3848.3923674564248</v>
      </c>
      <c r="AM32" s="534">
        <f>'Table 4 Level 3'!R30</f>
        <v>1757249.2339999999</v>
      </c>
      <c r="AN32" s="535">
        <f t="shared" si="33"/>
        <v>789.42014106019769</v>
      </c>
      <c r="AO32" s="410">
        <f t="shared" si="34"/>
        <v>10021593.643958</v>
      </c>
      <c r="AP32" s="20">
        <f t="shared" si="35"/>
        <v>4502.0636316073678</v>
      </c>
      <c r="AQ32" s="282">
        <f t="shared" si="36"/>
        <v>0.50774147775372891</v>
      </c>
      <c r="AR32" s="411">
        <f t="shared" si="37"/>
        <v>56</v>
      </c>
      <c r="AS32" s="20">
        <f t="shared" si="38"/>
        <v>9715997.4000000004</v>
      </c>
      <c r="AT32" s="20">
        <f t="shared" si="11"/>
        <v>4364.78</v>
      </c>
      <c r="AU32" s="411">
        <f t="shared" si="39"/>
        <v>13</v>
      </c>
      <c r="AV32" s="282">
        <f t="shared" si="40"/>
        <v>0.49225852224627109</v>
      </c>
      <c r="AW32" s="411">
        <f t="shared" si="41"/>
        <v>19737591.043958001</v>
      </c>
      <c r="AX32" s="412">
        <f t="shared" si="12"/>
        <v>8866.8423378068292</v>
      </c>
      <c r="AY32" s="411">
        <f t="shared" si="42"/>
        <v>26</v>
      </c>
      <c r="AZ32" s="20">
        <v>9467402.9879759997</v>
      </c>
      <c r="BA32" s="289">
        <f t="shared" si="13"/>
        <v>554190.65598200075</v>
      </c>
      <c r="BB32" s="289">
        <f t="shared" si="43"/>
        <v>7160344.5</v>
      </c>
      <c r="BC32" s="289">
        <v>6798663.5</v>
      </c>
      <c r="BD32" s="289">
        <f t="shared" si="44"/>
        <v>361681</v>
      </c>
      <c r="BE32" s="289">
        <f t="shared" si="45"/>
        <v>1103999.9099580003</v>
      </c>
      <c r="BF32" s="289">
        <v>937126.48797600018</v>
      </c>
      <c r="BG32" s="289">
        <f t="shared" si="46"/>
        <v>166873.42198200012</v>
      </c>
      <c r="BH32" s="289">
        <f t="shared" si="47"/>
        <v>11514408.5</v>
      </c>
      <c r="BI32" s="289">
        <v>14414700.5</v>
      </c>
      <c r="BJ32" s="289">
        <f t="shared" si="48"/>
        <v>-2900292</v>
      </c>
      <c r="BK32" s="82">
        <f t="shared" si="49"/>
        <v>2226</v>
      </c>
      <c r="BL32" s="82">
        <v>2191</v>
      </c>
      <c r="BM32" s="999">
        <f t="shared" si="50"/>
        <v>35</v>
      </c>
      <c r="BN32" s="82">
        <f t="shared" si="51"/>
        <v>3267</v>
      </c>
      <c r="BO32" s="82">
        <v>3220</v>
      </c>
      <c r="BP32" s="999">
        <f t="shared" si="52"/>
        <v>47</v>
      </c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</row>
    <row r="33" spans="1:148" s="5" customFormat="1">
      <c r="A33" s="103">
        <v>26</v>
      </c>
      <c r="B33" s="81" t="s">
        <v>127</v>
      </c>
      <c r="C33" s="81">
        <f>'Table 8 2.1.12 MFP Funded'!AD29</f>
        <v>44347</v>
      </c>
      <c r="D33" s="81">
        <f>'[2]totalled for Table 3'!$AD29</f>
        <v>34901</v>
      </c>
      <c r="E33" s="81">
        <f t="shared" si="3"/>
        <v>7678</v>
      </c>
      <c r="F33" s="81">
        <f>'[3]Units-Corrected_for Table 3'!$T37</f>
        <v>12296.5</v>
      </c>
      <c r="G33" s="81">
        <f t="shared" si="4"/>
        <v>738</v>
      </c>
      <c r="H33" s="81">
        <f>[4]Disabling_Exceptionalities!$Z31</f>
        <v>5536</v>
      </c>
      <c r="I33" s="81">
        <f t="shared" si="14"/>
        <v>8304</v>
      </c>
      <c r="J33" s="81">
        <f>[4]GiftedTalented!$AA31</f>
        <v>3344</v>
      </c>
      <c r="K33" s="13">
        <f t="shared" si="15"/>
        <v>2006</v>
      </c>
      <c r="L33" s="13">
        <f t="shared" si="5"/>
        <v>0</v>
      </c>
      <c r="M33" s="65">
        <f t="shared" si="6"/>
        <v>0</v>
      </c>
      <c r="N33" s="13">
        <f t="shared" si="7"/>
        <v>0</v>
      </c>
      <c r="O33" s="13">
        <f t="shared" si="16"/>
        <v>18726</v>
      </c>
      <c r="P33" s="36">
        <f t="shared" si="8"/>
        <v>63073</v>
      </c>
      <c r="Q33" s="398">
        <f t="shared" si="17"/>
        <v>3855</v>
      </c>
      <c r="R33" s="398">
        <f t="shared" si="9"/>
        <v>243146415</v>
      </c>
      <c r="S33" s="398">
        <f>'Table 6 (Local Deduct Calc.)'!J34</f>
        <v>132176678</v>
      </c>
      <c r="T33" s="398">
        <f t="shared" si="18"/>
        <v>132176678</v>
      </c>
      <c r="U33" s="399">
        <f t="shared" si="19"/>
        <v>110969737</v>
      </c>
      <c r="V33" s="400">
        <f t="shared" si="53"/>
        <v>0.45639999999999997</v>
      </c>
      <c r="W33" s="400">
        <f t="shared" si="20"/>
        <v>0.54359999999999997</v>
      </c>
      <c r="X33" s="401">
        <f t="shared" si="21"/>
        <v>2980.5100232259229</v>
      </c>
      <c r="Y33" s="398">
        <f>'Table 7 Local Revenue'!AQ33</f>
        <v>249052190</v>
      </c>
      <c r="Z33" s="398">
        <f t="shared" si="22"/>
        <v>116875512</v>
      </c>
      <c r="AA33" s="288">
        <f t="shared" si="23"/>
        <v>0</v>
      </c>
      <c r="AB33" s="14">
        <f t="shared" si="24"/>
        <v>82669781.100000009</v>
      </c>
      <c r="AC33" s="14">
        <f t="shared" si="25"/>
        <v>82669781.100000009</v>
      </c>
      <c r="AD33" s="398">
        <f t="shared" si="26"/>
        <v>77295583.970251203</v>
      </c>
      <c r="AE33" s="402">
        <f t="shared" si="27"/>
        <v>5374197.1297488064</v>
      </c>
      <c r="AF33" s="16">
        <f t="shared" si="28"/>
        <v>6.5000000000000002E-2</v>
      </c>
      <c r="AG33" s="402">
        <f t="shared" si="29"/>
        <v>116343934.12974881</v>
      </c>
      <c r="AH33" s="14">
        <f t="shared" si="30"/>
        <v>2623</v>
      </c>
      <c r="AI33" s="402">
        <f>'Table 4 Level 3'!O31</f>
        <v>23168145</v>
      </c>
      <c r="AJ33" s="14">
        <f t="shared" si="10"/>
        <v>522.42868739711821</v>
      </c>
      <c r="AK33" s="402">
        <f t="shared" si="31"/>
        <v>139512079.12974882</v>
      </c>
      <c r="AL33" s="14">
        <f t="shared" si="32"/>
        <v>3145.9192082835102</v>
      </c>
      <c r="AM33" s="532">
        <f>'Table 4 Level 3'!R31</f>
        <v>60223028.441277765</v>
      </c>
      <c r="AN33" s="533">
        <f t="shared" si="33"/>
        <v>1357.9955451615162</v>
      </c>
      <c r="AO33" s="402">
        <f t="shared" si="34"/>
        <v>176566962.57102656</v>
      </c>
      <c r="AP33" s="14">
        <f t="shared" si="35"/>
        <v>3981.4860660479076</v>
      </c>
      <c r="AQ33" s="16">
        <f t="shared" si="36"/>
        <v>0.45110094032346898</v>
      </c>
      <c r="AR33" s="403">
        <f t="shared" si="37"/>
        <v>60</v>
      </c>
      <c r="AS33" s="14">
        <f t="shared" si="38"/>
        <v>214846459.09999999</v>
      </c>
      <c r="AT33" s="14">
        <f t="shared" si="11"/>
        <v>4844.67</v>
      </c>
      <c r="AU33" s="403">
        <f t="shared" si="39"/>
        <v>10</v>
      </c>
      <c r="AV33" s="16">
        <f t="shared" si="40"/>
        <v>0.54889905967653096</v>
      </c>
      <c r="AW33" s="403">
        <f t="shared" si="41"/>
        <v>391413421.67102659</v>
      </c>
      <c r="AX33" s="404">
        <f t="shared" si="12"/>
        <v>8826.1533287714301</v>
      </c>
      <c r="AY33" s="403">
        <f t="shared" si="42"/>
        <v>29</v>
      </c>
      <c r="AZ33" s="14">
        <v>171608136.65816557</v>
      </c>
      <c r="BA33" s="288">
        <f t="shared" si="13"/>
        <v>4958825.9128609896</v>
      </c>
      <c r="BB33" s="288">
        <f t="shared" si="43"/>
        <v>110969737</v>
      </c>
      <c r="BC33" s="288">
        <v>107064228</v>
      </c>
      <c r="BD33" s="288">
        <f t="shared" si="44"/>
        <v>3905509</v>
      </c>
      <c r="BE33" s="288">
        <f t="shared" si="45"/>
        <v>5374197.1297488064</v>
      </c>
      <c r="BF33" s="288">
        <v>4600376.658165589</v>
      </c>
      <c r="BG33" s="288">
        <f t="shared" si="46"/>
        <v>773820.47158321738</v>
      </c>
      <c r="BH33" s="288">
        <f t="shared" si="47"/>
        <v>249052190</v>
      </c>
      <c r="BI33" s="288">
        <v>236391839</v>
      </c>
      <c r="BJ33" s="288">
        <f t="shared" si="48"/>
        <v>12660351</v>
      </c>
      <c r="BK33" s="81">
        <f t="shared" si="49"/>
        <v>44347</v>
      </c>
      <c r="BL33" s="81">
        <v>43040</v>
      </c>
      <c r="BM33" s="998">
        <f t="shared" si="50"/>
        <v>1307</v>
      </c>
      <c r="BN33" s="81">
        <f t="shared" si="51"/>
        <v>63073</v>
      </c>
      <c r="BO33" s="81">
        <v>61473</v>
      </c>
      <c r="BP33" s="998">
        <f t="shared" si="52"/>
        <v>1600</v>
      </c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</row>
    <row r="34" spans="1:148" s="5" customFormat="1">
      <c r="A34" s="103">
        <v>27</v>
      </c>
      <c r="B34" s="81" t="s">
        <v>128</v>
      </c>
      <c r="C34" s="81">
        <f>'Table 8 2.1.12 MFP Funded'!AD30</f>
        <v>5614</v>
      </c>
      <c r="D34" s="81">
        <f>'[2]totalled for Table 3'!$AD30</f>
        <v>3309</v>
      </c>
      <c r="E34" s="81">
        <f t="shared" si="3"/>
        <v>728</v>
      </c>
      <c r="F34" s="81">
        <f>'[3]Units-Corrected_for Table 3'!$T38</f>
        <v>1877.5</v>
      </c>
      <c r="G34" s="81">
        <f t="shared" si="4"/>
        <v>113</v>
      </c>
      <c r="H34" s="81">
        <f>[4]Disabling_Exceptionalities!$Z32</f>
        <v>840</v>
      </c>
      <c r="I34" s="81">
        <f t="shared" si="14"/>
        <v>1260</v>
      </c>
      <c r="J34" s="81">
        <f>[4]GiftedTalented!$AA32</f>
        <v>147</v>
      </c>
      <c r="K34" s="13">
        <f t="shared" si="15"/>
        <v>88</v>
      </c>
      <c r="L34" s="13">
        <f t="shared" si="5"/>
        <v>1886</v>
      </c>
      <c r="M34" s="65">
        <f t="shared" si="6"/>
        <v>5.0290000000000001E-2</v>
      </c>
      <c r="N34" s="13">
        <f t="shared" si="7"/>
        <v>282</v>
      </c>
      <c r="O34" s="13">
        <f t="shared" si="16"/>
        <v>2471</v>
      </c>
      <c r="P34" s="13">
        <f t="shared" si="8"/>
        <v>8085</v>
      </c>
      <c r="Q34" s="398">
        <f t="shared" si="17"/>
        <v>3855</v>
      </c>
      <c r="R34" s="398">
        <f t="shared" si="9"/>
        <v>31167675</v>
      </c>
      <c r="S34" s="398">
        <f>'Table 6 (Local Deduct Calc.)'!J35</f>
        <v>6735431</v>
      </c>
      <c r="T34" s="398">
        <f t="shared" si="18"/>
        <v>6735431</v>
      </c>
      <c r="U34" s="399">
        <f t="shared" si="19"/>
        <v>24432244</v>
      </c>
      <c r="V34" s="400">
        <f t="shared" si="53"/>
        <v>0.78390000000000004</v>
      </c>
      <c r="W34" s="400">
        <f t="shared" si="20"/>
        <v>0.21609999999999999</v>
      </c>
      <c r="X34" s="401">
        <f t="shared" si="21"/>
        <v>1199.7561453509084</v>
      </c>
      <c r="Y34" s="398">
        <f>'Table 7 Local Revenue'!AQ34</f>
        <v>17151807</v>
      </c>
      <c r="Z34" s="398">
        <f t="shared" si="22"/>
        <v>10416376</v>
      </c>
      <c r="AA34" s="288">
        <f t="shared" si="23"/>
        <v>0</v>
      </c>
      <c r="AB34" s="14">
        <f t="shared" si="24"/>
        <v>10597009.5</v>
      </c>
      <c r="AC34" s="14">
        <f t="shared" si="25"/>
        <v>10416376</v>
      </c>
      <c r="AD34" s="398">
        <f t="shared" si="26"/>
        <v>3871683.6281919996</v>
      </c>
      <c r="AE34" s="402">
        <f t="shared" si="27"/>
        <v>6544692.3718079999</v>
      </c>
      <c r="AF34" s="16">
        <f t="shared" si="28"/>
        <v>0.62829999999999997</v>
      </c>
      <c r="AG34" s="402">
        <f t="shared" si="29"/>
        <v>30976936.371808</v>
      </c>
      <c r="AH34" s="14">
        <f t="shared" si="30"/>
        <v>5518</v>
      </c>
      <c r="AI34" s="402">
        <f>'Table 4 Level 3'!O32</f>
        <v>762095</v>
      </c>
      <c r="AJ34" s="14">
        <f t="shared" si="10"/>
        <v>135.74902030637691</v>
      </c>
      <c r="AK34" s="402">
        <f t="shared" si="31"/>
        <v>31739031.371808</v>
      </c>
      <c r="AL34" s="14">
        <f t="shared" si="32"/>
        <v>5653.5502977926608</v>
      </c>
      <c r="AM34" s="532">
        <f>'Table 4 Level 3'!R32</f>
        <v>4652171.4740000004</v>
      </c>
      <c r="AN34" s="533">
        <f t="shared" si="33"/>
        <v>828.6732230138939</v>
      </c>
      <c r="AO34" s="402">
        <f t="shared" si="34"/>
        <v>35629107.845807999</v>
      </c>
      <c r="AP34" s="14">
        <f t="shared" si="35"/>
        <v>6346.4745005001778</v>
      </c>
      <c r="AQ34" s="16">
        <f t="shared" si="36"/>
        <v>0.67503770917752026</v>
      </c>
      <c r="AR34" s="403">
        <f t="shared" si="37"/>
        <v>30</v>
      </c>
      <c r="AS34" s="14">
        <f t="shared" si="38"/>
        <v>17151807</v>
      </c>
      <c r="AT34" s="14">
        <f t="shared" si="11"/>
        <v>3055.18</v>
      </c>
      <c r="AU34" s="403">
        <f t="shared" si="39"/>
        <v>39</v>
      </c>
      <c r="AV34" s="16">
        <f t="shared" si="40"/>
        <v>0.32496229082247979</v>
      </c>
      <c r="AW34" s="403">
        <f t="shared" si="41"/>
        <v>52780914.845807999</v>
      </c>
      <c r="AX34" s="404">
        <f t="shared" si="12"/>
        <v>9401.6592172796572</v>
      </c>
      <c r="AY34" s="403">
        <f t="shared" si="42"/>
        <v>10</v>
      </c>
      <c r="AZ34" s="14">
        <v>35878738.515599996</v>
      </c>
      <c r="BA34" s="288">
        <f t="shared" si="13"/>
        <v>-249630.66979199648</v>
      </c>
      <c r="BB34" s="288">
        <f t="shared" si="43"/>
        <v>24432244</v>
      </c>
      <c r="BC34" s="288">
        <v>24813855</v>
      </c>
      <c r="BD34" s="288">
        <f t="shared" si="44"/>
        <v>-381611</v>
      </c>
      <c r="BE34" s="288">
        <f t="shared" si="45"/>
        <v>6544692.3718079999</v>
      </c>
      <c r="BF34" s="288">
        <v>6419614.5156000005</v>
      </c>
      <c r="BG34" s="288">
        <f t="shared" si="46"/>
        <v>125077.8562079994</v>
      </c>
      <c r="BH34" s="288">
        <f t="shared" si="47"/>
        <v>17151807</v>
      </c>
      <c r="BI34" s="288">
        <v>16316074</v>
      </c>
      <c r="BJ34" s="288">
        <f t="shared" si="48"/>
        <v>835733</v>
      </c>
      <c r="BK34" s="81">
        <f t="shared" si="49"/>
        <v>5614</v>
      </c>
      <c r="BL34" s="81">
        <v>5599</v>
      </c>
      <c r="BM34" s="998">
        <f t="shared" si="50"/>
        <v>15</v>
      </c>
      <c r="BN34" s="81">
        <f t="shared" si="51"/>
        <v>8085</v>
      </c>
      <c r="BO34" s="81">
        <v>8097</v>
      </c>
      <c r="BP34" s="998">
        <f t="shared" si="52"/>
        <v>-12</v>
      </c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</row>
    <row r="35" spans="1:148" s="5" customFormat="1">
      <c r="A35" s="103">
        <v>28</v>
      </c>
      <c r="B35" s="81" t="s">
        <v>129</v>
      </c>
      <c r="C35" s="81">
        <f>'Table 8 2.1.12 MFP Funded'!AD31</f>
        <v>29649</v>
      </c>
      <c r="D35" s="81">
        <f>'[2]totalled for Table 3'!$AD31</f>
        <v>18105</v>
      </c>
      <c r="E35" s="81">
        <f t="shared" si="3"/>
        <v>3983</v>
      </c>
      <c r="F35" s="81">
        <f>'[3]Units-Corrected_for Table 3'!$T39</f>
        <v>7350.5</v>
      </c>
      <c r="G35" s="81">
        <f t="shared" si="4"/>
        <v>441</v>
      </c>
      <c r="H35" s="81">
        <f>[4]Disabling_Exceptionalities!$Z33</f>
        <v>2890</v>
      </c>
      <c r="I35" s="81">
        <f t="shared" si="14"/>
        <v>4335</v>
      </c>
      <c r="J35" s="81">
        <f>[4]GiftedTalented!$AA33</f>
        <v>1309</v>
      </c>
      <c r="K35" s="13">
        <f t="shared" si="15"/>
        <v>785</v>
      </c>
      <c r="L35" s="13">
        <f t="shared" si="5"/>
        <v>0</v>
      </c>
      <c r="M35" s="65">
        <f t="shared" si="6"/>
        <v>0</v>
      </c>
      <c r="N35" s="13">
        <f t="shared" si="7"/>
        <v>0</v>
      </c>
      <c r="O35" s="13">
        <f t="shared" si="16"/>
        <v>9544</v>
      </c>
      <c r="P35" s="13">
        <f t="shared" si="8"/>
        <v>39193</v>
      </c>
      <c r="Q35" s="398">
        <f t="shared" si="17"/>
        <v>3855</v>
      </c>
      <c r="R35" s="398">
        <f t="shared" si="9"/>
        <v>151089015</v>
      </c>
      <c r="S35" s="398">
        <f>'Table 6 (Local Deduct Calc.)'!J36</f>
        <v>72179730.5</v>
      </c>
      <c r="T35" s="398">
        <f t="shared" si="18"/>
        <v>72179730.5</v>
      </c>
      <c r="U35" s="399">
        <f t="shared" si="19"/>
        <v>78909284.5</v>
      </c>
      <c r="V35" s="400">
        <f t="shared" si="53"/>
        <v>0.52229999999999999</v>
      </c>
      <c r="W35" s="400">
        <f t="shared" si="20"/>
        <v>0.47770000000000001</v>
      </c>
      <c r="X35" s="401">
        <f t="shared" si="21"/>
        <v>2434.4743667577322</v>
      </c>
      <c r="Y35" s="398">
        <f>'Table 7 Local Revenue'!AQ35</f>
        <v>152643073.5</v>
      </c>
      <c r="Z35" s="398">
        <f t="shared" si="22"/>
        <v>80463343</v>
      </c>
      <c r="AA35" s="288">
        <f t="shared" si="23"/>
        <v>0</v>
      </c>
      <c r="AB35" s="14">
        <f t="shared" si="24"/>
        <v>51370265.100000001</v>
      </c>
      <c r="AC35" s="14">
        <f t="shared" si="25"/>
        <v>51370265.100000001</v>
      </c>
      <c r="AD35" s="398">
        <f t="shared" si="26"/>
        <v>42208070.097824402</v>
      </c>
      <c r="AE35" s="402">
        <f t="shared" si="27"/>
        <v>9162195.0021755993</v>
      </c>
      <c r="AF35" s="16">
        <f t="shared" si="28"/>
        <v>0.1784</v>
      </c>
      <c r="AG35" s="402">
        <f t="shared" si="29"/>
        <v>88071479.502175599</v>
      </c>
      <c r="AH35" s="14">
        <f t="shared" si="30"/>
        <v>2970</v>
      </c>
      <c r="AI35" s="402">
        <f>'Table 4 Level 3'!O33</f>
        <v>6821202</v>
      </c>
      <c r="AJ35" s="14">
        <f t="shared" si="10"/>
        <v>230.06516240008094</v>
      </c>
      <c r="AK35" s="402">
        <f t="shared" si="31"/>
        <v>94892681.502175599</v>
      </c>
      <c r="AL35" s="14">
        <f t="shared" si="32"/>
        <v>3200.5356505169011</v>
      </c>
      <c r="AM35" s="532">
        <f>'Table 4 Level 3'!R33</f>
        <v>27404094.163634401</v>
      </c>
      <c r="AN35" s="533">
        <f t="shared" si="33"/>
        <v>924.28392740511993</v>
      </c>
      <c r="AO35" s="402">
        <f t="shared" si="34"/>
        <v>115475573.66581</v>
      </c>
      <c r="AP35" s="14">
        <f t="shared" si="35"/>
        <v>3894.7544155219402</v>
      </c>
      <c r="AQ35" s="16">
        <f t="shared" si="36"/>
        <v>0.48310971090040417</v>
      </c>
      <c r="AR35" s="403">
        <f t="shared" si="37"/>
        <v>58</v>
      </c>
      <c r="AS35" s="14">
        <f t="shared" si="38"/>
        <v>123549995.59999999</v>
      </c>
      <c r="AT35" s="14">
        <f t="shared" si="11"/>
        <v>4167.09</v>
      </c>
      <c r="AU35" s="403">
        <f t="shared" si="39"/>
        <v>15</v>
      </c>
      <c r="AV35" s="16">
        <f t="shared" si="40"/>
        <v>0.51689028909959578</v>
      </c>
      <c r="AW35" s="403">
        <f t="shared" si="41"/>
        <v>239025569.26581001</v>
      </c>
      <c r="AX35" s="404">
        <f t="shared" si="12"/>
        <v>8061.8425331650315</v>
      </c>
      <c r="AY35" s="403">
        <f t="shared" si="42"/>
        <v>60</v>
      </c>
      <c r="AZ35" s="14">
        <v>119866171.9033408</v>
      </c>
      <c r="BA35" s="288">
        <f t="shared" si="13"/>
        <v>-4390598.2375307977</v>
      </c>
      <c r="BB35" s="288">
        <f t="shared" si="43"/>
        <v>78909284.5</v>
      </c>
      <c r="BC35" s="288">
        <v>81629233</v>
      </c>
      <c r="BD35" s="288">
        <f t="shared" si="44"/>
        <v>-2719948.5</v>
      </c>
      <c r="BE35" s="288">
        <f t="shared" si="45"/>
        <v>9162195.0021755993</v>
      </c>
      <c r="BF35" s="288">
        <v>10716909.903340802</v>
      </c>
      <c r="BG35" s="288">
        <f t="shared" si="46"/>
        <v>-1554714.9011652023</v>
      </c>
      <c r="BH35" s="288">
        <f t="shared" si="47"/>
        <v>152643073.5</v>
      </c>
      <c r="BI35" s="288">
        <v>143884045</v>
      </c>
      <c r="BJ35" s="288">
        <f t="shared" si="48"/>
        <v>8759028.5</v>
      </c>
      <c r="BK35" s="81">
        <f t="shared" si="49"/>
        <v>29649</v>
      </c>
      <c r="BL35" s="81">
        <v>29511</v>
      </c>
      <c r="BM35" s="998">
        <f t="shared" si="50"/>
        <v>138</v>
      </c>
      <c r="BN35" s="81">
        <f t="shared" si="51"/>
        <v>39193</v>
      </c>
      <c r="BO35" s="81">
        <v>39224</v>
      </c>
      <c r="BP35" s="998">
        <f t="shared" si="52"/>
        <v>-31</v>
      </c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</row>
    <row r="36" spans="1:148" s="5" customFormat="1">
      <c r="A36" s="103">
        <v>29</v>
      </c>
      <c r="B36" s="81" t="s">
        <v>130</v>
      </c>
      <c r="C36" s="81">
        <f>'Table 8 2.1.12 MFP Funded'!AD32</f>
        <v>13586</v>
      </c>
      <c r="D36" s="81">
        <f>'[2]totalled for Table 3'!$AD32</f>
        <v>8274</v>
      </c>
      <c r="E36" s="81">
        <f t="shared" si="3"/>
        <v>1820</v>
      </c>
      <c r="F36" s="81">
        <f>'[3]Units-Corrected_for Table 3'!$T40</f>
        <v>6266.5</v>
      </c>
      <c r="G36" s="81">
        <f t="shared" si="4"/>
        <v>376</v>
      </c>
      <c r="H36" s="81">
        <f>[4]Disabling_Exceptionalities!$Z34</f>
        <v>1231</v>
      </c>
      <c r="I36" s="81">
        <f t="shared" si="14"/>
        <v>1847</v>
      </c>
      <c r="J36" s="81">
        <f>[4]GiftedTalented!$AA34</f>
        <v>215</v>
      </c>
      <c r="K36" s="13">
        <f t="shared" si="15"/>
        <v>129</v>
      </c>
      <c r="L36" s="13">
        <f t="shared" si="5"/>
        <v>0</v>
      </c>
      <c r="M36" s="65">
        <f t="shared" si="6"/>
        <v>0</v>
      </c>
      <c r="N36" s="13">
        <f t="shared" si="7"/>
        <v>0</v>
      </c>
      <c r="O36" s="13">
        <f t="shared" si="16"/>
        <v>4172</v>
      </c>
      <c r="P36" s="13">
        <f t="shared" si="8"/>
        <v>17758</v>
      </c>
      <c r="Q36" s="398">
        <f t="shared" si="17"/>
        <v>3855</v>
      </c>
      <c r="R36" s="398">
        <f t="shared" si="9"/>
        <v>68457090</v>
      </c>
      <c r="S36" s="398">
        <f>'Table 6 (Local Deduct Calc.)'!J37</f>
        <v>25566885.5</v>
      </c>
      <c r="T36" s="398">
        <f t="shared" si="18"/>
        <v>25566885.5</v>
      </c>
      <c r="U36" s="399">
        <f t="shared" si="19"/>
        <v>42890204.5</v>
      </c>
      <c r="V36" s="400">
        <f t="shared" si="53"/>
        <v>0.62649999999999995</v>
      </c>
      <c r="W36" s="400">
        <f t="shared" si="20"/>
        <v>0.3735</v>
      </c>
      <c r="X36" s="401">
        <f t="shared" si="21"/>
        <v>1881.8552554099808</v>
      </c>
      <c r="Y36" s="398">
        <f>'Table 7 Local Revenue'!AQ36</f>
        <v>60331639.5</v>
      </c>
      <c r="Z36" s="398">
        <f t="shared" si="22"/>
        <v>34764754</v>
      </c>
      <c r="AA36" s="288">
        <f t="shared" si="23"/>
        <v>0</v>
      </c>
      <c r="AB36" s="14">
        <f t="shared" si="24"/>
        <v>23275410.600000001</v>
      </c>
      <c r="AC36" s="14">
        <f t="shared" si="25"/>
        <v>23275410.600000001</v>
      </c>
      <c r="AD36" s="398">
        <f t="shared" si="26"/>
        <v>14952589.277652001</v>
      </c>
      <c r="AE36" s="402">
        <f t="shared" si="27"/>
        <v>8322821.3223480005</v>
      </c>
      <c r="AF36" s="16">
        <f t="shared" si="28"/>
        <v>0.35759999999999997</v>
      </c>
      <c r="AG36" s="402">
        <f t="shared" si="29"/>
        <v>51213025.822347999</v>
      </c>
      <c r="AH36" s="14">
        <f t="shared" si="30"/>
        <v>3770</v>
      </c>
      <c r="AI36" s="402">
        <f>'Table 4 Level 3'!O34</f>
        <v>2384287</v>
      </c>
      <c r="AJ36" s="14">
        <f t="shared" si="10"/>
        <v>175.49587810981893</v>
      </c>
      <c r="AK36" s="402">
        <f t="shared" si="31"/>
        <v>53597312.822347999</v>
      </c>
      <c r="AL36" s="14">
        <f t="shared" si="32"/>
        <v>3945.0399545376122</v>
      </c>
      <c r="AM36" s="532">
        <f>'Table 4 Level 3'!R34</f>
        <v>12634322.929119218</v>
      </c>
      <c r="AN36" s="533">
        <f t="shared" si="33"/>
        <v>929.95163617836147</v>
      </c>
      <c r="AO36" s="402">
        <f t="shared" si="34"/>
        <v>63847348.751467213</v>
      </c>
      <c r="AP36" s="14">
        <f t="shared" si="35"/>
        <v>4699.4957126061545</v>
      </c>
      <c r="AQ36" s="16">
        <f t="shared" si="36"/>
        <v>0.56657689209707296</v>
      </c>
      <c r="AR36" s="403">
        <f t="shared" si="37"/>
        <v>48</v>
      </c>
      <c r="AS36" s="14">
        <f t="shared" si="38"/>
        <v>48842296.100000001</v>
      </c>
      <c r="AT36" s="14">
        <f t="shared" si="11"/>
        <v>3595.05</v>
      </c>
      <c r="AU36" s="403">
        <f t="shared" si="39"/>
        <v>23</v>
      </c>
      <c r="AV36" s="16">
        <f t="shared" si="40"/>
        <v>0.43342310790292704</v>
      </c>
      <c r="AW36" s="403">
        <f t="shared" si="41"/>
        <v>112689644.85146722</v>
      </c>
      <c r="AX36" s="404">
        <f t="shared" si="12"/>
        <v>8294.541796810483</v>
      </c>
      <c r="AY36" s="403">
        <f t="shared" si="42"/>
        <v>54</v>
      </c>
      <c r="AZ36" s="14">
        <v>66681242.241313599</v>
      </c>
      <c r="BA36" s="288">
        <f t="shared" si="13"/>
        <v>-2833893.489846386</v>
      </c>
      <c r="BB36" s="288">
        <f t="shared" si="43"/>
        <v>42890204.5</v>
      </c>
      <c r="BC36" s="288">
        <v>44513542</v>
      </c>
      <c r="BD36" s="288">
        <f t="shared" si="44"/>
        <v>-1623337.5</v>
      </c>
      <c r="BE36" s="288">
        <f t="shared" si="45"/>
        <v>8322821.3223480005</v>
      </c>
      <c r="BF36" s="288">
        <v>9389215.2413135991</v>
      </c>
      <c r="BG36" s="288">
        <f t="shared" si="46"/>
        <v>-1066393.9189655986</v>
      </c>
      <c r="BH36" s="288">
        <f t="shared" si="47"/>
        <v>60331639.5</v>
      </c>
      <c r="BI36" s="288">
        <v>54067766</v>
      </c>
      <c r="BJ36" s="288">
        <f t="shared" si="48"/>
        <v>6263873.5</v>
      </c>
      <c r="BK36" s="81">
        <f t="shared" si="49"/>
        <v>13586</v>
      </c>
      <c r="BL36" s="81">
        <v>13458</v>
      </c>
      <c r="BM36" s="998">
        <f t="shared" si="50"/>
        <v>128</v>
      </c>
      <c r="BN36" s="81">
        <f t="shared" si="51"/>
        <v>17758</v>
      </c>
      <c r="BO36" s="81">
        <v>17633</v>
      </c>
      <c r="BP36" s="998">
        <f t="shared" si="52"/>
        <v>125</v>
      </c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</row>
    <row r="37" spans="1:148" s="21" customFormat="1">
      <c r="A37" s="104">
        <v>30</v>
      </c>
      <c r="B37" s="82" t="s">
        <v>131</v>
      </c>
      <c r="C37" s="82">
        <f>'Table 8 2.1.12 MFP Funded'!AD33</f>
        <v>2436</v>
      </c>
      <c r="D37" s="82">
        <f>'[2]totalled for Table 3'!$AD33</f>
        <v>1318</v>
      </c>
      <c r="E37" s="82">
        <f t="shared" si="3"/>
        <v>290</v>
      </c>
      <c r="F37" s="82">
        <f>'[3]Units-Corrected_for Table 3'!$T41</f>
        <v>854</v>
      </c>
      <c r="G37" s="82">
        <f t="shared" si="4"/>
        <v>51</v>
      </c>
      <c r="H37" s="82">
        <f>[4]Disabling_Exceptionalities!$Z35</f>
        <v>206</v>
      </c>
      <c r="I37" s="82">
        <f t="shared" si="14"/>
        <v>309</v>
      </c>
      <c r="J37" s="82">
        <f>[4]GiftedTalented!$AA35</f>
        <v>29</v>
      </c>
      <c r="K37" s="19">
        <f t="shared" si="15"/>
        <v>17</v>
      </c>
      <c r="L37" s="19">
        <f t="shared" si="5"/>
        <v>5064</v>
      </c>
      <c r="M37" s="66">
        <f t="shared" si="6"/>
        <v>0.13503999999999999</v>
      </c>
      <c r="N37" s="19">
        <f t="shared" si="7"/>
        <v>329</v>
      </c>
      <c r="O37" s="19">
        <f t="shared" si="16"/>
        <v>996</v>
      </c>
      <c r="P37" s="13">
        <f t="shared" si="8"/>
        <v>3432</v>
      </c>
      <c r="Q37" s="405">
        <f t="shared" si="17"/>
        <v>3855</v>
      </c>
      <c r="R37" s="405">
        <f t="shared" si="9"/>
        <v>13230360</v>
      </c>
      <c r="S37" s="405">
        <f>'Table 6 (Local Deduct Calc.)'!J38</f>
        <v>2795359</v>
      </c>
      <c r="T37" s="405">
        <f t="shared" si="18"/>
        <v>2795359</v>
      </c>
      <c r="U37" s="406">
        <f t="shared" si="19"/>
        <v>10435001</v>
      </c>
      <c r="V37" s="407">
        <f t="shared" si="53"/>
        <v>0.78869999999999996</v>
      </c>
      <c r="W37" s="408">
        <f t="shared" si="20"/>
        <v>0.21129999999999999</v>
      </c>
      <c r="X37" s="409">
        <f t="shared" si="21"/>
        <v>1147.5201149425288</v>
      </c>
      <c r="Y37" s="405">
        <f>'Table 7 Local Revenue'!AQ37</f>
        <v>8831392</v>
      </c>
      <c r="Z37" s="405">
        <f t="shared" si="22"/>
        <v>6036033</v>
      </c>
      <c r="AA37" s="289">
        <f t="shared" si="23"/>
        <v>0</v>
      </c>
      <c r="AB37" s="20">
        <f t="shared" si="24"/>
        <v>4498322.4000000004</v>
      </c>
      <c r="AC37" s="20">
        <f t="shared" si="25"/>
        <v>4498322.4000000004</v>
      </c>
      <c r="AD37" s="405">
        <f t="shared" si="26"/>
        <v>1634852.2997664001</v>
      </c>
      <c r="AE37" s="410">
        <f t="shared" si="27"/>
        <v>2863470.1002336005</v>
      </c>
      <c r="AF37" s="282">
        <f t="shared" si="28"/>
        <v>0.63660000000000005</v>
      </c>
      <c r="AG37" s="410">
        <f t="shared" si="29"/>
        <v>13298471.1002336</v>
      </c>
      <c r="AH37" s="20">
        <f t="shared" si="30"/>
        <v>5459</v>
      </c>
      <c r="AI37" s="410">
        <f>'Table 4 Level 3'!O35</f>
        <v>330685</v>
      </c>
      <c r="AJ37" s="20">
        <f t="shared" si="10"/>
        <v>135.7491789819376</v>
      </c>
      <c r="AK37" s="410">
        <f t="shared" si="31"/>
        <v>13629156.1002336</v>
      </c>
      <c r="AL37" s="20">
        <f t="shared" si="32"/>
        <v>5594.8916667625617</v>
      </c>
      <c r="AM37" s="534">
        <f>'Table 4 Level 3'!R35</f>
        <v>2101780.2519999994</v>
      </c>
      <c r="AN37" s="535">
        <f t="shared" si="33"/>
        <v>862.79977504105068</v>
      </c>
      <c r="AO37" s="410">
        <f t="shared" si="34"/>
        <v>15400251.3522336</v>
      </c>
      <c r="AP37" s="20">
        <f t="shared" si="35"/>
        <v>6321.9422628216744</v>
      </c>
      <c r="AQ37" s="282">
        <f t="shared" si="36"/>
        <v>0.67860654741377358</v>
      </c>
      <c r="AR37" s="411">
        <f t="shared" si="37"/>
        <v>29</v>
      </c>
      <c r="AS37" s="20">
        <f t="shared" si="38"/>
        <v>7293681.4000000004</v>
      </c>
      <c r="AT37" s="20">
        <f t="shared" si="11"/>
        <v>2994.12</v>
      </c>
      <c r="AU37" s="411">
        <f t="shared" si="39"/>
        <v>42</v>
      </c>
      <c r="AV37" s="282">
        <f t="shared" si="40"/>
        <v>0.32139345258622637</v>
      </c>
      <c r="AW37" s="411">
        <f t="shared" si="41"/>
        <v>22693932.752233602</v>
      </c>
      <c r="AX37" s="412">
        <f t="shared" si="12"/>
        <v>9316.0643482075538</v>
      </c>
      <c r="AY37" s="411">
        <f t="shared" si="42"/>
        <v>12</v>
      </c>
      <c r="AZ37" s="20">
        <v>15881213.792093601</v>
      </c>
      <c r="BA37" s="289">
        <f t="shared" si="13"/>
        <v>-480962.43986000121</v>
      </c>
      <c r="BB37" s="289">
        <f t="shared" si="43"/>
        <v>10435001</v>
      </c>
      <c r="BC37" s="289">
        <v>10755193</v>
      </c>
      <c r="BD37" s="289">
        <f t="shared" si="44"/>
        <v>-320192</v>
      </c>
      <c r="BE37" s="289">
        <f t="shared" si="45"/>
        <v>2863470.1002336005</v>
      </c>
      <c r="BF37" s="289">
        <v>3018420.7920936001</v>
      </c>
      <c r="BG37" s="289">
        <f t="shared" si="46"/>
        <v>-154950.69185999967</v>
      </c>
      <c r="BH37" s="289">
        <f t="shared" si="47"/>
        <v>8831392</v>
      </c>
      <c r="BI37" s="289">
        <v>8316938</v>
      </c>
      <c r="BJ37" s="289">
        <f t="shared" si="48"/>
        <v>514454</v>
      </c>
      <c r="BK37" s="82">
        <f t="shared" si="49"/>
        <v>2436</v>
      </c>
      <c r="BL37" s="82">
        <v>2440</v>
      </c>
      <c r="BM37" s="999">
        <f t="shared" si="50"/>
        <v>-4</v>
      </c>
      <c r="BN37" s="82">
        <f t="shared" si="51"/>
        <v>3432</v>
      </c>
      <c r="BO37" s="82">
        <v>3466</v>
      </c>
      <c r="BP37" s="999">
        <f t="shared" si="52"/>
        <v>-34</v>
      </c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</row>
    <row r="38" spans="1:148" s="5" customFormat="1">
      <c r="A38" s="103">
        <v>31</v>
      </c>
      <c r="B38" s="81" t="s">
        <v>132</v>
      </c>
      <c r="C38" s="81">
        <f>'Table 8 2.1.12 MFP Funded'!AD34</f>
        <v>6464</v>
      </c>
      <c r="D38" s="81">
        <f>'[2]totalled for Table 3'!$AD34</f>
        <v>3881</v>
      </c>
      <c r="E38" s="81">
        <f t="shared" si="3"/>
        <v>854</v>
      </c>
      <c r="F38" s="81">
        <f>'[3]Units-Corrected_for Table 3'!$T42</f>
        <v>2066.5</v>
      </c>
      <c r="G38" s="81">
        <f t="shared" si="4"/>
        <v>124</v>
      </c>
      <c r="H38" s="81">
        <f>[4]Disabling_Exceptionalities!$Z36</f>
        <v>722</v>
      </c>
      <c r="I38" s="81">
        <f t="shared" si="14"/>
        <v>1083</v>
      </c>
      <c r="J38" s="81">
        <f>[4]GiftedTalented!$AA36</f>
        <v>326</v>
      </c>
      <c r="K38" s="13">
        <f t="shared" si="15"/>
        <v>196</v>
      </c>
      <c r="L38" s="13">
        <f t="shared" si="5"/>
        <v>1036</v>
      </c>
      <c r="M38" s="65">
        <f t="shared" si="6"/>
        <v>2.7629999999999998E-2</v>
      </c>
      <c r="N38" s="13">
        <f t="shared" si="7"/>
        <v>179</v>
      </c>
      <c r="O38" s="13">
        <f t="shared" si="16"/>
        <v>2436</v>
      </c>
      <c r="P38" s="36">
        <f t="shared" si="8"/>
        <v>8900</v>
      </c>
      <c r="Q38" s="398">
        <f t="shared" si="17"/>
        <v>3855</v>
      </c>
      <c r="R38" s="398">
        <f t="shared" si="9"/>
        <v>34309500</v>
      </c>
      <c r="S38" s="398">
        <f>'Table 6 (Local Deduct Calc.)'!J39</f>
        <v>12597084</v>
      </c>
      <c r="T38" s="398">
        <f t="shared" si="18"/>
        <v>12597084</v>
      </c>
      <c r="U38" s="399">
        <f t="shared" si="19"/>
        <v>21712416</v>
      </c>
      <c r="V38" s="400">
        <f t="shared" si="53"/>
        <v>0.63280000000000003</v>
      </c>
      <c r="W38" s="400">
        <f t="shared" si="20"/>
        <v>0.36720000000000003</v>
      </c>
      <c r="X38" s="401">
        <f t="shared" si="21"/>
        <v>1948.8063118811881</v>
      </c>
      <c r="Y38" s="398">
        <f>'Table 7 Local Revenue'!AQ38</f>
        <v>30941104</v>
      </c>
      <c r="Z38" s="398">
        <f t="shared" si="22"/>
        <v>18344020</v>
      </c>
      <c r="AA38" s="288">
        <f t="shared" si="23"/>
        <v>0</v>
      </c>
      <c r="AB38" s="14">
        <f t="shared" si="24"/>
        <v>11665230</v>
      </c>
      <c r="AC38" s="14">
        <f t="shared" si="25"/>
        <v>11665230</v>
      </c>
      <c r="AD38" s="398">
        <f t="shared" si="26"/>
        <v>7367572.6243200004</v>
      </c>
      <c r="AE38" s="402">
        <f t="shared" si="27"/>
        <v>4297657.3756799996</v>
      </c>
      <c r="AF38" s="16">
        <f t="shared" si="28"/>
        <v>0.36840000000000001</v>
      </c>
      <c r="AG38" s="402">
        <f t="shared" si="29"/>
        <v>26010073.37568</v>
      </c>
      <c r="AH38" s="14">
        <f t="shared" si="30"/>
        <v>4024</v>
      </c>
      <c r="AI38" s="402">
        <f>'Table 4 Level 3'!O36</f>
        <v>877482</v>
      </c>
      <c r="AJ38" s="14">
        <f t="shared" si="10"/>
        <v>135.74907178217822</v>
      </c>
      <c r="AK38" s="402">
        <f t="shared" si="31"/>
        <v>26887555.37568</v>
      </c>
      <c r="AL38" s="14">
        <f t="shared" si="32"/>
        <v>4159.5846806435638</v>
      </c>
      <c r="AM38" s="532">
        <f>'Table 4 Level 3'!R36</f>
        <v>4890340.8710000003</v>
      </c>
      <c r="AN38" s="533">
        <f t="shared" si="33"/>
        <v>756.55025850866343</v>
      </c>
      <c r="AO38" s="402">
        <f t="shared" si="34"/>
        <v>30900414.246679999</v>
      </c>
      <c r="AP38" s="14">
        <f t="shared" si="35"/>
        <v>4780.3858673700497</v>
      </c>
      <c r="AQ38" s="16">
        <f t="shared" si="36"/>
        <v>0.56016834607051469</v>
      </c>
      <c r="AR38" s="403">
        <f t="shared" si="37"/>
        <v>51</v>
      </c>
      <c r="AS38" s="14">
        <f t="shared" si="38"/>
        <v>24262314</v>
      </c>
      <c r="AT38" s="14">
        <f t="shared" si="11"/>
        <v>3753.45</v>
      </c>
      <c r="AU38" s="403">
        <f t="shared" si="39"/>
        <v>22</v>
      </c>
      <c r="AV38" s="16">
        <f t="shared" si="40"/>
        <v>0.43983165392948531</v>
      </c>
      <c r="AW38" s="403">
        <f t="shared" si="41"/>
        <v>55162728.246679999</v>
      </c>
      <c r="AX38" s="404">
        <f t="shared" si="12"/>
        <v>8533.8379094492575</v>
      </c>
      <c r="AY38" s="403">
        <f t="shared" si="42"/>
        <v>42</v>
      </c>
      <c r="AZ38" s="14">
        <v>31403529.1727456</v>
      </c>
      <c r="BA38" s="288">
        <f t="shared" si="13"/>
        <v>-503114.92606560141</v>
      </c>
      <c r="BB38" s="288">
        <f t="shared" si="43"/>
        <v>21712416</v>
      </c>
      <c r="BC38" s="288">
        <v>22044881</v>
      </c>
      <c r="BD38" s="288">
        <f t="shared" si="44"/>
        <v>-332465</v>
      </c>
      <c r="BE38" s="288">
        <f t="shared" si="45"/>
        <v>4297657.3756799996</v>
      </c>
      <c r="BF38" s="288">
        <v>4458073.1727456013</v>
      </c>
      <c r="BG38" s="288">
        <f t="shared" si="46"/>
        <v>-160415.79706560168</v>
      </c>
      <c r="BH38" s="288">
        <f t="shared" si="47"/>
        <v>30941104</v>
      </c>
      <c r="BI38" s="288">
        <v>29400777</v>
      </c>
      <c r="BJ38" s="288">
        <f t="shared" si="48"/>
        <v>1540327</v>
      </c>
      <c r="BK38" s="81">
        <f t="shared" si="49"/>
        <v>6464</v>
      </c>
      <c r="BL38" s="81">
        <v>6470</v>
      </c>
      <c r="BM38" s="998">
        <f t="shared" si="50"/>
        <v>-6</v>
      </c>
      <c r="BN38" s="81">
        <f t="shared" si="51"/>
        <v>8900</v>
      </c>
      <c r="BO38" s="81">
        <v>8936</v>
      </c>
      <c r="BP38" s="998">
        <f t="shared" si="52"/>
        <v>-36</v>
      </c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</row>
    <row r="39" spans="1:148" s="5" customFormat="1">
      <c r="A39" s="103">
        <v>32</v>
      </c>
      <c r="B39" s="81" t="s">
        <v>133</v>
      </c>
      <c r="C39" s="81">
        <f>'Table 8 2.1.12 MFP Funded'!AD35</f>
        <v>24453</v>
      </c>
      <c r="D39" s="81">
        <f>'[2]totalled for Table 3'!$AD35</f>
        <v>12254</v>
      </c>
      <c r="E39" s="81">
        <f t="shared" si="3"/>
        <v>2696</v>
      </c>
      <c r="F39" s="81">
        <f>'[3]Units-Corrected_for Table 3'!$T43</f>
        <v>10252.5</v>
      </c>
      <c r="G39" s="81">
        <f t="shared" si="4"/>
        <v>615</v>
      </c>
      <c r="H39" s="81">
        <f>[4]Disabling_Exceptionalities!$Z37</f>
        <v>3214</v>
      </c>
      <c r="I39" s="81">
        <f t="shared" si="14"/>
        <v>4821</v>
      </c>
      <c r="J39" s="81">
        <f>[4]GiftedTalented!$AA37</f>
        <v>1125</v>
      </c>
      <c r="K39" s="13">
        <f t="shared" si="15"/>
        <v>675</v>
      </c>
      <c r="L39" s="13">
        <f t="shared" si="5"/>
        <v>0</v>
      </c>
      <c r="M39" s="65">
        <f t="shared" si="6"/>
        <v>0</v>
      </c>
      <c r="N39" s="13">
        <f t="shared" si="7"/>
        <v>0</v>
      </c>
      <c r="O39" s="13">
        <f t="shared" si="16"/>
        <v>8807</v>
      </c>
      <c r="P39" s="13">
        <f t="shared" si="8"/>
        <v>33260</v>
      </c>
      <c r="Q39" s="398">
        <f t="shared" si="17"/>
        <v>3855</v>
      </c>
      <c r="R39" s="398">
        <f t="shared" si="9"/>
        <v>128217300</v>
      </c>
      <c r="S39" s="398">
        <f>'Table 6 (Local Deduct Calc.)'!J40</f>
        <v>18800725.5</v>
      </c>
      <c r="T39" s="398">
        <f t="shared" si="18"/>
        <v>18800725.5</v>
      </c>
      <c r="U39" s="399">
        <f t="shared" si="19"/>
        <v>109416574.5</v>
      </c>
      <c r="V39" s="400">
        <f t="shared" si="53"/>
        <v>0.85340000000000005</v>
      </c>
      <c r="W39" s="400">
        <f t="shared" si="20"/>
        <v>0.14660000000000001</v>
      </c>
      <c r="X39" s="401">
        <f t="shared" si="21"/>
        <v>768.85149061464847</v>
      </c>
      <c r="Y39" s="398">
        <f>'Table 7 Local Revenue'!AQ39</f>
        <v>47836836.5</v>
      </c>
      <c r="Z39" s="1619">
        <f>IF(Y39-T39&gt;0,Y39-T39,0)-758118</f>
        <v>28277993</v>
      </c>
      <c r="AA39" s="288">
        <f t="shared" si="23"/>
        <v>0</v>
      </c>
      <c r="AB39" s="14">
        <f t="shared" si="24"/>
        <v>43593882</v>
      </c>
      <c r="AC39" s="14">
        <f t="shared" si="25"/>
        <v>28277993</v>
      </c>
      <c r="AD39" s="398">
        <f t="shared" si="26"/>
        <v>7130352.4909359999</v>
      </c>
      <c r="AE39" s="402">
        <f t="shared" si="27"/>
        <v>21147640.509064</v>
      </c>
      <c r="AF39" s="16">
        <f t="shared" si="28"/>
        <v>0.74780000000000002</v>
      </c>
      <c r="AG39" s="402">
        <f t="shared" si="29"/>
        <v>130564215.009064</v>
      </c>
      <c r="AH39" s="14">
        <f t="shared" si="30"/>
        <v>5339</v>
      </c>
      <c r="AI39" s="402">
        <f>'Table 4 Level 3'!O37</f>
        <v>3319473</v>
      </c>
      <c r="AJ39" s="14">
        <f t="shared" si="10"/>
        <v>135.74911053858423</v>
      </c>
      <c r="AK39" s="402">
        <f t="shared" si="31"/>
        <v>133883688.009064</v>
      </c>
      <c r="AL39" s="14">
        <f t="shared" si="32"/>
        <v>5475.1436637248598</v>
      </c>
      <c r="AM39" s="532">
        <f>'Table 4 Level 3'!R37</f>
        <v>17003554.443</v>
      </c>
      <c r="AN39" s="533">
        <f t="shared" si="33"/>
        <v>695.35657968347437</v>
      </c>
      <c r="AO39" s="402">
        <f t="shared" si="34"/>
        <v>147567769.45206401</v>
      </c>
      <c r="AP39" s="14">
        <f t="shared" si="35"/>
        <v>6034.7511328697501</v>
      </c>
      <c r="AQ39" s="16">
        <f t="shared" si="36"/>
        <v>0.75813219649976848</v>
      </c>
      <c r="AR39" s="403">
        <f t="shared" si="37"/>
        <v>8</v>
      </c>
      <c r="AS39" s="14">
        <f t="shared" si="38"/>
        <v>47078718.5</v>
      </c>
      <c r="AT39" s="14">
        <f t="shared" si="11"/>
        <v>1925.27</v>
      </c>
      <c r="AU39" s="403">
        <f t="shared" si="39"/>
        <v>62</v>
      </c>
      <c r="AV39" s="16">
        <f t="shared" si="40"/>
        <v>0.24186780350023152</v>
      </c>
      <c r="AW39" s="403">
        <f t="shared" si="41"/>
        <v>194646487.95206401</v>
      </c>
      <c r="AX39" s="404">
        <f t="shared" si="12"/>
        <v>7960.0248620645325</v>
      </c>
      <c r="AY39" s="403">
        <f t="shared" si="42"/>
        <v>62</v>
      </c>
      <c r="AZ39" s="14">
        <v>143816290.96811199</v>
      </c>
      <c r="BA39" s="288">
        <f t="shared" si="13"/>
        <v>3751478.4839520156</v>
      </c>
      <c r="BB39" s="288">
        <f t="shared" si="43"/>
        <v>109416574.5</v>
      </c>
      <c r="BC39" s="288">
        <v>106409412.5</v>
      </c>
      <c r="BD39" s="288">
        <f t="shared" si="44"/>
        <v>3007162</v>
      </c>
      <c r="BE39" s="288">
        <f t="shared" si="45"/>
        <v>21147640.509064</v>
      </c>
      <c r="BF39" s="288">
        <v>20659169.468111999</v>
      </c>
      <c r="BG39" s="288">
        <f t="shared" si="46"/>
        <v>488471.04095200077</v>
      </c>
      <c r="BH39" s="288">
        <f t="shared" si="47"/>
        <v>47836836.5</v>
      </c>
      <c r="BI39" s="288">
        <v>46684467.5</v>
      </c>
      <c r="BJ39" s="288">
        <f t="shared" si="48"/>
        <v>1152369</v>
      </c>
      <c r="BK39" s="81">
        <f t="shared" si="49"/>
        <v>24453</v>
      </c>
      <c r="BL39" s="81">
        <v>24050</v>
      </c>
      <c r="BM39" s="998">
        <f t="shared" si="50"/>
        <v>403</v>
      </c>
      <c r="BN39" s="81">
        <f t="shared" si="51"/>
        <v>33260</v>
      </c>
      <c r="BO39" s="81">
        <v>32374</v>
      </c>
      <c r="BP39" s="998">
        <f t="shared" si="52"/>
        <v>886</v>
      </c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</row>
    <row r="40" spans="1:148" s="5" customFormat="1">
      <c r="A40" s="103">
        <v>33</v>
      </c>
      <c r="B40" s="81" t="s">
        <v>134</v>
      </c>
      <c r="C40" s="81">
        <f>'Table 8 2.1.12 MFP Funded'!AD36</f>
        <v>1999</v>
      </c>
      <c r="D40" s="81">
        <f>'[2]totalled for Table 3'!$AD36</f>
        <v>1806</v>
      </c>
      <c r="E40" s="81">
        <f t="shared" ref="E40:E76" si="54">ROUND($E$4*D40,0)</f>
        <v>397</v>
      </c>
      <c r="F40" s="81">
        <f>'[3]Units-Corrected_for Table 3'!$T44</f>
        <v>721</v>
      </c>
      <c r="G40" s="81">
        <f t="shared" ref="G40:G76" si="55">ROUND($G$4*F40,0)</f>
        <v>43</v>
      </c>
      <c r="H40" s="81">
        <f>[4]Disabling_Exceptionalities!$Z38</f>
        <v>217</v>
      </c>
      <c r="I40" s="81">
        <f t="shared" si="14"/>
        <v>326</v>
      </c>
      <c r="J40" s="81">
        <f>[4]GiftedTalented!$AA38</f>
        <v>11</v>
      </c>
      <c r="K40" s="13">
        <f t="shared" si="15"/>
        <v>7</v>
      </c>
      <c r="L40" s="13">
        <f t="shared" ref="L40:L76" si="56">IF(C40&lt;$L$4,$L$4-C40,0)</f>
        <v>5501</v>
      </c>
      <c r="M40" s="65">
        <f t="shared" ref="M40:M71" si="57">ROUND(L40/$M$4,5)</f>
        <v>0.14668999999999999</v>
      </c>
      <c r="N40" s="13">
        <f t="shared" ref="N40:N71" si="58" xml:space="preserve"> ROUND(C40*M40,0)</f>
        <v>293</v>
      </c>
      <c r="O40" s="13">
        <f t="shared" si="16"/>
        <v>1066</v>
      </c>
      <c r="P40" s="13">
        <f t="shared" ref="P40:P71" si="59">O40+C40</f>
        <v>3065</v>
      </c>
      <c r="Q40" s="398">
        <f t="shared" si="17"/>
        <v>3855</v>
      </c>
      <c r="R40" s="398">
        <f t="shared" ref="R40:R71" si="60">ROUND(P40*Q40,0)</f>
        <v>11815575</v>
      </c>
      <c r="S40" s="398">
        <f>'Table 6 (Local Deduct Calc.)'!J41</f>
        <v>2868992.5</v>
      </c>
      <c r="T40" s="398">
        <f t="shared" si="18"/>
        <v>2868992.5</v>
      </c>
      <c r="U40" s="399">
        <f t="shared" si="19"/>
        <v>8946582.5</v>
      </c>
      <c r="V40" s="400">
        <f t="shared" si="53"/>
        <v>0.75719999999999998</v>
      </c>
      <c r="W40" s="400">
        <f t="shared" si="20"/>
        <v>0.24279999999999999</v>
      </c>
      <c r="X40" s="401">
        <f t="shared" si="21"/>
        <v>1435.2138569284643</v>
      </c>
      <c r="Y40" s="398">
        <f>'Table 7 Local Revenue'!AQ40</f>
        <v>5533546.5</v>
      </c>
      <c r="Z40" s="398">
        <f t="shared" si="22"/>
        <v>2664554</v>
      </c>
      <c r="AA40" s="288">
        <f t="shared" si="23"/>
        <v>0</v>
      </c>
      <c r="AB40" s="14">
        <f t="shared" si="24"/>
        <v>4017295.5000000005</v>
      </c>
      <c r="AC40" s="14">
        <f t="shared" si="25"/>
        <v>2664554</v>
      </c>
      <c r="AD40" s="398">
        <f t="shared" si="26"/>
        <v>1112760.3832640001</v>
      </c>
      <c r="AE40" s="402">
        <f t="shared" si="27"/>
        <v>1551793.6167359999</v>
      </c>
      <c r="AF40" s="16">
        <f t="shared" si="28"/>
        <v>0.58240000000000003</v>
      </c>
      <c r="AG40" s="402">
        <f t="shared" si="29"/>
        <v>10498376.116736</v>
      </c>
      <c r="AH40" s="14">
        <f t="shared" si="30"/>
        <v>5252</v>
      </c>
      <c r="AI40" s="402">
        <f>'Table 4 Level 3'!O38</f>
        <v>291362</v>
      </c>
      <c r="AJ40" s="14">
        <f t="shared" ref="AJ40:AJ71" si="61">AI40/C40</f>
        <v>145.75387693846923</v>
      </c>
      <c r="AK40" s="402">
        <f t="shared" si="31"/>
        <v>10789738.116736</v>
      </c>
      <c r="AL40" s="14">
        <f t="shared" ref="AL40:AL71" si="62">AK40/C40</f>
        <v>5397.5678422891451</v>
      </c>
      <c r="AM40" s="532">
        <f>'Table 4 Level 3'!R38</f>
        <v>1584578.3686501165</v>
      </c>
      <c r="AN40" s="533">
        <f t="shared" si="33"/>
        <v>792.6855270886025</v>
      </c>
      <c r="AO40" s="402">
        <f t="shared" si="34"/>
        <v>12082954.485386116</v>
      </c>
      <c r="AP40" s="14">
        <f t="shared" si="35"/>
        <v>6044.4994924392777</v>
      </c>
      <c r="AQ40" s="16">
        <f t="shared" si="36"/>
        <v>0.68588844603191113</v>
      </c>
      <c r="AR40" s="403">
        <f t="shared" si="37"/>
        <v>24</v>
      </c>
      <c r="AS40" s="14">
        <f t="shared" si="38"/>
        <v>5533546.5</v>
      </c>
      <c r="AT40" s="14">
        <f t="shared" ref="AT40:AT71" si="63">ROUND(AS40/C40,2)</f>
        <v>2768.16</v>
      </c>
      <c r="AU40" s="403">
        <f t="shared" si="39"/>
        <v>49</v>
      </c>
      <c r="AV40" s="16">
        <f t="shared" si="40"/>
        <v>0.31411155396808871</v>
      </c>
      <c r="AW40" s="403">
        <f t="shared" si="41"/>
        <v>17616500.985386118</v>
      </c>
      <c r="AX40" s="404">
        <f t="shared" ref="AX40:AX71" si="64">AW40/C40</f>
        <v>8812.6568211036101</v>
      </c>
      <c r="AY40" s="403">
        <f t="shared" si="42"/>
        <v>30</v>
      </c>
      <c r="AZ40" s="14">
        <v>11685028.229952</v>
      </c>
      <c r="BA40" s="288">
        <f t="shared" ref="BA40:BA71" si="65">AO40-AZ40</f>
        <v>397926.25543411635</v>
      </c>
      <c r="BB40" s="288">
        <f t="shared" si="43"/>
        <v>8946582.5</v>
      </c>
      <c r="BC40" s="288">
        <v>8208387</v>
      </c>
      <c r="BD40" s="288">
        <f t="shared" si="44"/>
        <v>738195.5</v>
      </c>
      <c r="BE40" s="288">
        <f t="shared" si="45"/>
        <v>1551793.6167359999</v>
      </c>
      <c r="BF40" s="288">
        <v>2005861.2299520001</v>
      </c>
      <c r="BG40" s="288">
        <f t="shared" si="46"/>
        <v>-454067.61321600014</v>
      </c>
      <c r="BH40" s="288">
        <f t="shared" si="47"/>
        <v>5533546.5</v>
      </c>
      <c r="BI40" s="288">
        <v>6247975</v>
      </c>
      <c r="BJ40" s="288">
        <f t="shared" si="48"/>
        <v>-714428.5</v>
      </c>
      <c r="BK40" s="81">
        <f t="shared" si="49"/>
        <v>1999</v>
      </c>
      <c r="BL40" s="81">
        <v>1832</v>
      </c>
      <c r="BM40" s="998">
        <f t="shared" si="50"/>
        <v>167</v>
      </c>
      <c r="BN40" s="81">
        <f t="shared" si="51"/>
        <v>3065</v>
      </c>
      <c r="BO40" s="81">
        <v>2838</v>
      </c>
      <c r="BP40" s="998">
        <f t="shared" si="52"/>
        <v>227</v>
      </c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</row>
    <row r="41" spans="1:148" s="5" customFormat="1">
      <c r="A41" s="103">
        <v>34</v>
      </c>
      <c r="B41" s="81" t="s">
        <v>135</v>
      </c>
      <c r="C41" s="621">
        <f>'Table 8 2.1.12 MFP Funded'!AD37</f>
        <v>4334</v>
      </c>
      <c r="D41" s="621">
        <f>'[2]totalled for Table 3'!$AD37</f>
        <v>3719</v>
      </c>
      <c r="E41" s="621">
        <f t="shared" si="54"/>
        <v>818</v>
      </c>
      <c r="F41" s="621">
        <f>'[3]Units-Corrected_for Table 3'!$T45</f>
        <v>1388.5</v>
      </c>
      <c r="G41" s="621">
        <f t="shared" si="55"/>
        <v>83</v>
      </c>
      <c r="H41" s="621">
        <f>[4]Disabling_Exceptionalities!$Z39</f>
        <v>704</v>
      </c>
      <c r="I41" s="621">
        <f t="shared" si="14"/>
        <v>1056</v>
      </c>
      <c r="J41" s="621">
        <f>[4]GiftedTalented!$AA39</f>
        <v>43</v>
      </c>
      <c r="K41" s="621">
        <f t="shared" si="15"/>
        <v>26</v>
      </c>
      <c r="L41" s="13">
        <f t="shared" si="56"/>
        <v>3166</v>
      </c>
      <c r="M41" s="65">
        <f t="shared" si="57"/>
        <v>8.4430000000000005E-2</v>
      </c>
      <c r="N41" s="13">
        <f t="shared" si="58"/>
        <v>366</v>
      </c>
      <c r="O41" s="13">
        <f t="shared" si="16"/>
        <v>2349</v>
      </c>
      <c r="P41" s="13">
        <f t="shared" si="59"/>
        <v>6683</v>
      </c>
      <c r="Q41" s="398">
        <f t="shared" si="17"/>
        <v>3855</v>
      </c>
      <c r="R41" s="398">
        <f t="shared" si="60"/>
        <v>25762965</v>
      </c>
      <c r="S41" s="398">
        <f>'Table 6 (Local Deduct Calc.)'!J42</f>
        <v>5356948</v>
      </c>
      <c r="T41" s="398">
        <f t="shared" si="18"/>
        <v>5356948</v>
      </c>
      <c r="U41" s="399">
        <f t="shared" si="19"/>
        <v>20406017</v>
      </c>
      <c r="V41" s="400">
        <f t="shared" si="53"/>
        <v>0.79210000000000003</v>
      </c>
      <c r="W41" s="400">
        <f t="shared" si="20"/>
        <v>0.2079</v>
      </c>
      <c r="X41" s="401">
        <f t="shared" si="21"/>
        <v>1236.0286109829258</v>
      </c>
      <c r="Y41" s="398">
        <f>'Table 7 Local Revenue'!AQ41</f>
        <v>12102443</v>
      </c>
      <c r="Z41" s="398">
        <f t="shared" si="22"/>
        <v>6745495</v>
      </c>
      <c r="AA41" s="288">
        <f t="shared" si="23"/>
        <v>0</v>
      </c>
      <c r="AB41" s="14">
        <f t="shared" si="24"/>
        <v>8759408.1000000015</v>
      </c>
      <c r="AC41" s="14">
        <f t="shared" si="25"/>
        <v>6745495</v>
      </c>
      <c r="AD41" s="398">
        <f t="shared" si="26"/>
        <v>2412108.0660600001</v>
      </c>
      <c r="AE41" s="402">
        <f t="shared" si="27"/>
        <v>4333386.9339399999</v>
      </c>
      <c r="AF41" s="16">
        <f t="shared" si="28"/>
        <v>0.64239999999999997</v>
      </c>
      <c r="AG41" s="402">
        <f t="shared" si="29"/>
        <v>24739403.933940001</v>
      </c>
      <c r="AH41" s="14">
        <f t="shared" si="30"/>
        <v>5708</v>
      </c>
      <c r="AI41" s="402">
        <f>'Table 4 Level 3'!O39</f>
        <v>588337</v>
      </c>
      <c r="AJ41" s="14">
        <f t="shared" si="61"/>
        <v>135.74919243193355</v>
      </c>
      <c r="AK41" s="402">
        <f t="shared" si="31"/>
        <v>25327740.933940001</v>
      </c>
      <c r="AL41" s="14">
        <f t="shared" si="62"/>
        <v>5843.9642210290731</v>
      </c>
      <c r="AM41" s="532">
        <f>'Table 4 Level 3'!R39</f>
        <v>3379585.4701750847</v>
      </c>
      <c r="AN41" s="533">
        <f t="shared" si="33"/>
        <v>779.7843724446434</v>
      </c>
      <c r="AO41" s="402">
        <f>AG41+AM41</f>
        <v>28118989.404115085</v>
      </c>
      <c r="AP41" s="14">
        <f t="shared" si="35"/>
        <v>6487.9994010417822</v>
      </c>
      <c r="AQ41" s="16">
        <f t="shared" si="36"/>
        <v>0.69910462465872325</v>
      </c>
      <c r="AR41" s="403">
        <f t="shared" si="37"/>
        <v>18</v>
      </c>
      <c r="AS41" s="14">
        <f t="shared" si="38"/>
        <v>12102443</v>
      </c>
      <c r="AT41" s="14">
        <f t="shared" si="63"/>
        <v>2792.44</v>
      </c>
      <c r="AU41" s="403">
        <f t="shared" si="39"/>
        <v>48</v>
      </c>
      <c r="AV41" s="16">
        <f t="shared" si="40"/>
        <v>0.30089537534127681</v>
      </c>
      <c r="AW41" s="403">
        <f t="shared" si="41"/>
        <v>40221432.404115081</v>
      </c>
      <c r="AX41" s="404">
        <f t="shared" si="64"/>
        <v>9280.4412561409972</v>
      </c>
      <c r="AY41" s="403">
        <f t="shared" si="42"/>
        <v>14</v>
      </c>
      <c r="AZ41" s="14">
        <v>27974839.478</v>
      </c>
      <c r="BA41" s="288">
        <f t="shared" si="65"/>
        <v>144149.92611508444</v>
      </c>
      <c r="BB41" s="288">
        <f t="shared" si="43"/>
        <v>20406017</v>
      </c>
      <c r="BC41" s="288">
        <v>20450170</v>
      </c>
      <c r="BD41" s="288">
        <f t="shared" si="44"/>
        <v>-44153</v>
      </c>
      <c r="BE41" s="288">
        <f t="shared" si="45"/>
        <v>4333386.9339399999</v>
      </c>
      <c r="BF41" s="288">
        <v>4116868.4780000001</v>
      </c>
      <c r="BG41" s="288">
        <f t="shared" si="46"/>
        <v>216518.45593999978</v>
      </c>
      <c r="BH41" s="288">
        <f t="shared" si="47"/>
        <v>12102443</v>
      </c>
      <c r="BI41" s="288">
        <v>11732830</v>
      </c>
      <c r="BJ41" s="288">
        <f t="shared" si="48"/>
        <v>369613</v>
      </c>
      <c r="BK41" s="81">
        <f t="shared" si="49"/>
        <v>4334</v>
      </c>
      <c r="BL41" s="81">
        <v>4365</v>
      </c>
      <c r="BM41" s="998">
        <f t="shared" si="50"/>
        <v>-31</v>
      </c>
      <c r="BN41" s="81">
        <f t="shared" si="51"/>
        <v>6683</v>
      </c>
      <c r="BO41" s="81">
        <v>6690</v>
      </c>
      <c r="BP41" s="998">
        <f t="shared" si="52"/>
        <v>-7</v>
      </c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</row>
    <row r="42" spans="1:148" s="21" customFormat="1">
      <c r="A42" s="104">
        <v>35</v>
      </c>
      <c r="B42" s="82" t="s">
        <v>136</v>
      </c>
      <c r="C42" s="810">
        <f>'Table 8 2.1.12 MFP Funded'!AD38</f>
        <v>6462</v>
      </c>
      <c r="D42" s="810">
        <f>'[2]totalled for Table 3'!$AD38</f>
        <v>4796</v>
      </c>
      <c r="E42" s="810">
        <f t="shared" si="54"/>
        <v>1055</v>
      </c>
      <c r="F42" s="810">
        <f>'[3]Units-Corrected_for Table 3'!$T46</f>
        <v>1794</v>
      </c>
      <c r="G42" s="810">
        <f t="shared" si="55"/>
        <v>108</v>
      </c>
      <c r="H42" s="810">
        <f>[4]Disabling_Exceptionalities!$Z40</f>
        <v>781</v>
      </c>
      <c r="I42" s="810">
        <f t="shared" si="14"/>
        <v>1172</v>
      </c>
      <c r="J42" s="810">
        <f>[4]GiftedTalented!$AA40</f>
        <v>234</v>
      </c>
      <c r="K42" s="810">
        <f t="shared" si="15"/>
        <v>140</v>
      </c>
      <c r="L42" s="19">
        <f t="shared" si="56"/>
        <v>1038</v>
      </c>
      <c r="M42" s="66">
        <f t="shared" si="57"/>
        <v>2.768E-2</v>
      </c>
      <c r="N42" s="19">
        <f t="shared" si="58"/>
        <v>179</v>
      </c>
      <c r="O42" s="19">
        <f t="shared" si="16"/>
        <v>2654</v>
      </c>
      <c r="P42" s="13">
        <f t="shared" si="59"/>
        <v>9116</v>
      </c>
      <c r="Q42" s="405">
        <f t="shared" si="17"/>
        <v>3855</v>
      </c>
      <c r="R42" s="405">
        <f t="shared" si="60"/>
        <v>35142180</v>
      </c>
      <c r="S42" s="405">
        <f>'Table 6 (Local Deduct Calc.)'!J43</f>
        <v>10207749</v>
      </c>
      <c r="T42" s="405">
        <f t="shared" si="18"/>
        <v>10207749</v>
      </c>
      <c r="U42" s="406">
        <f t="shared" si="19"/>
        <v>24934431</v>
      </c>
      <c r="V42" s="407">
        <f t="shared" si="53"/>
        <v>0.70950000000000002</v>
      </c>
      <c r="W42" s="408">
        <f t="shared" si="20"/>
        <v>0.29049999999999998</v>
      </c>
      <c r="X42" s="409">
        <f t="shared" si="21"/>
        <v>1579.6578458681522</v>
      </c>
      <c r="Y42" s="405">
        <f>'Table 7 Local Revenue'!AQ42</f>
        <v>21012488</v>
      </c>
      <c r="Z42" s="405">
        <f t="shared" si="22"/>
        <v>10804739</v>
      </c>
      <c r="AA42" s="289">
        <f t="shared" si="23"/>
        <v>0</v>
      </c>
      <c r="AB42" s="20">
        <f t="shared" si="24"/>
        <v>11948341.200000001</v>
      </c>
      <c r="AC42" s="20">
        <f t="shared" si="25"/>
        <v>10804739</v>
      </c>
      <c r="AD42" s="405">
        <f t="shared" si="26"/>
        <v>5398695.8887399994</v>
      </c>
      <c r="AE42" s="410">
        <f t="shared" si="27"/>
        <v>5406043.1112600006</v>
      </c>
      <c r="AF42" s="282">
        <f t="shared" si="28"/>
        <v>0.50029999999999997</v>
      </c>
      <c r="AG42" s="410">
        <f t="shared" si="29"/>
        <v>30340474.111260001</v>
      </c>
      <c r="AH42" s="20">
        <f t="shared" si="30"/>
        <v>4695</v>
      </c>
      <c r="AI42" s="410">
        <f>'Table 4 Level 3'!O40</f>
        <v>877211</v>
      </c>
      <c r="AJ42" s="20">
        <f t="shared" si="61"/>
        <v>135.74914887031878</v>
      </c>
      <c r="AK42" s="410">
        <f t="shared" si="31"/>
        <v>31217685.111260001</v>
      </c>
      <c r="AL42" s="20">
        <f t="shared" si="62"/>
        <v>4830.9633412658623</v>
      </c>
      <c r="AM42" s="534">
        <f>'Table 4 Level 3'!R40</f>
        <v>4352378.8039999995</v>
      </c>
      <c r="AN42" s="535">
        <f t="shared" si="33"/>
        <v>673.53432435778393</v>
      </c>
      <c r="AO42" s="410">
        <f t="shared" si="34"/>
        <v>34692852.915260002</v>
      </c>
      <c r="AP42" s="20">
        <f t="shared" si="35"/>
        <v>5368.7485167533277</v>
      </c>
      <c r="AQ42" s="282">
        <f t="shared" si="36"/>
        <v>0.62279221965512088</v>
      </c>
      <c r="AR42" s="411">
        <f t="shared" si="37"/>
        <v>40</v>
      </c>
      <c r="AS42" s="20">
        <f t="shared" si="38"/>
        <v>21012488</v>
      </c>
      <c r="AT42" s="20">
        <f t="shared" si="63"/>
        <v>3251.7</v>
      </c>
      <c r="AU42" s="411">
        <f t="shared" si="39"/>
        <v>32</v>
      </c>
      <c r="AV42" s="282">
        <f t="shared" si="40"/>
        <v>0.37720778034487906</v>
      </c>
      <c r="AW42" s="411">
        <f t="shared" si="41"/>
        <v>55705340.915260002</v>
      </c>
      <c r="AX42" s="412">
        <f t="shared" si="64"/>
        <v>8620.44891910554</v>
      </c>
      <c r="AY42" s="411">
        <f t="shared" si="42"/>
        <v>39</v>
      </c>
      <c r="AZ42" s="20">
        <v>35425391.286192</v>
      </c>
      <c r="BA42" s="289">
        <f t="shared" si="65"/>
        <v>-732538.3709319979</v>
      </c>
      <c r="BB42" s="289">
        <f t="shared" si="43"/>
        <v>24934431</v>
      </c>
      <c r="BC42" s="289">
        <v>26115488.5</v>
      </c>
      <c r="BD42" s="289">
        <f t="shared" si="44"/>
        <v>-1181057.5</v>
      </c>
      <c r="BE42" s="289">
        <f t="shared" si="45"/>
        <v>5406043.1112600006</v>
      </c>
      <c r="BF42" s="289">
        <v>4967083.7861919999</v>
      </c>
      <c r="BG42" s="289">
        <f t="shared" si="46"/>
        <v>438959.3250680007</v>
      </c>
      <c r="BH42" s="289">
        <f t="shared" si="47"/>
        <v>21012488</v>
      </c>
      <c r="BI42" s="289">
        <v>17876173.5</v>
      </c>
      <c r="BJ42" s="289">
        <f t="shared" si="48"/>
        <v>3136314.5</v>
      </c>
      <c r="BK42" s="82">
        <f t="shared" si="49"/>
        <v>6462</v>
      </c>
      <c r="BL42" s="82">
        <v>6438</v>
      </c>
      <c r="BM42" s="999">
        <f t="shared" si="50"/>
        <v>24</v>
      </c>
      <c r="BN42" s="82">
        <f t="shared" si="51"/>
        <v>9116</v>
      </c>
      <c r="BO42" s="82">
        <v>9108</v>
      </c>
      <c r="BP42" s="999">
        <f t="shared" si="52"/>
        <v>8</v>
      </c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</row>
    <row r="43" spans="1:148" s="5" customFormat="1">
      <c r="A43" s="103">
        <v>36</v>
      </c>
      <c r="B43" s="81" t="s">
        <v>137</v>
      </c>
      <c r="C43" s="621">
        <f>'Table 8 2.1.12 MFP Funded'!AD39</f>
        <v>42705</v>
      </c>
      <c r="D43" s="621">
        <f>'[2]totalled for Table 3'!$AD39</f>
        <v>37270</v>
      </c>
      <c r="E43" s="621">
        <f t="shared" si="54"/>
        <v>8199</v>
      </c>
      <c r="F43" s="621">
        <f>'[3]Units-Corrected_for Table 3'!$T47</f>
        <v>6354.5</v>
      </c>
      <c r="G43" s="621">
        <f t="shared" si="55"/>
        <v>381</v>
      </c>
      <c r="H43" s="621">
        <f>[4]Disabling_Exceptionalities!$Z41</f>
        <v>4570</v>
      </c>
      <c r="I43" s="621">
        <f t="shared" si="14"/>
        <v>6855</v>
      </c>
      <c r="J43" s="621">
        <f>[4]GiftedTalented!$AA41</f>
        <v>2772</v>
      </c>
      <c r="K43" s="621">
        <f t="shared" si="15"/>
        <v>1663</v>
      </c>
      <c r="L43" s="13">
        <f t="shared" si="56"/>
        <v>0</v>
      </c>
      <c r="M43" s="65">
        <f t="shared" si="57"/>
        <v>0</v>
      </c>
      <c r="N43" s="13">
        <f t="shared" si="58"/>
        <v>0</v>
      </c>
      <c r="O43" s="13">
        <f t="shared" si="16"/>
        <v>17098</v>
      </c>
      <c r="P43" s="36">
        <f t="shared" si="59"/>
        <v>59803</v>
      </c>
      <c r="Q43" s="398">
        <f t="shared" si="17"/>
        <v>3855</v>
      </c>
      <c r="R43" s="398">
        <f t="shared" si="60"/>
        <v>230540565</v>
      </c>
      <c r="S43" s="398">
        <f>'Table 6 (Local Deduct Calc.)'!J44</f>
        <v>104777501</v>
      </c>
      <c r="T43" s="398">
        <f t="shared" si="18"/>
        <v>104777501</v>
      </c>
      <c r="U43" s="399">
        <f t="shared" si="19"/>
        <v>125763064</v>
      </c>
      <c r="V43" s="400">
        <f t="shared" si="53"/>
        <v>0.54549999999999998</v>
      </c>
      <c r="W43" s="400">
        <f t="shared" si="20"/>
        <v>0.45450000000000002</v>
      </c>
      <c r="X43" s="401">
        <f t="shared" si="21"/>
        <v>2453.518346797799</v>
      </c>
      <c r="Y43" s="398">
        <f>'Table 7 Local Revenue'!AQ43</f>
        <v>208681564</v>
      </c>
      <c r="Z43" s="398">
        <f t="shared" si="22"/>
        <v>103904063</v>
      </c>
      <c r="AA43" s="288">
        <f t="shared" si="23"/>
        <v>0</v>
      </c>
      <c r="AB43" s="14">
        <f t="shared" si="24"/>
        <v>78383792.100000009</v>
      </c>
      <c r="AC43" s="14">
        <f t="shared" si="25"/>
        <v>78383792.100000009</v>
      </c>
      <c r="AD43" s="398">
        <f t="shared" si="26"/>
        <v>61275745.636254005</v>
      </c>
      <c r="AE43" s="402">
        <f t="shared" si="27"/>
        <v>17108046.463746004</v>
      </c>
      <c r="AF43" s="16">
        <f t="shared" si="28"/>
        <v>0.21829999999999999</v>
      </c>
      <c r="AG43" s="402">
        <f t="shared" si="29"/>
        <v>142871110.46374601</v>
      </c>
      <c r="AH43" s="14">
        <f t="shared" si="30"/>
        <v>3346</v>
      </c>
      <c r="AI43" s="402">
        <f>'Table 4 Level 3'!O41</f>
        <v>6317165</v>
      </c>
      <c r="AJ43" s="14">
        <f t="shared" si="61"/>
        <v>147.92565273387191</v>
      </c>
      <c r="AK43" s="402">
        <f t="shared" si="31"/>
        <v>149188275.46374601</v>
      </c>
      <c r="AL43" s="14">
        <f t="shared" si="62"/>
        <v>3493.4615493208294</v>
      </c>
      <c r="AM43" s="532">
        <f>'Table 4 Level 3'!R41</f>
        <v>37883996.680288546</v>
      </c>
      <c r="AN43" s="533">
        <f t="shared" si="33"/>
        <v>887.10916005827289</v>
      </c>
      <c r="AO43" s="402">
        <f>AG43+AM43</f>
        <v>180755107.14403456</v>
      </c>
      <c r="AP43" s="14">
        <f t="shared" si="35"/>
        <v>4232.6450566452304</v>
      </c>
      <c r="AQ43" s="16">
        <f t="shared" si="36"/>
        <v>0.49669404023238323</v>
      </c>
      <c r="AR43" s="403">
        <f t="shared" si="37"/>
        <v>57</v>
      </c>
      <c r="AS43" s="14">
        <f t="shared" si="38"/>
        <v>183161293.09999999</v>
      </c>
      <c r="AT43" s="14">
        <f t="shared" si="63"/>
        <v>4288.99</v>
      </c>
      <c r="AU43" s="403">
        <f t="shared" si="39"/>
        <v>14</v>
      </c>
      <c r="AV43" s="16">
        <f t="shared" si="40"/>
        <v>0.50330595976761683</v>
      </c>
      <c r="AW43" s="403">
        <f t="shared" si="41"/>
        <v>363916400.24403453</v>
      </c>
      <c r="AX43" s="404">
        <f t="shared" si="64"/>
        <v>8521.6344747461553</v>
      </c>
      <c r="AY43" s="403">
        <f t="shared" si="42"/>
        <v>45</v>
      </c>
      <c r="AZ43" s="14">
        <v>149242600.65349659</v>
      </c>
      <c r="BA43" s="288">
        <f t="shared" si="65"/>
        <v>31512506.490537971</v>
      </c>
      <c r="BB43" s="288">
        <f t="shared" si="43"/>
        <v>125763064</v>
      </c>
      <c r="BC43" s="288">
        <v>104578335</v>
      </c>
      <c r="BD43" s="288">
        <f t="shared" si="44"/>
        <v>21184729</v>
      </c>
      <c r="BE43" s="288">
        <f t="shared" si="45"/>
        <v>17108046.463746004</v>
      </c>
      <c r="BF43" s="288">
        <v>11486662.633202411</v>
      </c>
      <c r="BG43" s="288">
        <f t="shared" si="46"/>
        <v>5621383.8305435926</v>
      </c>
      <c r="BH43" s="288">
        <f t="shared" si="47"/>
        <v>208681564</v>
      </c>
      <c r="BI43" s="288">
        <v>197062873</v>
      </c>
      <c r="BJ43" s="288">
        <f t="shared" si="48"/>
        <v>11618691</v>
      </c>
      <c r="BK43" s="511">
        <f t="shared" si="49"/>
        <v>42705</v>
      </c>
      <c r="BL43" s="511">
        <v>37409</v>
      </c>
      <c r="BM43" s="1001">
        <f t="shared" si="50"/>
        <v>5296</v>
      </c>
      <c r="BN43" s="511">
        <f t="shared" si="51"/>
        <v>59803</v>
      </c>
      <c r="BO43" s="511">
        <v>52639</v>
      </c>
      <c r="BP43" s="1001">
        <f t="shared" si="52"/>
        <v>7164</v>
      </c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</row>
    <row r="44" spans="1:148" s="5" customFormat="1">
      <c r="A44" s="103">
        <v>37</v>
      </c>
      <c r="B44" s="81" t="s">
        <v>138</v>
      </c>
      <c r="C44" s="621">
        <f>'Table 8 2.1.12 MFP Funded'!AD40</f>
        <v>19412</v>
      </c>
      <c r="D44" s="621">
        <f>'[2]totalled for Table 3'!$AD40</f>
        <v>11428</v>
      </c>
      <c r="E44" s="621">
        <f t="shared" si="54"/>
        <v>2514</v>
      </c>
      <c r="F44" s="621">
        <f>'[3]Units-Corrected_for Table 3'!$T48</f>
        <v>4203</v>
      </c>
      <c r="G44" s="621">
        <f t="shared" si="55"/>
        <v>252</v>
      </c>
      <c r="H44" s="621">
        <f>[4]Disabling_Exceptionalities!$Z42</f>
        <v>2499</v>
      </c>
      <c r="I44" s="621">
        <f t="shared" si="14"/>
        <v>3749</v>
      </c>
      <c r="J44" s="621">
        <f>[4]GiftedTalented!$AA42</f>
        <v>932</v>
      </c>
      <c r="K44" s="621">
        <f t="shared" si="15"/>
        <v>559</v>
      </c>
      <c r="L44" s="13">
        <f t="shared" si="56"/>
        <v>0</v>
      </c>
      <c r="M44" s="65">
        <f t="shared" si="57"/>
        <v>0</v>
      </c>
      <c r="N44" s="13">
        <f t="shared" si="58"/>
        <v>0</v>
      </c>
      <c r="O44" s="13">
        <f t="shared" si="16"/>
        <v>7074</v>
      </c>
      <c r="P44" s="13">
        <f t="shared" si="59"/>
        <v>26486</v>
      </c>
      <c r="Q44" s="398">
        <f t="shared" si="17"/>
        <v>3855</v>
      </c>
      <c r="R44" s="398">
        <f t="shared" si="60"/>
        <v>102103530</v>
      </c>
      <c r="S44" s="398">
        <f>'Table 6 (Local Deduct Calc.)'!J45</f>
        <v>20831739.5</v>
      </c>
      <c r="T44" s="398">
        <f t="shared" si="18"/>
        <v>20831739.5</v>
      </c>
      <c r="U44" s="399">
        <f t="shared" si="19"/>
        <v>81271790.5</v>
      </c>
      <c r="V44" s="400">
        <f t="shared" si="53"/>
        <v>0.79600000000000004</v>
      </c>
      <c r="W44" s="400">
        <f t="shared" si="20"/>
        <v>0.20399999999999999</v>
      </c>
      <c r="X44" s="401">
        <f t="shared" si="21"/>
        <v>1073.1372089429219</v>
      </c>
      <c r="Y44" s="398">
        <f>'Table 7 Local Revenue'!AQ44</f>
        <v>59737697.5</v>
      </c>
      <c r="Z44" s="398">
        <f t="shared" si="22"/>
        <v>38905958</v>
      </c>
      <c r="AA44" s="288">
        <f t="shared" si="23"/>
        <v>0</v>
      </c>
      <c r="AB44" s="14">
        <f t="shared" si="24"/>
        <v>34715200.200000003</v>
      </c>
      <c r="AC44" s="14">
        <f t="shared" si="25"/>
        <v>34715200.200000003</v>
      </c>
      <c r="AD44" s="398">
        <f t="shared" si="26"/>
        <v>12180869.446176</v>
      </c>
      <c r="AE44" s="402">
        <f t="shared" si="27"/>
        <v>22534330.753824003</v>
      </c>
      <c r="AF44" s="16">
        <f t="shared" si="28"/>
        <v>0.64910000000000001</v>
      </c>
      <c r="AG44" s="402">
        <f t="shared" si="29"/>
        <v>103806121.253824</v>
      </c>
      <c r="AH44" s="14">
        <f t="shared" si="30"/>
        <v>5348</v>
      </c>
      <c r="AI44" s="402">
        <f>'Table 4 Level 3'!O42</f>
        <v>2655161</v>
      </c>
      <c r="AJ44" s="14">
        <f t="shared" si="61"/>
        <v>136.7793632804451</v>
      </c>
      <c r="AK44" s="402">
        <f t="shared" si="31"/>
        <v>106461282.253824</v>
      </c>
      <c r="AL44" s="14">
        <f t="shared" si="62"/>
        <v>5484.3026094077886</v>
      </c>
      <c r="AM44" s="532">
        <f>'Table 4 Level 3'!R42</f>
        <v>15349720.065585859</v>
      </c>
      <c r="AN44" s="533">
        <f t="shared" si="33"/>
        <v>790.73357024448069</v>
      </c>
      <c r="AO44" s="402">
        <f t="shared" si="34"/>
        <v>119155841.31940985</v>
      </c>
      <c r="AP44" s="14">
        <f t="shared" si="35"/>
        <v>6138.2568163718242</v>
      </c>
      <c r="AQ44" s="16">
        <f t="shared" si="36"/>
        <v>0.68204890972039756</v>
      </c>
      <c r="AR44" s="403">
        <f t="shared" si="37"/>
        <v>26</v>
      </c>
      <c r="AS44" s="14">
        <f t="shared" si="38"/>
        <v>55546939.700000003</v>
      </c>
      <c r="AT44" s="14">
        <f t="shared" si="63"/>
        <v>2861.47</v>
      </c>
      <c r="AU44" s="403">
        <f t="shared" si="39"/>
        <v>46</v>
      </c>
      <c r="AV44" s="16">
        <f t="shared" si="40"/>
        <v>0.3179510902796025</v>
      </c>
      <c r="AW44" s="403">
        <f t="shared" si="41"/>
        <v>174702781.01940984</v>
      </c>
      <c r="AX44" s="404">
        <f t="shared" si="64"/>
        <v>8999.7311466829706</v>
      </c>
      <c r="AY44" s="403">
        <f t="shared" si="42"/>
        <v>23</v>
      </c>
      <c r="AZ44" s="14">
        <v>116712950.68237481</v>
      </c>
      <c r="BA44" s="288">
        <f t="shared" si="65"/>
        <v>2442890.637035042</v>
      </c>
      <c r="BB44" s="288">
        <f t="shared" si="43"/>
        <v>81271790.5</v>
      </c>
      <c r="BC44" s="288">
        <v>79519232</v>
      </c>
      <c r="BD44" s="288">
        <f t="shared" si="44"/>
        <v>1752558.5</v>
      </c>
      <c r="BE44" s="288">
        <f t="shared" si="45"/>
        <v>22534330.753824003</v>
      </c>
      <c r="BF44" s="288">
        <v>22117840.682374805</v>
      </c>
      <c r="BG44" s="288">
        <f t="shared" si="46"/>
        <v>416490.07144919783</v>
      </c>
      <c r="BH44" s="288">
        <f t="shared" si="47"/>
        <v>59737697.5</v>
      </c>
      <c r="BI44" s="288">
        <v>56194552</v>
      </c>
      <c r="BJ44" s="288">
        <f t="shared" si="48"/>
        <v>3543145.5</v>
      </c>
      <c r="BK44" s="81">
        <f t="shared" si="49"/>
        <v>19412</v>
      </c>
      <c r="BL44" s="81">
        <v>19053</v>
      </c>
      <c r="BM44" s="998">
        <f t="shared" si="50"/>
        <v>359</v>
      </c>
      <c r="BN44" s="81">
        <f t="shared" si="51"/>
        <v>26486</v>
      </c>
      <c r="BO44" s="81">
        <v>25839</v>
      </c>
      <c r="BP44" s="998">
        <f t="shared" si="52"/>
        <v>647</v>
      </c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</row>
    <row r="45" spans="1:148" s="5" customFormat="1">
      <c r="A45" s="103">
        <v>38</v>
      </c>
      <c r="B45" s="81" t="s">
        <v>139</v>
      </c>
      <c r="C45" s="621">
        <f>'Table 8 2.1.12 MFP Funded'!AD41</f>
        <v>4224</v>
      </c>
      <c r="D45" s="621">
        <f>'[2]totalled for Table 3'!$AD41</f>
        <v>2669</v>
      </c>
      <c r="E45" s="621">
        <f t="shared" si="54"/>
        <v>587</v>
      </c>
      <c r="F45" s="621">
        <f>'[3]Units-Corrected_for Table 3'!$T49</f>
        <v>807</v>
      </c>
      <c r="G45" s="621">
        <f t="shared" si="55"/>
        <v>48</v>
      </c>
      <c r="H45" s="621">
        <f>[4]Disabling_Exceptionalities!$Z43</f>
        <v>497</v>
      </c>
      <c r="I45" s="621">
        <f t="shared" si="14"/>
        <v>746</v>
      </c>
      <c r="J45" s="621">
        <f>[4]GiftedTalented!$AA43</f>
        <v>221</v>
      </c>
      <c r="K45" s="621">
        <f t="shared" si="15"/>
        <v>133</v>
      </c>
      <c r="L45" s="13">
        <f t="shared" si="56"/>
        <v>3276</v>
      </c>
      <c r="M45" s="65">
        <f t="shared" si="57"/>
        <v>8.7359999999999993E-2</v>
      </c>
      <c r="N45" s="13">
        <f t="shared" si="58"/>
        <v>369</v>
      </c>
      <c r="O45" s="13">
        <f t="shared" si="16"/>
        <v>1883</v>
      </c>
      <c r="P45" s="13">
        <f t="shared" si="59"/>
        <v>6107</v>
      </c>
      <c r="Q45" s="398">
        <f t="shared" si="17"/>
        <v>3855</v>
      </c>
      <c r="R45" s="398">
        <f t="shared" si="60"/>
        <v>23542485</v>
      </c>
      <c r="S45" s="398">
        <f>'Table 6 (Local Deduct Calc.)'!J46</f>
        <v>23711458.5</v>
      </c>
      <c r="T45" s="398">
        <f t="shared" si="18"/>
        <v>17656863.75</v>
      </c>
      <c r="U45" s="399">
        <f t="shared" si="19"/>
        <v>5885621.25</v>
      </c>
      <c r="V45" s="400">
        <f t="shared" si="53"/>
        <v>0.25</v>
      </c>
      <c r="W45" s="400">
        <f t="shared" si="20"/>
        <v>0.75</v>
      </c>
      <c r="X45" s="401">
        <f t="shared" si="21"/>
        <v>4180.128728693182</v>
      </c>
      <c r="Y45" s="398">
        <f>'Table 7 Local Revenue'!AQ45</f>
        <v>43099251.5</v>
      </c>
      <c r="Z45" s="398">
        <f t="shared" si="22"/>
        <v>25442387.75</v>
      </c>
      <c r="AA45" s="288">
        <f t="shared" si="23"/>
        <v>0</v>
      </c>
      <c r="AB45" s="14">
        <f t="shared" si="24"/>
        <v>8004444.9000000004</v>
      </c>
      <c r="AC45" s="14">
        <f t="shared" si="25"/>
        <v>8004444.9000000004</v>
      </c>
      <c r="AD45" s="398">
        <f t="shared" si="26"/>
        <v>10325733.921</v>
      </c>
      <c r="AE45" s="402">
        <f t="shared" si="27"/>
        <v>0</v>
      </c>
      <c r="AF45" s="16">
        <f t="shared" si="28"/>
        <v>0</v>
      </c>
      <c r="AG45" s="402">
        <f t="shared" si="29"/>
        <v>5885621.25</v>
      </c>
      <c r="AH45" s="14">
        <f t="shared" si="30"/>
        <v>1393</v>
      </c>
      <c r="AI45" s="402">
        <f>'Table 4 Level 3'!O43</f>
        <v>3372295</v>
      </c>
      <c r="AJ45" s="14">
        <f t="shared" si="61"/>
        <v>798.36529356060601</v>
      </c>
      <c r="AK45" s="402">
        <f t="shared" si="31"/>
        <v>9257916.25</v>
      </c>
      <c r="AL45" s="14">
        <f t="shared" si="62"/>
        <v>2191.7415364583335</v>
      </c>
      <c r="AM45" s="532">
        <f>'Table 4 Level 3'!R43</f>
        <v>6858397.845111018</v>
      </c>
      <c r="AN45" s="533">
        <f t="shared" si="33"/>
        <v>1623.6737322706008</v>
      </c>
      <c r="AO45" s="402">
        <f t="shared" si="34"/>
        <v>12744019.095111018</v>
      </c>
      <c r="AP45" s="14">
        <f t="shared" si="35"/>
        <v>3017.0499751683283</v>
      </c>
      <c r="AQ45" s="16">
        <f t="shared" si="36"/>
        <v>0.33182945813379566</v>
      </c>
      <c r="AR45" s="403">
        <f t="shared" si="37"/>
        <v>65</v>
      </c>
      <c r="AS45" s="14">
        <f t="shared" si="38"/>
        <v>25661308.649999999</v>
      </c>
      <c r="AT45" s="14">
        <f t="shared" si="63"/>
        <v>6075.12</v>
      </c>
      <c r="AU45" s="403">
        <f t="shared" si="39"/>
        <v>4</v>
      </c>
      <c r="AV45" s="16">
        <f t="shared" si="40"/>
        <v>0.66817054186620428</v>
      </c>
      <c r="AW45" s="403">
        <f t="shared" si="41"/>
        <v>38405327.745111018</v>
      </c>
      <c r="AX45" s="404">
        <f t="shared" si="64"/>
        <v>9092.1703942024196</v>
      </c>
      <c r="AY45" s="403">
        <f t="shared" si="42"/>
        <v>20</v>
      </c>
      <c r="AZ45" s="14">
        <v>12028311.25</v>
      </c>
      <c r="BA45" s="288">
        <f t="shared" si="65"/>
        <v>715707.84511101805</v>
      </c>
      <c r="BB45" s="288">
        <f t="shared" si="43"/>
        <v>5885621.25</v>
      </c>
      <c r="BC45" s="288">
        <v>5218706.25</v>
      </c>
      <c r="BD45" s="288">
        <f t="shared" si="44"/>
        <v>666915</v>
      </c>
      <c r="BE45" s="288">
        <f t="shared" si="45"/>
        <v>0</v>
      </c>
      <c r="BF45" s="288">
        <v>0</v>
      </c>
      <c r="BG45" s="288">
        <f t="shared" si="46"/>
        <v>0</v>
      </c>
      <c r="BH45" s="288">
        <f t="shared" si="47"/>
        <v>43099251.5</v>
      </c>
      <c r="BI45" s="288">
        <v>36585331</v>
      </c>
      <c r="BJ45" s="288">
        <f t="shared" si="48"/>
        <v>6513920.5</v>
      </c>
      <c r="BK45" s="81">
        <f t="shared" si="49"/>
        <v>4224</v>
      </c>
      <c r="BL45" s="81">
        <v>3728</v>
      </c>
      <c r="BM45" s="998">
        <f t="shared" si="50"/>
        <v>496</v>
      </c>
      <c r="BN45" s="81">
        <f t="shared" si="51"/>
        <v>6107</v>
      </c>
      <c r="BO45" s="81">
        <v>5415</v>
      </c>
      <c r="BP45" s="998">
        <f t="shared" si="52"/>
        <v>692</v>
      </c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</row>
    <row r="46" spans="1:148" s="5" customFormat="1">
      <c r="A46" s="103">
        <v>39</v>
      </c>
      <c r="B46" s="81" t="s">
        <v>140</v>
      </c>
      <c r="C46" s="621">
        <f>'Table 8 2.1.12 MFP Funded'!AD42</f>
        <v>2882</v>
      </c>
      <c r="D46" s="621">
        <f>'[2]totalled for Table 3'!$AD42</f>
        <v>2444</v>
      </c>
      <c r="E46" s="621">
        <f t="shared" si="54"/>
        <v>538</v>
      </c>
      <c r="F46" s="621">
        <f>'[3]Units-Corrected_for Table 3'!$T50</f>
        <v>842</v>
      </c>
      <c r="G46" s="621">
        <f t="shared" si="55"/>
        <v>51</v>
      </c>
      <c r="H46" s="621">
        <f>[4]Disabling_Exceptionalities!$Z44</f>
        <v>514</v>
      </c>
      <c r="I46" s="621">
        <f t="shared" si="14"/>
        <v>771</v>
      </c>
      <c r="J46" s="621">
        <f>[4]GiftedTalented!$AA44</f>
        <v>34</v>
      </c>
      <c r="K46" s="621">
        <f t="shared" si="15"/>
        <v>20</v>
      </c>
      <c r="L46" s="13">
        <f t="shared" si="56"/>
        <v>4618</v>
      </c>
      <c r="M46" s="65">
        <f t="shared" si="57"/>
        <v>0.12315</v>
      </c>
      <c r="N46" s="13">
        <f t="shared" si="58"/>
        <v>355</v>
      </c>
      <c r="O46" s="13">
        <f t="shared" si="16"/>
        <v>1735</v>
      </c>
      <c r="P46" s="13">
        <f t="shared" si="59"/>
        <v>4617</v>
      </c>
      <c r="Q46" s="398">
        <f t="shared" si="17"/>
        <v>3855</v>
      </c>
      <c r="R46" s="398">
        <f t="shared" si="60"/>
        <v>17798535</v>
      </c>
      <c r="S46" s="398">
        <f>'Table 6 (Local Deduct Calc.)'!J47</f>
        <v>8515353</v>
      </c>
      <c r="T46" s="398">
        <f t="shared" si="18"/>
        <v>8515353</v>
      </c>
      <c r="U46" s="399">
        <f t="shared" si="19"/>
        <v>9283182</v>
      </c>
      <c r="V46" s="400">
        <f t="shared" si="53"/>
        <v>0.52159999999999995</v>
      </c>
      <c r="W46" s="400">
        <f t="shared" si="20"/>
        <v>0.47839999999999999</v>
      </c>
      <c r="X46" s="401">
        <f t="shared" si="21"/>
        <v>2954.6679389312976</v>
      </c>
      <c r="Y46" s="398">
        <f>'Table 7 Local Revenue'!AQ46</f>
        <v>11927659</v>
      </c>
      <c r="Z46" s="398">
        <f t="shared" si="22"/>
        <v>3412306</v>
      </c>
      <c r="AA46" s="288">
        <f t="shared" si="23"/>
        <v>0</v>
      </c>
      <c r="AB46" s="14">
        <f t="shared" si="24"/>
        <v>6051501.9000000004</v>
      </c>
      <c r="AC46" s="14">
        <f t="shared" si="25"/>
        <v>3412306</v>
      </c>
      <c r="AD46" s="398">
        <f t="shared" si="26"/>
        <v>2807809.1674879999</v>
      </c>
      <c r="AE46" s="402">
        <f t="shared" si="27"/>
        <v>604496.83251200011</v>
      </c>
      <c r="AF46" s="16">
        <f t="shared" si="28"/>
        <v>0.1772</v>
      </c>
      <c r="AG46" s="402">
        <f t="shared" si="29"/>
        <v>9887678.8325120006</v>
      </c>
      <c r="AH46" s="14">
        <f t="shared" si="30"/>
        <v>3431</v>
      </c>
      <c r="AI46" s="402">
        <f>'Table 4 Level 3'!O44</f>
        <v>735917</v>
      </c>
      <c r="AJ46" s="14">
        <f t="shared" si="61"/>
        <v>255.34941013185289</v>
      </c>
      <c r="AK46" s="402">
        <f t="shared" si="31"/>
        <v>10623595.832512001</v>
      </c>
      <c r="AL46" s="14">
        <f t="shared" si="62"/>
        <v>3686.1886996918806</v>
      </c>
      <c r="AM46" s="532">
        <f>'Table 4 Level 3'!R44</f>
        <v>2981384.1994532919</v>
      </c>
      <c r="AN46" s="533">
        <f t="shared" si="33"/>
        <v>1034.4844550497196</v>
      </c>
      <c r="AO46" s="402">
        <f t="shared" si="34"/>
        <v>12869063.031965293</v>
      </c>
      <c r="AP46" s="14">
        <f t="shared" si="35"/>
        <v>4465.3237446097473</v>
      </c>
      <c r="AQ46" s="16">
        <f t="shared" si="36"/>
        <v>0.51898242902331471</v>
      </c>
      <c r="AR46" s="403">
        <f t="shared" si="37"/>
        <v>54</v>
      </c>
      <c r="AS46" s="14">
        <f t="shared" si="38"/>
        <v>11927659</v>
      </c>
      <c r="AT46" s="14">
        <f t="shared" si="63"/>
        <v>4138.67</v>
      </c>
      <c r="AU46" s="403">
        <f t="shared" si="39"/>
        <v>16</v>
      </c>
      <c r="AV46" s="16">
        <f t="shared" si="40"/>
        <v>0.48101757097668524</v>
      </c>
      <c r="AW46" s="403">
        <f t="shared" si="41"/>
        <v>24796722.031965293</v>
      </c>
      <c r="AX46" s="404">
        <f t="shared" si="64"/>
        <v>8603.9979292037788</v>
      </c>
      <c r="AY46" s="403">
        <f t="shared" si="42"/>
        <v>41</v>
      </c>
      <c r="AZ46" s="14">
        <v>12418883.398632459</v>
      </c>
      <c r="BA46" s="288">
        <f t="shared" si="65"/>
        <v>450179.63333283365</v>
      </c>
      <c r="BB46" s="288">
        <f t="shared" si="43"/>
        <v>9283182</v>
      </c>
      <c r="BC46" s="288">
        <v>8960599</v>
      </c>
      <c r="BD46" s="288">
        <f t="shared" si="44"/>
        <v>322583</v>
      </c>
      <c r="BE46" s="288">
        <f t="shared" si="45"/>
        <v>604496.83251200011</v>
      </c>
      <c r="BF46" s="288">
        <v>570562.1158400001</v>
      </c>
      <c r="BG46" s="288">
        <f t="shared" si="46"/>
        <v>33934.71667200001</v>
      </c>
      <c r="BH46" s="288">
        <f t="shared" si="47"/>
        <v>11927659</v>
      </c>
      <c r="BI46" s="288">
        <v>12092907</v>
      </c>
      <c r="BJ46" s="288">
        <f t="shared" si="48"/>
        <v>-165248</v>
      </c>
      <c r="BK46" s="603">
        <f t="shared" si="49"/>
        <v>2882</v>
      </c>
      <c r="BL46" s="603">
        <v>2817</v>
      </c>
      <c r="BM46" s="1000">
        <f t="shared" si="50"/>
        <v>65</v>
      </c>
      <c r="BN46" s="603">
        <f t="shared" si="51"/>
        <v>4617</v>
      </c>
      <c r="BO46" s="603">
        <v>4540</v>
      </c>
      <c r="BP46" s="1000">
        <f t="shared" si="52"/>
        <v>77</v>
      </c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</row>
    <row r="47" spans="1:148" s="21" customFormat="1">
      <c r="A47" s="104">
        <v>40</v>
      </c>
      <c r="B47" s="82" t="s">
        <v>141</v>
      </c>
      <c r="C47" s="810">
        <f>'Table 8 2.1.12 MFP Funded'!AD43</f>
        <v>23021</v>
      </c>
      <c r="D47" s="810">
        <f>'[2]totalled for Table 3'!$AD43</f>
        <v>16259</v>
      </c>
      <c r="E47" s="810">
        <f t="shared" si="54"/>
        <v>3577</v>
      </c>
      <c r="F47" s="810">
        <f>'[3]Units-Corrected_for Table 3'!$T51</f>
        <v>9892</v>
      </c>
      <c r="G47" s="810">
        <f t="shared" si="55"/>
        <v>594</v>
      </c>
      <c r="H47" s="810">
        <f>[4]Disabling_Exceptionalities!$Z45</f>
        <v>2616</v>
      </c>
      <c r="I47" s="810">
        <f t="shared" si="14"/>
        <v>3924</v>
      </c>
      <c r="J47" s="810">
        <f>[4]GiftedTalented!$AA45</f>
        <v>637</v>
      </c>
      <c r="K47" s="810">
        <f t="shared" si="15"/>
        <v>382</v>
      </c>
      <c r="L47" s="19">
        <f t="shared" si="56"/>
        <v>0</v>
      </c>
      <c r="M47" s="66">
        <f t="shared" si="57"/>
        <v>0</v>
      </c>
      <c r="N47" s="19">
        <f t="shared" si="58"/>
        <v>0</v>
      </c>
      <c r="O47" s="19">
        <f t="shared" si="16"/>
        <v>8477</v>
      </c>
      <c r="P47" s="13">
        <f t="shared" si="59"/>
        <v>31498</v>
      </c>
      <c r="Q47" s="405">
        <f t="shared" si="17"/>
        <v>3855</v>
      </c>
      <c r="R47" s="405">
        <f t="shared" si="60"/>
        <v>121424790</v>
      </c>
      <c r="S47" s="405">
        <f>'Table 6 (Local Deduct Calc.)'!J48</f>
        <v>31650877.5</v>
      </c>
      <c r="T47" s="405">
        <f t="shared" si="18"/>
        <v>31650877.5</v>
      </c>
      <c r="U47" s="406">
        <f t="shared" si="19"/>
        <v>89773912.5</v>
      </c>
      <c r="V47" s="407">
        <f t="shared" si="53"/>
        <v>0.73929999999999996</v>
      </c>
      <c r="W47" s="408">
        <f t="shared" si="20"/>
        <v>0.26069999999999999</v>
      </c>
      <c r="X47" s="409">
        <f t="shared" si="21"/>
        <v>1374.8697927978801</v>
      </c>
      <c r="Y47" s="405">
        <f>'Table 7 Local Revenue'!AQ47</f>
        <v>66859423.5</v>
      </c>
      <c r="Z47" s="405">
        <f t="shared" si="22"/>
        <v>35208546</v>
      </c>
      <c r="AA47" s="289">
        <f t="shared" si="23"/>
        <v>0</v>
      </c>
      <c r="AB47" s="20">
        <f t="shared" si="24"/>
        <v>41284428.600000001</v>
      </c>
      <c r="AC47" s="20">
        <f t="shared" si="25"/>
        <v>35208546</v>
      </c>
      <c r="AD47" s="405">
        <f t="shared" si="26"/>
        <v>15787652.860583998</v>
      </c>
      <c r="AE47" s="410">
        <f t="shared" si="27"/>
        <v>19420893.139416002</v>
      </c>
      <c r="AF47" s="282">
        <f t="shared" si="28"/>
        <v>0.55159999999999998</v>
      </c>
      <c r="AG47" s="410">
        <f t="shared" si="29"/>
        <v>109194805.63941601</v>
      </c>
      <c r="AH47" s="20">
        <f t="shared" si="30"/>
        <v>4743</v>
      </c>
      <c r="AI47" s="410">
        <f>'Table 4 Level 3'!O45</f>
        <v>3125080</v>
      </c>
      <c r="AJ47" s="20">
        <f t="shared" si="61"/>
        <v>135.74909864905956</v>
      </c>
      <c r="AK47" s="410">
        <f t="shared" si="31"/>
        <v>112319885.63941601</v>
      </c>
      <c r="AL47" s="20">
        <f t="shared" si="62"/>
        <v>4879.0185326187402</v>
      </c>
      <c r="AM47" s="534">
        <f>'Table 4 Level 3'!R45</f>
        <v>19241487.601541776</v>
      </c>
      <c r="AN47" s="535">
        <f t="shared" si="33"/>
        <v>835.82327446860586</v>
      </c>
      <c r="AO47" s="410">
        <f t="shared" si="34"/>
        <v>128436293.24095778</v>
      </c>
      <c r="AP47" s="20">
        <f t="shared" si="35"/>
        <v>5579.0927084382856</v>
      </c>
      <c r="AQ47" s="282">
        <f t="shared" si="36"/>
        <v>0.65765033347514212</v>
      </c>
      <c r="AR47" s="411">
        <f t="shared" si="37"/>
        <v>33</v>
      </c>
      <c r="AS47" s="20">
        <f t="shared" si="38"/>
        <v>66859423.5</v>
      </c>
      <c r="AT47" s="20">
        <f t="shared" si="63"/>
        <v>2904.28</v>
      </c>
      <c r="AU47" s="411">
        <f t="shared" si="39"/>
        <v>43</v>
      </c>
      <c r="AV47" s="282">
        <f t="shared" si="40"/>
        <v>0.34234966652485788</v>
      </c>
      <c r="AW47" s="411">
        <f t="shared" si="41"/>
        <v>195295716.7409578</v>
      </c>
      <c r="AX47" s="412">
        <f t="shared" si="64"/>
        <v>8483.3724313000221</v>
      </c>
      <c r="AY47" s="411">
        <f t="shared" si="42"/>
        <v>46</v>
      </c>
      <c r="AZ47" s="20">
        <v>125169112.865096</v>
      </c>
      <c r="BA47" s="289">
        <f t="shared" si="65"/>
        <v>3267180.3758617789</v>
      </c>
      <c r="BB47" s="289">
        <f t="shared" si="43"/>
        <v>89773912.5</v>
      </c>
      <c r="BC47" s="289">
        <v>87762600</v>
      </c>
      <c r="BD47" s="289">
        <f t="shared" si="44"/>
        <v>2011312.5</v>
      </c>
      <c r="BE47" s="289">
        <f t="shared" si="45"/>
        <v>19420893.139416002</v>
      </c>
      <c r="BF47" s="289">
        <v>18357668.865095999</v>
      </c>
      <c r="BG47" s="289">
        <f t="shared" si="46"/>
        <v>1063224.2743200026</v>
      </c>
      <c r="BH47" s="289">
        <f t="shared" si="47"/>
        <v>66859423.5</v>
      </c>
      <c r="BI47" s="289">
        <v>64736027</v>
      </c>
      <c r="BJ47" s="289">
        <f t="shared" si="48"/>
        <v>2123396.5</v>
      </c>
      <c r="BK47" s="82">
        <f t="shared" si="49"/>
        <v>23021</v>
      </c>
      <c r="BL47" s="82">
        <v>22762</v>
      </c>
      <c r="BM47" s="999">
        <f t="shared" si="50"/>
        <v>259</v>
      </c>
      <c r="BN47" s="82">
        <f t="shared" si="51"/>
        <v>31498</v>
      </c>
      <c r="BO47" s="82">
        <v>30874</v>
      </c>
      <c r="BP47" s="999">
        <f t="shared" si="52"/>
        <v>624</v>
      </c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</row>
    <row r="48" spans="1:148" s="5" customFormat="1">
      <c r="A48" s="103">
        <v>41</v>
      </c>
      <c r="B48" s="81" t="s">
        <v>142</v>
      </c>
      <c r="C48" s="621">
        <f>'Table 8 2.1.12 MFP Funded'!AD44</f>
        <v>1407</v>
      </c>
      <c r="D48" s="621">
        <f>'[2]totalled for Table 3'!$AD44</f>
        <v>1229</v>
      </c>
      <c r="E48" s="621">
        <f t="shared" si="54"/>
        <v>270</v>
      </c>
      <c r="F48" s="621">
        <f>'[3]Units-Corrected_for Table 3'!$T52</f>
        <v>777.5</v>
      </c>
      <c r="G48" s="621">
        <f t="shared" si="55"/>
        <v>47</v>
      </c>
      <c r="H48" s="621">
        <f>[4]Disabling_Exceptionalities!$Z46</f>
        <v>130</v>
      </c>
      <c r="I48" s="621">
        <f t="shared" si="14"/>
        <v>195</v>
      </c>
      <c r="J48" s="621">
        <f>[4]GiftedTalented!$AA46</f>
        <v>3</v>
      </c>
      <c r="K48" s="621">
        <f t="shared" si="15"/>
        <v>2</v>
      </c>
      <c r="L48" s="13">
        <f t="shared" si="56"/>
        <v>6093</v>
      </c>
      <c r="M48" s="65">
        <f t="shared" si="57"/>
        <v>0.16248000000000001</v>
      </c>
      <c r="N48" s="13">
        <f t="shared" si="58"/>
        <v>229</v>
      </c>
      <c r="O48" s="13">
        <f t="shared" si="16"/>
        <v>743</v>
      </c>
      <c r="P48" s="36">
        <f t="shared" si="59"/>
        <v>2150</v>
      </c>
      <c r="Q48" s="398">
        <f t="shared" si="17"/>
        <v>3855</v>
      </c>
      <c r="R48" s="398">
        <f t="shared" si="60"/>
        <v>8288250</v>
      </c>
      <c r="S48" s="398">
        <f>'Table 6 (Local Deduct Calc.)'!J49</f>
        <v>9479444</v>
      </c>
      <c r="T48" s="398">
        <f t="shared" si="18"/>
        <v>6216187.5</v>
      </c>
      <c r="U48" s="399">
        <f t="shared" si="19"/>
        <v>2072062.5</v>
      </c>
      <c r="V48" s="400">
        <f t="shared" si="53"/>
        <v>0.25</v>
      </c>
      <c r="W48" s="400">
        <f t="shared" si="20"/>
        <v>0.75</v>
      </c>
      <c r="X48" s="401">
        <f t="shared" si="21"/>
        <v>4418.0437100213221</v>
      </c>
      <c r="Y48" s="398">
        <f>'Table 7 Local Revenue'!AQ48</f>
        <v>24584879</v>
      </c>
      <c r="Z48" s="398">
        <f t="shared" si="22"/>
        <v>18368691.5</v>
      </c>
      <c r="AA48" s="288">
        <f t="shared" si="23"/>
        <v>0</v>
      </c>
      <c r="AB48" s="14">
        <f t="shared" si="24"/>
        <v>2818005</v>
      </c>
      <c r="AC48" s="14">
        <f t="shared" si="25"/>
        <v>2818005</v>
      </c>
      <c r="AD48" s="398">
        <f t="shared" si="26"/>
        <v>3635226.45</v>
      </c>
      <c r="AE48" s="402">
        <f t="shared" si="27"/>
        <v>0</v>
      </c>
      <c r="AF48" s="16">
        <f t="shared" si="28"/>
        <v>0</v>
      </c>
      <c r="AG48" s="402">
        <f t="shared" si="29"/>
        <v>2072062.5</v>
      </c>
      <c r="AH48" s="14">
        <f t="shared" si="30"/>
        <v>1473</v>
      </c>
      <c r="AI48" s="402">
        <f>'Table 4 Level 3'!O46</f>
        <v>190999</v>
      </c>
      <c r="AJ48" s="14">
        <f t="shared" si="61"/>
        <v>135.74911158493248</v>
      </c>
      <c r="AK48" s="402">
        <f t="shared" si="31"/>
        <v>2263061.5</v>
      </c>
      <c r="AL48" s="14">
        <f t="shared" si="62"/>
        <v>1608.4303482587065</v>
      </c>
      <c r="AM48" s="532">
        <f>'Table 4 Level 3'!R46</f>
        <v>1437644.6739999999</v>
      </c>
      <c r="AN48" s="533">
        <f t="shared" si="33"/>
        <v>1021.7801520966594</v>
      </c>
      <c r="AO48" s="402">
        <f t="shared" si="34"/>
        <v>3509707.1739999996</v>
      </c>
      <c r="AP48" s="14">
        <f t="shared" si="35"/>
        <v>2494.4613887704331</v>
      </c>
      <c r="AQ48" s="16">
        <f t="shared" si="36"/>
        <v>0.2797939448825984</v>
      </c>
      <c r="AR48" s="403">
        <f t="shared" si="37"/>
        <v>67</v>
      </c>
      <c r="AS48" s="14">
        <f t="shared" si="38"/>
        <v>9034192.5</v>
      </c>
      <c r="AT48" s="14">
        <f t="shared" si="63"/>
        <v>6420.89</v>
      </c>
      <c r="AU48" s="403">
        <f t="shared" si="39"/>
        <v>1</v>
      </c>
      <c r="AV48" s="16">
        <f t="shared" si="40"/>
        <v>0.72020605511740166</v>
      </c>
      <c r="AW48" s="403">
        <f t="shared" si="41"/>
        <v>12543899.673999999</v>
      </c>
      <c r="AX48" s="404">
        <f t="shared" si="64"/>
        <v>8915.351580668088</v>
      </c>
      <c r="AY48" s="403">
        <f t="shared" si="42"/>
        <v>25</v>
      </c>
      <c r="AZ48" s="14">
        <v>4494177</v>
      </c>
      <c r="BA48" s="288">
        <f t="shared" si="65"/>
        <v>-984469.82600000035</v>
      </c>
      <c r="BB48" s="288">
        <f t="shared" si="43"/>
        <v>2072062.5</v>
      </c>
      <c r="BC48" s="288">
        <v>3027453</v>
      </c>
      <c r="BD48" s="288">
        <f t="shared" si="44"/>
        <v>-955390.5</v>
      </c>
      <c r="BE48" s="288">
        <f t="shared" si="45"/>
        <v>0</v>
      </c>
      <c r="BF48" s="288">
        <v>0</v>
      </c>
      <c r="BG48" s="288">
        <f t="shared" si="46"/>
        <v>0</v>
      </c>
      <c r="BH48" s="288">
        <f t="shared" si="47"/>
        <v>24584879</v>
      </c>
      <c r="BI48" s="288">
        <v>21464123</v>
      </c>
      <c r="BJ48" s="288">
        <f t="shared" si="48"/>
        <v>3120756</v>
      </c>
      <c r="BK48" s="81">
        <f t="shared" si="49"/>
        <v>1407</v>
      </c>
      <c r="BL48" s="81">
        <v>1434</v>
      </c>
      <c r="BM48" s="998">
        <f t="shared" si="50"/>
        <v>-27</v>
      </c>
      <c r="BN48" s="81">
        <f t="shared" si="51"/>
        <v>2150</v>
      </c>
      <c r="BO48" s="81">
        <v>2194</v>
      </c>
      <c r="BP48" s="998">
        <f t="shared" si="52"/>
        <v>-44</v>
      </c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</row>
    <row r="49" spans="1:148" s="5" customFormat="1">
      <c r="A49" s="103">
        <v>42</v>
      </c>
      <c r="B49" s="81" t="s">
        <v>143</v>
      </c>
      <c r="C49" s="621">
        <f>'Table 8 2.1.12 MFP Funded'!AD45</f>
        <v>3832</v>
      </c>
      <c r="D49" s="621">
        <f>'[2]totalled for Table 3'!$AD45</f>
        <v>3078</v>
      </c>
      <c r="E49" s="621">
        <f t="shared" si="54"/>
        <v>677</v>
      </c>
      <c r="F49" s="621">
        <f>'[3]Units-Corrected_for Table 3'!$T53</f>
        <v>1049</v>
      </c>
      <c r="G49" s="621">
        <f t="shared" si="55"/>
        <v>63</v>
      </c>
      <c r="H49" s="621">
        <f>[4]Disabling_Exceptionalities!$Z47</f>
        <v>429</v>
      </c>
      <c r="I49" s="621">
        <f t="shared" si="14"/>
        <v>644</v>
      </c>
      <c r="J49" s="621">
        <f>[4]GiftedTalented!$AA47</f>
        <v>63</v>
      </c>
      <c r="K49" s="621">
        <f t="shared" si="15"/>
        <v>38</v>
      </c>
      <c r="L49" s="13">
        <f t="shared" si="56"/>
        <v>3668</v>
      </c>
      <c r="M49" s="65">
        <f t="shared" si="57"/>
        <v>9.7809999999999994E-2</v>
      </c>
      <c r="N49" s="13">
        <f t="shared" si="58"/>
        <v>375</v>
      </c>
      <c r="O49" s="13">
        <f t="shared" si="16"/>
        <v>1797</v>
      </c>
      <c r="P49" s="13">
        <f t="shared" si="59"/>
        <v>5629</v>
      </c>
      <c r="Q49" s="398">
        <f t="shared" si="17"/>
        <v>3855</v>
      </c>
      <c r="R49" s="398">
        <f t="shared" si="60"/>
        <v>21699795</v>
      </c>
      <c r="S49" s="398">
        <f>'Table 6 (Local Deduct Calc.)'!J50</f>
        <v>5176270.5</v>
      </c>
      <c r="T49" s="398">
        <f t="shared" si="18"/>
        <v>5176270.5</v>
      </c>
      <c r="U49" s="399">
        <f t="shared" si="19"/>
        <v>16523524.5</v>
      </c>
      <c r="V49" s="400">
        <f t="shared" si="53"/>
        <v>0.76149999999999995</v>
      </c>
      <c r="W49" s="400">
        <f t="shared" si="20"/>
        <v>0.23849999999999999</v>
      </c>
      <c r="X49" s="401">
        <f t="shared" si="21"/>
        <v>1350.8012787056368</v>
      </c>
      <c r="Y49" s="398">
        <f>'Table 7 Local Revenue'!AQ49</f>
        <v>10455819.5</v>
      </c>
      <c r="Z49" s="398">
        <f t="shared" si="22"/>
        <v>5279549</v>
      </c>
      <c r="AA49" s="288">
        <f t="shared" si="23"/>
        <v>0</v>
      </c>
      <c r="AB49" s="14">
        <f t="shared" si="24"/>
        <v>7377930.3000000007</v>
      </c>
      <c r="AC49" s="14">
        <f t="shared" si="25"/>
        <v>5279549</v>
      </c>
      <c r="AD49" s="398">
        <f t="shared" si="26"/>
        <v>2165776.5907799997</v>
      </c>
      <c r="AE49" s="402">
        <f t="shared" si="27"/>
        <v>3113772.4092200003</v>
      </c>
      <c r="AF49" s="16">
        <f t="shared" si="28"/>
        <v>0.58979999999999999</v>
      </c>
      <c r="AG49" s="402">
        <f t="shared" si="29"/>
        <v>19637296.909219999</v>
      </c>
      <c r="AH49" s="14">
        <f t="shared" si="30"/>
        <v>5125</v>
      </c>
      <c r="AI49" s="402">
        <f>'Table 4 Level 3'!O47</f>
        <v>520191</v>
      </c>
      <c r="AJ49" s="14">
        <f t="shared" si="61"/>
        <v>135.7492171189979</v>
      </c>
      <c r="AK49" s="402">
        <f t="shared" si="31"/>
        <v>20157487.909219999</v>
      </c>
      <c r="AL49" s="14">
        <f t="shared" si="62"/>
        <v>5260.3047779801664</v>
      </c>
      <c r="AM49" s="532">
        <f>'Table 4 Level 3'!R47</f>
        <v>2564469.2394355349</v>
      </c>
      <c r="AN49" s="533">
        <f t="shared" si="33"/>
        <v>669.22474933077638</v>
      </c>
      <c r="AO49" s="402">
        <f t="shared" si="34"/>
        <v>22201766.148655534</v>
      </c>
      <c r="AP49" s="14">
        <f t="shared" si="35"/>
        <v>5793.7803101919453</v>
      </c>
      <c r="AQ49" s="16">
        <f t="shared" si="36"/>
        <v>0.67983489004704023</v>
      </c>
      <c r="AR49" s="403">
        <f t="shared" si="37"/>
        <v>27</v>
      </c>
      <c r="AS49" s="14">
        <f t="shared" si="38"/>
        <v>10455819.5</v>
      </c>
      <c r="AT49" s="14">
        <f t="shared" si="63"/>
        <v>2728.55</v>
      </c>
      <c r="AU49" s="403">
        <f t="shared" si="39"/>
        <v>51</v>
      </c>
      <c r="AV49" s="16">
        <f t="shared" si="40"/>
        <v>0.32016510995295977</v>
      </c>
      <c r="AW49" s="403">
        <f t="shared" si="41"/>
        <v>32657585.648655534</v>
      </c>
      <c r="AX49" s="404">
        <f t="shared" si="64"/>
        <v>8522.3344594612554</v>
      </c>
      <c r="AY49" s="403">
        <f t="shared" si="42"/>
        <v>44</v>
      </c>
      <c r="AZ49" s="14">
        <v>19904635.490291201</v>
      </c>
      <c r="BA49" s="288">
        <f t="shared" si="65"/>
        <v>2297130.6583643332</v>
      </c>
      <c r="BB49" s="288">
        <f t="shared" si="43"/>
        <v>16523524.5</v>
      </c>
      <c r="BC49" s="288">
        <v>14114585.5</v>
      </c>
      <c r="BD49" s="288">
        <f t="shared" si="44"/>
        <v>2408939</v>
      </c>
      <c r="BE49" s="288">
        <f t="shared" si="45"/>
        <v>3113772.4092200003</v>
      </c>
      <c r="BF49" s="288">
        <v>3577486.9902912001</v>
      </c>
      <c r="BG49" s="288">
        <f t="shared" si="46"/>
        <v>-463714.58107119985</v>
      </c>
      <c r="BH49" s="288">
        <f t="shared" si="47"/>
        <v>10455819.5</v>
      </c>
      <c r="BI49" s="288">
        <v>12254816.5</v>
      </c>
      <c r="BJ49" s="288">
        <f t="shared" si="48"/>
        <v>-1798997</v>
      </c>
      <c r="BK49" s="81">
        <f t="shared" si="49"/>
        <v>3832</v>
      </c>
      <c r="BL49" s="81">
        <v>3298</v>
      </c>
      <c r="BM49" s="998">
        <f t="shared" si="50"/>
        <v>534</v>
      </c>
      <c r="BN49" s="81">
        <f t="shared" si="51"/>
        <v>5629</v>
      </c>
      <c r="BO49" s="81">
        <v>4956</v>
      </c>
      <c r="BP49" s="998">
        <f t="shared" si="52"/>
        <v>673</v>
      </c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</row>
    <row r="50" spans="1:148" s="5" customFormat="1">
      <c r="A50" s="103">
        <v>43</v>
      </c>
      <c r="B50" s="81" t="s">
        <v>144</v>
      </c>
      <c r="C50" s="81">
        <f>'Table 8 2.1.12 MFP Funded'!AD46</f>
        <v>3987</v>
      </c>
      <c r="D50" s="81">
        <f>'[2]totalled for Table 3'!$AD46</f>
        <v>2762</v>
      </c>
      <c r="E50" s="81">
        <f t="shared" si="54"/>
        <v>608</v>
      </c>
      <c r="F50" s="81">
        <f>'[3]Units-Corrected_for Table 3'!$T54</f>
        <v>1659</v>
      </c>
      <c r="G50" s="81">
        <f t="shared" si="55"/>
        <v>100</v>
      </c>
      <c r="H50" s="81">
        <f>[4]Disabling_Exceptionalities!$Z48</f>
        <v>542</v>
      </c>
      <c r="I50" s="81">
        <f t="shared" si="14"/>
        <v>813</v>
      </c>
      <c r="J50" s="81">
        <f>[4]GiftedTalented!$AA48</f>
        <v>84</v>
      </c>
      <c r="K50" s="13">
        <f t="shared" si="15"/>
        <v>50</v>
      </c>
      <c r="L50" s="13">
        <f t="shared" si="56"/>
        <v>3513</v>
      </c>
      <c r="M50" s="65">
        <f t="shared" si="57"/>
        <v>9.3679999999999999E-2</v>
      </c>
      <c r="N50" s="13">
        <f t="shared" si="58"/>
        <v>374</v>
      </c>
      <c r="O50" s="13">
        <f t="shared" si="16"/>
        <v>1945</v>
      </c>
      <c r="P50" s="13">
        <f t="shared" si="59"/>
        <v>5932</v>
      </c>
      <c r="Q50" s="398">
        <f t="shared" si="17"/>
        <v>3855</v>
      </c>
      <c r="R50" s="398">
        <f t="shared" si="60"/>
        <v>22867860</v>
      </c>
      <c r="S50" s="398">
        <f>'Table 6 (Local Deduct Calc.)'!J51</f>
        <v>5620289</v>
      </c>
      <c r="T50" s="398">
        <f t="shared" si="18"/>
        <v>5620289</v>
      </c>
      <c r="U50" s="399">
        <f t="shared" si="19"/>
        <v>17247571</v>
      </c>
      <c r="V50" s="400">
        <f t="shared" si="53"/>
        <v>0.75419999999999998</v>
      </c>
      <c r="W50" s="400">
        <f t="shared" si="20"/>
        <v>0.24579999999999999</v>
      </c>
      <c r="X50" s="401">
        <f t="shared" si="21"/>
        <v>1409.6536242789064</v>
      </c>
      <c r="Y50" s="398">
        <f>'Table 7 Local Revenue'!AQ50</f>
        <v>21451119</v>
      </c>
      <c r="Z50" s="398">
        <f t="shared" si="22"/>
        <v>15830830</v>
      </c>
      <c r="AA50" s="288">
        <f t="shared" si="23"/>
        <v>0</v>
      </c>
      <c r="AB50" s="14">
        <f t="shared" si="24"/>
        <v>7775072.4000000004</v>
      </c>
      <c r="AC50" s="14">
        <f t="shared" si="25"/>
        <v>7775072.4000000004</v>
      </c>
      <c r="AD50" s="398">
        <f t="shared" si="26"/>
        <v>3287114.0089823999</v>
      </c>
      <c r="AE50" s="402">
        <f t="shared" si="27"/>
        <v>4487958.3910176009</v>
      </c>
      <c r="AF50" s="16">
        <f t="shared" si="28"/>
        <v>0.57720000000000005</v>
      </c>
      <c r="AG50" s="402">
        <f t="shared" si="29"/>
        <v>21735529.391017601</v>
      </c>
      <c r="AH50" s="14">
        <f t="shared" si="30"/>
        <v>5452</v>
      </c>
      <c r="AI50" s="402">
        <f>'Table 4 Level 3'!O48</f>
        <v>541232</v>
      </c>
      <c r="AJ50" s="14">
        <f t="shared" si="61"/>
        <v>135.74918485076498</v>
      </c>
      <c r="AK50" s="402">
        <f t="shared" si="31"/>
        <v>22276761.391017601</v>
      </c>
      <c r="AL50" s="14">
        <f t="shared" si="62"/>
        <v>5587.3492327608728</v>
      </c>
      <c r="AM50" s="532">
        <f>'Table 4 Level 3'!R48</f>
        <v>2830995.388999999</v>
      </c>
      <c r="AN50" s="533">
        <f t="shared" si="33"/>
        <v>710.05653097567074</v>
      </c>
      <c r="AO50" s="402">
        <f t="shared" si="34"/>
        <v>24566524.780017599</v>
      </c>
      <c r="AP50" s="14">
        <f t="shared" si="35"/>
        <v>6161.6565788857788</v>
      </c>
      <c r="AQ50" s="16">
        <f t="shared" si="36"/>
        <v>0.64713656912413753</v>
      </c>
      <c r="AR50" s="403">
        <f t="shared" si="37"/>
        <v>36</v>
      </c>
      <c r="AS50" s="14">
        <f t="shared" si="38"/>
        <v>13395361.4</v>
      </c>
      <c r="AT50" s="14">
        <f t="shared" si="63"/>
        <v>3359.76</v>
      </c>
      <c r="AU50" s="403">
        <f t="shared" si="39"/>
        <v>30</v>
      </c>
      <c r="AV50" s="16">
        <f t="shared" si="40"/>
        <v>0.35286343087586253</v>
      </c>
      <c r="AW50" s="403">
        <f t="shared" si="41"/>
        <v>37961886.180017598</v>
      </c>
      <c r="AX50" s="404">
        <f t="shared" si="64"/>
        <v>9521.4161474837219</v>
      </c>
      <c r="AY50" s="403">
        <f t="shared" si="42"/>
        <v>9</v>
      </c>
      <c r="AZ50" s="14">
        <v>26024561.8218536</v>
      </c>
      <c r="BA50" s="288">
        <f t="shared" si="65"/>
        <v>-1458037.041836001</v>
      </c>
      <c r="BB50" s="288">
        <f t="shared" si="43"/>
        <v>17247571</v>
      </c>
      <c r="BC50" s="288">
        <v>18137570</v>
      </c>
      <c r="BD50" s="288">
        <f t="shared" si="44"/>
        <v>-889999</v>
      </c>
      <c r="BE50" s="288">
        <f t="shared" si="45"/>
        <v>4487958.3910176009</v>
      </c>
      <c r="BF50" s="288">
        <v>5055663.8218536004</v>
      </c>
      <c r="BG50" s="288">
        <f t="shared" si="46"/>
        <v>-567705.43083599955</v>
      </c>
      <c r="BH50" s="288">
        <f t="shared" si="47"/>
        <v>21451119</v>
      </c>
      <c r="BI50" s="288">
        <v>13340763</v>
      </c>
      <c r="BJ50" s="288">
        <f t="shared" si="48"/>
        <v>8110356</v>
      </c>
      <c r="BK50" s="81">
        <f t="shared" si="49"/>
        <v>3987</v>
      </c>
      <c r="BL50" s="81">
        <v>3981</v>
      </c>
      <c r="BM50" s="998">
        <f t="shared" si="50"/>
        <v>6</v>
      </c>
      <c r="BN50" s="81">
        <f t="shared" si="51"/>
        <v>5932</v>
      </c>
      <c r="BO50" s="81">
        <v>5883</v>
      </c>
      <c r="BP50" s="998">
        <f t="shared" si="52"/>
        <v>49</v>
      </c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</row>
    <row r="51" spans="1:148" s="5" customFormat="1">
      <c r="A51" s="103">
        <v>44</v>
      </c>
      <c r="B51" s="81" t="s">
        <v>145</v>
      </c>
      <c r="C51" s="81">
        <f>'Table 8 2.1.12 MFP Funded'!AD47</f>
        <v>5876</v>
      </c>
      <c r="D51" s="81">
        <f>'[2]totalled for Table 3'!$AD47</f>
        <v>4460</v>
      </c>
      <c r="E51" s="81">
        <f t="shared" si="54"/>
        <v>981</v>
      </c>
      <c r="F51" s="81">
        <f>'[3]Units-Corrected_for Table 3'!$T55</f>
        <v>1615.5</v>
      </c>
      <c r="G51" s="81">
        <f t="shared" si="55"/>
        <v>97</v>
      </c>
      <c r="H51" s="81">
        <f>[4]Disabling_Exceptionalities!$Z49</f>
        <v>659</v>
      </c>
      <c r="I51" s="81">
        <f t="shared" si="14"/>
        <v>989</v>
      </c>
      <c r="J51" s="81">
        <f>[4]GiftedTalented!$AA49</f>
        <v>144</v>
      </c>
      <c r="K51" s="13">
        <f t="shared" si="15"/>
        <v>86</v>
      </c>
      <c r="L51" s="13">
        <f t="shared" si="56"/>
        <v>1624</v>
      </c>
      <c r="M51" s="65">
        <f t="shared" si="57"/>
        <v>4.3310000000000001E-2</v>
      </c>
      <c r="N51" s="13">
        <f t="shared" si="58"/>
        <v>254</v>
      </c>
      <c r="O51" s="13">
        <f t="shared" si="16"/>
        <v>2407</v>
      </c>
      <c r="P51" s="13">
        <f t="shared" si="59"/>
        <v>8283</v>
      </c>
      <c r="Q51" s="398">
        <f t="shared" si="17"/>
        <v>3855</v>
      </c>
      <c r="R51" s="398">
        <f t="shared" si="60"/>
        <v>31930965</v>
      </c>
      <c r="S51" s="398">
        <f>'Table 6 (Local Deduct Calc.)'!J52</f>
        <v>12251199</v>
      </c>
      <c r="T51" s="398">
        <f t="shared" si="18"/>
        <v>12251199</v>
      </c>
      <c r="U51" s="399">
        <f t="shared" si="19"/>
        <v>19679766</v>
      </c>
      <c r="V51" s="400">
        <f t="shared" si="53"/>
        <v>0.61629999999999996</v>
      </c>
      <c r="W51" s="400">
        <f t="shared" si="20"/>
        <v>0.38369999999999999</v>
      </c>
      <c r="X51" s="401">
        <f t="shared" si="21"/>
        <v>2084.9555820285909</v>
      </c>
      <c r="Y51" s="398">
        <f>'Table 7 Local Revenue'!AQ51</f>
        <v>31339831</v>
      </c>
      <c r="Z51" s="398">
        <f t="shared" si="22"/>
        <v>19088632</v>
      </c>
      <c r="AA51" s="288">
        <f t="shared" si="23"/>
        <v>0</v>
      </c>
      <c r="AB51" s="14">
        <f t="shared" si="24"/>
        <v>10856528.100000001</v>
      </c>
      <c r="AC51" s="14">
        <f t="shared" si="25"/>
        <v>10856528.100000001</v>
      </c>
      <c r="AD51" s="398">
        <f t="shared" si="26"/>
        <v>7164917.7109884005</v>
      </c>
      <c r="AE51" s="402">
        <f t="shared" si="27"/>
        <v>3691610.389011601</v>
      </c>
      <c r="AF51" s="16">
        <f t="shared" si="28"/>
        <v>0.34</v>
      </c>
      <c r="AG51" s="402">
        <f t="shared" si="29"/>
        <v>23371376.389011599</v>
      </c>
      <c r="AH51" s="14">
        <f t="shared" si="30"/>
        <v>3977</v>
      </c>
      <c r="AI51" s="402">
        <f>'Table 4 Level 3'!O49</f>
        <v>797662</v>
      </c>
      <c r="AJ51" s="14">
        <f t="shared" si="61"/>
        <v>135.74914908100749</v>
      </c>
      <c r="AK51" s="402">
        <f t="shared" si="31"/>
        <v>24169038.389011599</v>
      </c>
      <c r="AL51" s="14">
        <f t="shared" si="62"/>
        <v>4113.1787591918992</v>
      </c>
      <c r="AM51" s="532">
        <f>'Table 4 Level 3'!R49</f>
        <v>4694455.7222738732</v>
      </c>
      <c r="AN51" s="533">
        <f t="shared" si="33"/>
        <v>798.92030671781367</v>
      </c>
      <c r="AO51" s="402">
        <f t="shared" si="34"/>
        <v>28065832.11128547</v>
      </c>
      <c r="AP51" s="14">
        <f t="shared" si="35"/>
        <v>4776.3499168287053</v>
      </c>
      <c r="AQ51" s="16">
        <f t="shared" si="36"/>
        <v>0.54844401178755653</v>
      </c>
      <c r="AR51" s="403">
        <f t="shared" si="37"/>
        <v>53</v>
      </c>
      <c r="AS51" s="14">
        <f t="shared" si="38"/>
        <v>23107727.100000001</v>
      </c>
      <c r="AT51" s="14">
        <f t="shared" si="63"/>
        <v>3932.56</v>
      </c>
      <c r="AU51" s="403">
        <f t="shared" si="39"/>
        <v>18</v>
      </c>
      <c r="AV51" s="16">
        <f t="shared" si="40"/>
        <v>0.45155598821244347</v>
      </c>
      <c r="AW51" s="403">
        <f t="shared" si="41"/>
        <v>51173559.211285472</v>
      </c>
      <c r="AX51" s="404">
        <f t="shared" si="64"/>
        <v>8708.9106894631495</v>
      </c>
      <c r="AY51" s="403">
        <f t="shared" si="42"/>
        <v>33</v>
      </c>
      <c r="AZ51" s="14">
        <v>27305974.204366401</v>
      </c>
      <c r="BA51" s="288">
        <f t="shared" si="65"/>
        <v>759857.90691906959</v>
      </c>
      <c r="BB51" s="288">
        <f t="shared" si="43"/>
        <v>19679766</v>
      </c>
      <c r="BC51" s="288">
        <v>19095423</v>
      </c>
      <c r="BD51" s="288">
        <f t="shared" si="44"/>
        <v>584343</v>
      </c>
      <c r="BE51" s="288">
        <f t="shared" si="45"/>
        <v>3691610.389011601</v>
      </c>
      <c r="BF51" s="288">
        <v>3860654.2043663999</v>
      </c>
      <c r="BG51" s="288">
        <f t="shared" si="46"/>
        <v>-169043.81535479892</v>
      </c>
      <c r="BH51" s="288">
        <f t="shared" si="47"/>
        <v>31339831</v>
      </c>
      <c r="BI51" s="288">
        <v>27331453</v>
      </c>
      <c r="BJ51" s="288">
        <f t="shared" si="48"/>
        <v>4008378</v>
      </c>
      <c r="BK51" s="81">
        <f t="shared" si="49"/>
        <v>5876</v>
      </c>
      <c r="BL51" s="81">
        <v>5439</v>
      </c>
      <c r="BM51" s="998">
        <f t="shared" si="50"/>
        <v>437</v>
      </c>
      <c r="BN51" s="81">
        <f t="shared" si="51"/>
        <v>8283</v>
      </c>
      <c r="BO51" s="81">
        <v>7742</v>
      </c>
      <c r="BP51" s="998">
        <f t="shared" si="52"/>
        <v>541</v>
      </c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</row>
    <row r="52" spans="1:148" s="21" customFormat="1">
      <c r="A52" s="104">
        <v>45</v>
      </c>
      <c r="B52" s="82" t="s">
        <v>146</v>
      </c>
      <c r="C52" s="82">
        <f>'Table 8 2.1.12 MFP Funded'!AD48</f>
        <v>9427</v>
      </c>
      <c r="D52" s="82">
        <f>'[2]totalled for Table 3'!$AD48</f>
        <v>4849</v>
      </c>
      <c r="E52" s="82">
        <f t="shared" si="54"/>
        <v>1067</v>
      </c>
      <c r="F52" s="82">
        <f>'[3]Units-Corrected_for Table 3'!$T56</f>
        <v>3795</v>
      </c>
      <c r="G52" s="82">
        <f t="shared" si="55"/>
        <v>228</v>
      </c>
      <c r="H52" s="82">
        <f>[4]Disabling_Exceptionalities!$Z50</f>
        <v>908</v>
      </c>
      <c r="I52" s="82">
        <f t="shared" si="14"/>
        <v>1362</v>
      </c>
      <c r="J52" s="82">
        <f>[4]GiftedTalented!$AA50</f>
        <v>503</v>
      </c>
      <c r="K52" s="19">
        <f t="shared" si="15"/>
        <v>302</v>
      </c>
      <c r="L52" s="19">
        <f t="shared" si="56"/>
        <v>0</v>
      </c>
      <c r="M52" s="66">
        <f t="shared" si="57"/>
        <v>0</v>
      </c>
      <c r="N52" s="19">
        <f t="shared" si="58"/>
        <v>0</v>
      </c>
      <c r="O52" s="19">
        <f t="shared" si="16"/>
        <v>2959</v>
      </c>
      <c r="P52" s="13">
        <f t="shared" si="59"/>
        <v>12386</v>
      </c>
      <c r="Q52" s="405">
        <f t="shared" si="17"/>
        <v>3855</v>
      </c>
      <c r="R52" s="405">
        <f t="shared" si="60"/>
        <v>47748030</v>
      </c>
      <c r="S52" s="405">
        <f>'Table 6 (Local Deduct Calc.)'!J53</f>
        <v>30960574</v>
      </c>
      <c r="T52" s="405">
        <f t="shared" si="18"/>
        <v>30960574</v>
      </c>
      <c r="U52" s="406">
        <f t="shared" si="19"/>
        <v>16787456</v>
      </c>
      <c r="V52" s="407">
        <f t="shared" si="53"/>
        <v>0.35160000000000002</v>
      </c>
      <c r="W52" s="408">
        <f t="shared" si="20"/>
        <v>0.64839999999999998</v>
      </c>
      <c r="X52" s="409">
        <f t="shared" si="21"/>
        <v>3284.2446165269971</v>
      </c>
      <c r="Y52" s="405">
        <f>'Table 7 Local Revenue'!AQ52</f>
        <v>102234714</v>
      </c>
      <c r="Z52" s="405">
        <f t="shared" si="22"/>
        <v>71274140</v>
      </c>
      <c r="AA52" s="289">
        <f t="shared" si="23"/>
        <v>0</v>
      </c>
      <c r="AB52" s="20">
        <f t="shared" si="24"/>
        <v>16234330.200000001</v>
      </c>
      <c r="AC52" s="20">
        <f t="shared" si="25"/>
        <v>16234330.200000001</v>
      </c>
      <c r="AD52" s="405">
        <f t="shared" si="26"/>
        <v>18105304.286889601</v>
      </c>
      <c r="AE52" s="410">
        <f t="shared" si="27"/>
        <v>0</v>
      </c>
      <c r="AF52" s="282">
        <f t="shared" si="28"/>
        <v>0</v>
      </c>
      <c r="AG52" s="410">
        <f t="shared" si="29"/>
        <v>16787456</v>
      </c>
      <c r="AH52" s="20">
        <f t="shared" si="30"/>
        <v>1781</v>
      </c>
      <c r="AI52" s="410">
        <f>'Table 4 Level 3'!O50</f>
        <v>5977316</v>
      </c>
      <c r="AJ52" s="20">
        <f t="shared" si="61"/>
        <v>634.06343481489341</v>
      </c>
      <c r="AK52" s="410">
        <f t="shared" si="31"/>
        <v>22764772</v>
      </c>
      <c r="AL52" s="20">
        <f t="shared" si="62"/>
        <v>2414.8479898164846</v>
      </c>
      <c r="AM52" s="534">
        <f>'Table 4 Level 3'!R50</f>
        <v>13083753.952447914</v>
      </c>
      <c r="AN52" s="535">
        <f t="shared" si="33"/>
        <v>1387.9021907762717</v>
      </c>
      <c r="AO52" s="410">
        <f t="shared" si="34"/>
        <v>29871209.952447914</v>
      </c>
      <c r="AP52" s="20">
        <f t="shared" si="35"/>
        <v>3168.6867457778631</v>
      </c>
      <c r="AQ52" s="282">
        <f t="shared" si="36"/>
        <v>0.38760498412257227</v>
      </c>
      <c r="AR52" s="411">
        <f t="shared" si="37"/>
        <v>64</v>
      </c>
      <c r="AS52" s="20">
        <f t="shared" si="38"/>
        <v>47194904.200000003</v>
      </c>
      <c r="AT52" s="20">
        <f t="shared" si="63"/>
        <v>5006.3500000000004</v>
      </c>
      <c r="AU52" s="411">
        <f t="shared" si="39"/>
        <v>8</v>
      </c>
      <c r="AV52" s="282">
        <f t="shared" si="40"/>
        <v>0.61239501587742784</v>
      </c>
      <c r="AW52" s="411">
        <f t="shared" si="41"/>
        <v>77066114.152447909</v>
      </c>
      <c r="AX52" s="412">
        <f t="shared" si="64"/>
        <v>8175.0412806245795</v>
      </c>
      <c r="AY52" s="411">
        <f t="shared" si="42"/>
        <v>58</v>
      </c>
      <c r="AZ52" s="20">
        <v>30029263</v>
      </c>
      <c r="BA52" s="289">
        <f t="shared" si="65"/>
        <v>-158053.04755208641</v>
      </c>
      <c r="BB52" s="289">
        <f t="shared" si="43"/>
        <v>16787456</v>
      </c>
      <c r="BC52" s="289">
        <v>16404071</v>
      </c>
      <c r="BD52" s="289">
        <f t="shared" si="44"/>
        <v>383385</v>
      </c>
      <c r="BE52" s="289">
        <f t="shared" si="45"/>
        <v>0</v>
      </c>
      <c r="BF52" s="289">
        <v>0</v>
      </c>
      <c r="BG52" s="289">
        <f t="shared" si="46"/>
        <v>0</v>
      </c>
      <c r="BH52" s="289">
        <f t="shared" si="47"/>
        <v>102234714</v>
      </c>
      <c r="BI52" s="289">
        <v>101909247</v>
      </c>
      <c r="BJ52" s="289">
        <f t="shared" si="48"/>
        <v>325467</v>
      </c>
      <c r="BK52" s="82">
        <f t="shared" si="49"/>
        <v>9427</v>
      </c>
      <c r="BL52" s="82">
        <v>9430</v>
      </c>
      <c r="BM52" s="999">
        <f t="shared" si="50"/>
        <v>-3</v>
      </c>
      <c r="BN52" s="82">
        <f t="shared" si="51"/>
        <v>12386</v>
      </c>
      <c r="BO52" s="82">
        <v>12417</v>
      </c>
      <c r="BP52" s="999">
        <f t="shared" si="52"/>
        <v>-31</v>
      </c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</row>
    <row r="53" spans="1:148" s="5" customFormat="1">
      <c r="A53" s="103">
        <v>46</v>
      </c>
      <c r="B53" s="81" t="s">
        <v>147</v>
      </c>
      <c r="C53" s="621">
        <f>'Table 8 2.1.12 MFP Funded'!AD49</f>
        <v>1103</v>
      </c>
      <c r="D53" s="81">
        <f>'[2]totalled for Table 3'!$AD49</f>
        <v>1023</v>
      </c>
      <c r="E53" s="81">
        <f t="shared" si="54"/>
        <v>225</v>
      </c>
      <c r="F53" s="81">
        <f>'[3]Units-Corrected_for Table 3'!$T57</f>
        <v>515.5</v>
      </c>
      <c r="G53" s="81">
        <f t="shared" si="55"/>
        <v>31</v>
      </c>
      <c r="H53" s="81">
        <f>[4]Disabling_Exceptionalities!$Z51</f>
        <v>160</v>
      </c>
      <c r="I53" s="81">
        <f t="shared" si="14"/>
        <v>240</v>
      </c>
      <c r="J53" s="81">
        <f>[4]GiftedTalented!$AA51</f>
        <v>29</v>
      </c>
      <c r="K53" s="13">
        <f t="shared" si="15"/>
        <v>17</v>
      </c>
      <c r="L53" s="13">
        <f t="shared" si="56"/>
        <v>6397</v>
      </c>
      <c r="M53" s="65">
        <f t="shared" si="57"/>
        <v>0.17058999999999999</v>
      </c>
      <c r="N53" s="13">
        <f t="shared" si="58"/>
        <v>188</v>
      </c>
      <c r="O53" s="13">
        <f t="shared" si="16"/>
        <v>701</v>
      </c>
      <c r="P53" s="36">
        <f t="shared" si="59"/>
        <v>1804</v>
      </c>
      <c r="Q53" s="398">
        <f t="shared" si="17"/>
        <v>3855</v>
      </c>
      <c r="R53" s="398">
        <f t="shared" si="60"/>
        <v>6954420</v>
      </c>
      <c r="S53" s="398">
        <f>'Table 6 (Local Deduct Calc.)'!J54</f>
        <v>1256052</v>
      </c>
      <c r="T53" s="398">
        <f t="shared" si="18"/>
        <v>1256052</v>
      </c>
      <c r="U53" s="399">
        <f t="shared" si="19"/>
        <v>5698368</v>
      </c>
      <c r="V53" s="400">
        <f t="shared" si="53"/>
        <v>0.81940000000000002</v>
      </c>
      <c r="W53" s="400">
        <f t="shared" si="20"/>
        <v>0.18060000000000001</v>
      </c>
      <c r="X53" s="401">
        <f t="shared" si="21"/>
        <v>1138.7597461468722</v>
      </c>
      <c r="Y53" s="398">
        <f>'Table 7 Local Revenue'!AQ53</f>
        <v>1996920</v>
      </c>
      <c r="Z53" s="398">
        <f t="shared" si="22"/>
        <v>740868</v>
      </c>
      <c r="AA53" s="288">
        <f t="shared" si="23"/>
        <v>0</v>
      </c>
      <c r="AB53" s="14">
        <f t="shared" si="24"/>
        <v>2364502.8000000003</v>
      </c>
      <c r="AC53" s="14">
        <f t="shared" si="25"/>
        <v>740868</v>
      </c>
      <c r="AD53" s="398">
        <f t="shared" si="26"/>
        <v>230137.30857600001</v>
      </c>
      <c r="AE53" s="402">
        <f t="shared" si="27"/>
        <v>510730.69142399996</v>
      </c>
      <c r="AF53" s="16">
        <f t="shared" si="28"/>
        <v>0.68940000000000001</v>
      </c>
      <c r="AG53" s="402">
        <f t="shared" si="29"/>
        <v>6209098.6914240001</v>
      </c>
      <c r="AH53" s="14">
        <f t="shared" si="30"/>
        <v>5629</v>
      </c>
      <c r="AI53" s="402">
        <f>'Table 4 Level 3'!O51</f>
        <v>149731</v>
      </c>
      <c r="AJ53" s="14">
        <f t="shared" si="61"/>
        <v>135.7488667271079</v>
      </c>
      <c r="AK53" s="402">
        <f t="shared" si="31"/>
        <v>6358829.6914240001</v>
      </c>
      <c r="AL53" s="14">
        <f t="shared" si="62"/>
        <v>5765.0314518803261</v>
      </c>
      <c r="AM53" s="532">
        <f>'Table 4 Level 3'!R51</f>
        <v>952271.53799999994</v>
      </c>
      <c r="AN53" s="533">
        <f t="shared" si="33"/>
        <v>863.34681595648226</v>
      </c>
      <c r="AO53" s="402">
        <f t="shared" si="34"/>
        <v>7161370.2294239998</v>
      </c>
      <c r="AP53" s="14">
        <f t="shared" si="35"/>
        <v>6492.6294011097007</v>
      </c>
      <c r="AQ53" s="16">
        <f t="shared" si="36"/>
        <v>0.78195493372941582</v>
      </c>
      <c r="AR53" s="403">
        <f t="shared" si="37"/>
        <v>6</v>
      </c>
      <c r="AS53" s="14">
        <f t="shared" si="38"/>
        <v>1996920</v>
      </c>
      <c r="AT53" s="14">
        <f t="shared" si="63"/>
        <v>1810.44</v>
      </c>
      <c r="AU53" s="403">
        <f t="shared" si="39"/>
        <v>64</v>
      </c>
      <c r="AV53" s="16">
        <f t="shared" si="40"/>
        <v>0.21804506627058423</v>
      </c>
      <c r="AW53" s="403">
        <f t="shared" si="41"/>
        <v>9158290.2294239998</v>
      </c>
      <c r="AX53" s="404">
        <f t="shared" si="64"/>
        <v>8303.073644083408</v>
      </c>
      <c r="AY53" s="403">
        <f t="shared" si="42"/>
        <v>53</v>
      </c>
      <c r="AZ53" s="14">
        <v>7202778.6240079999</v>
      </c>
      <c r="BA53" s="288">
        <f t="shared" si="65"/>
        <v>-41408.394584000111</v>
      </c>
      <c r="BB53" s="288">
        <f t="shared" si="43"/>
        <v>5698368</v>
      </c>
      <c r="BC53" s="288">
        <v>5833713</v>
      </c>
      <c r="BD53" s="288">
        <f t="shared" si="44"/>
        <v>-135345</v>
      </c>
      <c r="BE53" s="288">
        <f t="shared" si="45"/>
        <v>510730.69142399996</v>
      </c>
      <c r="BF53" s="288">
        <v>415345.44400799996</v>
      </c>
      <c r="BG53" s="288">
        <f t="shared" si="46"/>
        <v>95385.247415999998</v>
      </c>
      <c r="BH53" s="288">
        <f t="shared" si="47"/>
        <v>1996920</v>
      </c>
      <c r="BI53" s="288">
        <v>1807793</v>
      </c>
      <c r="BJ53" s="288">
        <f t="shared" si="48"/>
        <v>189127</v>
      </c>
      <c r="BK53" s="603">
        <f t="shared" si="49"/>
        <v>1103</v>
      </c>
      <c r="BL53" s="603">
        <v>1103</v>
      </c>
      <c r="BM53" s="1000">
        <f t="shared" si="50"/>
        <v>0</v>
      </c>
      <c r="BN53" s="603">
        <f t="shared" si="51"/>
        <v>1804</v>
      </c>
      <c r="BO53" s="603">
        <v>1829</v>
      </c>
      <c r="BP53" s="1000">
        <f t="shared" si="52"/>
        <v>-25</v>
      </c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</row>
    <row r="54" spans="1:148" s="5" customFormat="1">
      <c r="A54" s="103">
        <v>47</v>
      </c>
      <c r="B54" s="81" t="s">
        <v>148</v>
      </c>
      <c r="C54" s="81">
        <f>'Table 8 2.1.12 MFP Funded'!AD50</f>
        <v>3644</v>
      </c>
      <c r="D54" s="81">
        <f>'[2]totalled for Table 3'!$AD50</f>
        <v>2586</v>
      </c>
      <c r="E54" s="81">
        <f t="shared" si="54"/>
        <v>569</v>
      </c>
      <c r="F54" s="81">
        <f>'[3]Units-Corrected_for Table 3'!$T58</f>
        <v>1659.5</v>
      </c>
      <c r="G54" s="81">
        <f t="shared" si="55"/>
        <v>100</v>
      </c>
      <c r="H54" s="81">
        <f>[4]Disabling_Exceptionalities!$Z52</f>
        <v>506</v>
      </c>
      <c r="I54" s="81">
        <f t="shared" si="14"/>
        <v>759</v>
      </c>
      <c r="J54" s="81">
        <f>[4]GiftedTalented!$AA52</f>
        <v>67</v>
      </c>
      <c r="K54" s="13">
        <f t="shared" si="15"/>
        <v>40</v>
      </c>
      <c r="L54" s="13">
        <f t="shared" si="56"/>
        <v>3856</v>
      </c>
      <c r="M54" s="65">
        <f t="shared" si="57"/>
        <v>0.10283</v>
      </c>
      <c r="N54" s="13">
        <f t="shared" si="58"/>
        <v>375</v>
      </c>
      <c r="O54" s="13">
        <f t="shared" si="16"/>
        <v>1843</v>
      </c>
      <c r="P54" s="13">
        <f t="shared" si="59"/>
        <v>5487</v>
      </c>
      <c r="Q54" s="398">
        <f t="shared" si="17"/>
        <v>3855</v>
      </c>
      <c r="R54" s="398">
        <f t="shared" si="60"/>
        <v>21152385</v>
      </c>
      <c r="S54" s="398">
        <f>'Table 6 (Local Deduct Calc.)'!J55</f>
        <v>11657924</v>
      </c>
      <c r="T54" s="398">
        <f t="shared" si="18"/>
        <v>11657924</v>
      </c>
      <c r="U54" s="399">
        <f t="shared" si="19"/>
        <v>9494461</v>
      </c>
      <c r="V54" s="400">
        <f t="shared" si="53"/>
        <v>0.44890000000000002</v>
      </c>
      <c r="W54" s="400">
        <f t="shared" si="20"/>
        <v>0.55110000000000003</v>
      </c>
      <c r="X54" s="401">
        <f t="shared" si="21"/>
        <v>3199.2107574094402</v>
      </c>
      <c r="Y54" s="398">
        <f>'Table 7 Local Revenue'!AQ54</f>
        <v>35947653</v>
      </c>
      <c r="Z54" s="398">
        <f t="shared" si="22"/>
        <v>24289729</v>
      </c>
      <c r="AA54" s="288">
        <f t="shared" si="23"/>
        <v>0</v>
      </c>
      <c r="AB54" s="14">
        <f t="shared" si="24"/>
        <v>7191810.9000000004</v>
      </c>
      <c r="AC54" s="14">
        <f t="shared" si="25"/>
        <v>7191810.9000000004</v>
      </c>
      <c r="AD54" s="398">
        <f t="shared" si="26"/>
        <v>6817060.0176228005</v>
      </c>
      <c r="AE54" s="402">
        <f t="shared" si="27"/>
        <v>374750.88237719983</v>
      </c>
      <c r="AF54" s="16">
        <f t="shared" si="28"/>
        <v>5.21E-2</v>
      </c>
      <c r="AG54" s="402">
        <f t="shared" si="29"/>
        <v>9869211.8823771998</v>
      </c>
      <c r="AH54" s="14">
        <f t="shared" si="30"/>
        <v>2708</v>
      </c>
      <c r="AI54" s="402">
        <f>'Table 4 Level 3'!O52</f>
        <v>1741196</v>
      </c>
      <c r="AJ54" s="14">
        <f t="shared" si="61"/>
        <v>477.82546652030737</v>
      </c>
      <c r="AK54" s="402">
        <f t="shared" si="31"/>
        <v>11610407.8823772</v>
      </c>
      <c r="AL54" s="14">
        <f t="shared" si="62"/>
        <v>3186.1712081166847</v>
      </c>
      <c r="AM54" s="532">
        <f>'Table 4 Level 3'!R52</f>
        <v>5058726.0192399397</v>
      </c>
      <c r="AN54" s="533">
        <f t="shared" si="33"/>
        <v>1388.2343631284139</v>
      </c>
      <c r="AO54" s="402">
        <f t="shared" si="34"/>
        <v>14927937.90161714</v>
      </c>
      <c r="AP54" s="14">
        <f t="shared" si="35"/>
        <v>4096.5801047247915</v>
      </c>
      <c r="AQ54" s="16">
        <f t="shared" si="36"/>
        <v>0.44194690348538312</v>
      </c>
      <c r="AR54" s="403">
        <f t="shared" si="37"/>
        <v>62</v>
      </c>
      <c r="AS54" s="14">
        <f t="shared" si="38"/>
        <v>18849734.899999999</v>
      </c>
      <c r="AT54" s="14">
        <f t="shared" si="63"/>
        <v>5172.8100000000004</v>
      </c>
      <c r="AU54" s="403">
        <f t="shared" si="39"/>
        <v>7</v>
      </c>
      <c r="AV54" s="16">
        <f t="shared" si="40"/>
        <v>0.55805309651461688</v>
      </c>
      <c r="AW54" s="403">
        <f t="shared" si="41"/>
        <v>33777672.801617138</v>
      </c>
      <c r="AX54" s="404">
        <f t="shared" si="64"/>
        <v>9269.3942924306084</v>
      </c>
      <c r="AY54" s="403">
        <f t="shared" si="42"/>
        <v>15</v>
      </c>
      <c r="AZ54" s="14">
        <v>16176221.6815584</v>
      </c>
      <c r="BA54" s="288">
        <f t="shared" si="65"/>
        <v>-1248283.7799412608</v>
      </c>
      <c r="BB54" s="288">
        <f t="shared" si="43"/>
        <v>9494461</v>
      </c>
      <c r="BC54" s="288">
        <v>10254696</v>
      </c>
      <c r="BD54" s="288">
        <f t="shared" si="44"/>
        <v>-760235</v>
      </c>
      <c r="BE54" s="288">
        <f t="shared" si="45"/>
        <v>374750.88237719983</v>
      </c>
      <c r="BF54" s="288">
        <v>709700.68155839946</v>
      </c>
      <c r="BG54" s="288">
        <f t="shared" si="46"/>
        <v>-334949.79918119963</v>
      </c>
      <c r="BH54" s="288">
        <f t="shared" si="47"/>
        <v>35947653</v>
      </c>
      <c r="BI54" s="288">
        <v>30416869</v>
      </c>
      <c r="BJ54" s="288">
        <f t="shared" si="48"/>
        <v>5530784</v>
      </c>
      <c r="BK54" s="81">
        <f t="shared" si="49"/>
        <v>3644</v>
      </c>
      <c r="BL54" s="81">
        <v>3716</v>
      </c>
      <c r="BM54" s="998">
        <f t="shared" si="50"/>
        <v>-72</v>
      </c>
      <c r="BN54" s="81">
        <f t="shared" si="51"/>
        <v>5487</v>
      </c>
      <c r="BO54" s="81">
        <v>5602</v>
      </c>
      <c r="BP54" s="998">
        <f t="shared" si="52"/>
        <v>-115</v>
      </c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</row>
    <row r="55" spans="1:148" s="5" customFormat="1">
      <c r="A55" s="103">
        <v>48</v>
      </c>
      <c r="B55" s="81" t="s">
        <v>222</v>
      </c>
      <c r="C55" s="81">
        <f>'Table 8 2.1.12 MFP Funded'!AD51</f>
        <v>6233</v>
      </c>
      <c r="D55" s="81">
        <f>'[2]totalled for Table 3'!$AD51</f>
        <v>5314</v>
      </c>
      <c r="E55" s="81">
        <f t="shared" si="54"/>
        <v>1169</v>
      </c>
      <c r="F55" s="81">
        <f>'[3]Units-Corrected_for Table 3'!$T59</f>
        <v>1964.5</v>
      </c>
      <c r="G55" s="81">
        <f t="shared" si="55"/>
        <v>118</v>
      </c>
      <c r="H55" s="81">
        <f>[4]Disabling_Exceptionalities!$Z53</f>
        <v>829</v>
      </c>
      <c r="I55" s="81">
        <f t="shared" si="14"/>
        <v>1244</v>
      </c>
      <c r="J55" s="81">
        <f>[4]GiftedTalented!$AA53</f>
        <v>130</v>
      </c>
      <c r="K55" s="13">
        <f t="shared" si="15"/>
        <v>78</v>
      </c>
      <c r="L55" s="13">
        <f t="shared" si="56"/>
        <v>1267</v>
      </c>
      <c r="M55" s="65">
        <f t="shared" si="57"/>
        <v>3.3790000000000001E-2</v>
      </c>
      <c r="N55" s="13">
        <f t="shared" si="58"/>
        <v>211</v>
      </c>
      <c r="O55" s="13">
        <f t="shared" si="16"/>
        <v>2820</v>
      </c>
      <c r="P55" s="13">
        <f t="shared" si="59"/>
        <v>9053</v>
      </c>
      <c r="Q55" s="398">
        <f t="shared" si="17"/>
        <v>3855</v>
      </c>
      <c r="R55" s="398">
        <f t="shared" si="60"/>
        <v>34899315</v>
      </c>
      <c r="S55" s="398">
        <f>'Table 6 (Local Deduct Calc.)'!J56</f>
        <v>13285837.5</v>
      </c>
      <c r="T55" s="398">
        <f t="shared" si="18"/>
        <v>13285837.5</v>
      </c>
      <c r="U55" s="399">
        <f t="shared" si="19"/>
        <v>21613477.5</v>
      </c>
      <c r="V55" s="400">
        <f t="shared" si="53"/>
        <v>0.61929999999999996</v>
      </c>
      <c r="W55" s="400">
        <f t="shared" si="20"/>
        <v>0.38069999999999998</v>
      </c>
      <c r="X55" s="401">
        <f t="shared" si="21"/>
        <v>2131.5317664046206</v>
      </c>
      <c r="Y55" s="398">
        <f>'Table 7 Local Revenue'!AQ55</f>
        <v>31788560.5</v>
      </c>
      <c r="Z55" s="398">
        <f t="shared" si="22"/>
        <v>18502723</v>
      </c>
      <c r="AA55" s="288">
        <f t="shared" si="23"/>
        <v>0</v>
      </c>
      <c r="AB55" s="14">
        <f t="shared" si="24"/>
        <v>11865767.100000001</v>
      </c>
      <c r="AC55" s="14">
        <f t="shared" si="25"/>
        <v>11865767.100000001</v>
      </c>
      <c r="AD55" s="398">
        <f t="shared" si="26"/>
        <v>7769751.7601484004</v>
      </c>
      <c r="AE55" s="402">
        <f t="shared" si="27"/>
        <v>4096015.339851601</v>
      </c>
      <c r="AF55" s="16">
        <f t="shared" si="28"/>
        <v>0.34520000000000001</v>
      </c>
      <c r="AG55" s="402">
        <f t="shared" si="29"/>
        <v>25709492.839851603</v>
      </c>
      <c r="AH55" s="14">
        <f t="shared" si="30"/>
        <v>4125</v>
      </c>
      <c r="AI55" s="402">
        <f>'Table 4 Level 3'!O53</f>
        <v>846124</v>
      </c>
      <c r="AJ55" s="14">
        <f t="shared" si="61"/>
        <v>135.74907749077491</v>
      </c>
      <c r="AK55" s="402">
        <f t="shared" si="31"/>
        <v>26555616.839851603</v>
      </c>
      <c r="AL55" s="14">
        <f t="shared" si="62"/>
        <v>4260.4872196136057</v>
      </c>
      <c r="AM55" s="532">
        <f>'Table 4 Level 3'!R53</f>
        <v>6272473.3096791608</v>
      </c>
      <c r="AN55" s="533">
        <f t="shared" si="33"/>
        <v>1006.3329551867738</v>
      </c>
      <c r="AO55" s="402">
        <f t="shared" si="34"/>
        <v>31981966.149530765</v>
      </c>
      <c r="AP55" s="14">
        <f t="shared" si="35"/>
        <v>5131.0710973096047</v>
      </c>
      <c r="AQ55" s="16">
        <f t="shared" si="36"/>
        <v>0.55977537776760489</v>
      </c>
      <c r="AR55" s="403">
        <f t="shared" si="37"/>
        <v>52</v>
      </c>
      <c r="AS55" s="14">
        <f t="shared" si="38"/>
        <v>25151604.600000001</v>
      </c>
      <c r="AT55" s="14">
        <f t="shared" si="63"/>
        <v>4035.23</v>
      </c>
      <c r="AU55" s="403">
        <f t="shared" si="39"/>
        <v>17</v>
      </c>
      <c r="AV55" s="16">
        <f t="shared" si="40"/>
        <v>0.44022462223239517</v>
      </c>
      <c r="AW55" s="403">
        <f t="shared" si="41"/>
        <v>57133570.749530762</v>
      </c>
      <c r="AX55" s="404">
        <f t="shared" si="64"/>
        <v>9166.3036658961591</v>
      </c>
      <c r="AY55" s="403">
        <f t="shared" si="42"/>
        <v>17</v>
      </c>
      <c r="AZ55" s="14">
        <v>26147247.5905516</v>
      </c>
      <c r="BA55" s="288">
        <f t="shared" si="65"/>
        <v>5834718.5589791648</v>
      </c>
      <c r="BB55" s="288">
        <f t="shared" si="43"/>
        <v>21613477.5</v>
      </c>
      <c r="BC55" s="288">
        <v>17925947.5</v>
      </c>
      <c r="BD55" s="288">
        <f t="shared" si="44"/>
        <v>3687530</v>
      </c>
      <c r="BE55" s="288">
        <f t="shared" si="45"/>
        <v>4096015.339851601</v>
      </c>
      <c r="BF55" s="288">
        <v>2142025.0905515999</v>
      </c>
      <c r="BG55" s="288">
        <f t="shared" si="46"/>
        <v>1953990.2493000012</v>
      </c>
      <c r="BH55" s="288">
        <f t="shared" si="47"/>
        <v>31788560.5</v>
      </c>
      <c r="BI55" s="288">
        <v>39687959.5</v>
      </c>
      <c r="BJ55" s="288">
        <f t="shared" si="48"/>
        <v>-7899399</v>
      </c>
      <c r="BK55" s="81">
        <f t="shared" si="49"/>
        <v>6233</v>
      </c>
      <c r="BL55" s="81">
        <v>6033</v>
      </c>
      <c r="BM55" s="998">
        <f t="shared" si="50"/>
        <v>200</v>
      </c>
      <c r="BN55" s="81">
        <f t="shared" si="51"/>
        <v>9053</v>
      </c>
      <c r="BO55" s="81">
        <v>8839</v>
      </c>
      <c r="BP55" s="998">
        <f t="shared" si="52"/>
        <v>214</v>
      </c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</row>
    <row r="56" spans="1:148" s="5" customFormat="1">
      <c r="A56" s="103">
        <v>49</v>
      </c>
      <c r="B56" s="81" t="s">
        <v>149</v>
      </c>
      <c r="C56" s="81">
        <f>'Table 8 2.1.12 MFP Funded'!AD52</f>
        <v>14461</v>
      </c>
      <c r="D56" s="81">
        <f>'[2]totalled for Table 3'!$AD52</f>
        <v>11393</v>
      </c>
      <c r="E56" s="81">
        <f t="shared" si="54"/>
        <v>2506</v>
      </c>
      <c r="F56" s="81">
        <f>'[3]Units-Corrected_for Table 3'!$T60</f>
        <v>4464.5</v>
      </c>
      <c r="G56" s="81">
        <f t="shared" si="55"/>
        <v>268</v>
      </c>
      <c r="H56" s="81">
        <f>[4]Disabling_Exceptionalities!$Z54</f>
        <v>1807</v>
      </c>
      <c r="I56" s="81">
        <f t="shared" si="14"/>
        <v>2711</v>
      </c>
      <c r="J56" s="81">
        <f>[4]GiftedTalented!$AA54</f>
        <v>321</v>
      </c>
      <c r="K56" s="13">
        <f t="shared" si="15"/>
        <v>193</v>
      </c>
      <c r="L56" s="13">
        <f t="shared" si="56"/>
        <v>0</v>
      </c>
      <c r="M56" s="65">
        <f t="shared" si="57"/>
        <v>0</v>
      </c>
      <c r="N56" s="13">
        <f t="shared" si="58"/>
        <v>0</v>
      </c>
      <c r="O56" s="13">
        <f t="shared" si="16"/>
        <v>5678</v>
      </c>
      <c r="P56" s="13">
        <f t="shared" si="59"/>
        <v>20139</v>
      </c>
      <c r="Q56" s="398">
        <f t="shared" si="17"/>
        <v>3855</v>
      </c>
      <c r="R56" s="398">
        <f t="shared" si="60"/>
        <v>77635845</v>
      </c>
      <c r="S56" s="398">
        <f>'Table 6 (Local Deduct Calc.)'!J57</f>
        <v>18574643.5</v>
      </c>
      <c r="T56" s="398">
        <f t="shared" si="18"/>
        <v>18574643.5</v>
      </c>
      <c r="U56" s="399">
        <f t="shared" si="19"/>
        <v>59061201.5</v>
      </c>
      <c r="V56" s="400">
        <f t="shared" si="53"/>
        <v>0.76070000000000004</v>
      </c>
      <c r="W56" s="400">
        <f t="shared" si="20"/>
        <v>0.23930000000000001</v>
      </c>
      <c r="X56" s="401">
        <f t="shared" si="21"/>
        <v>1284.4646635778993</v>
      </c>
      <c r="Y56" s="398">
        <f>'Table 7 Local Revenue'!AQ56</f>
        <v>32496492.5</v>
      </c>
      <c r="Z56" s="398">
        <f t="shared" si="22"/>
        <v>13921849</v>
      </c>
      <c r="AA56" s="288">
        <f t="shared" si="23"/>
        <v>0</v>
      </c>
      <c r="AB56" s="14">
        <f t="shared" si="24"/>
        <v>26396187.300000001</v>
      </c>
      <c r="AC56" s="14">
        <f t="shared" si="25"/>
        <v>13921849</v>
      </c>
      <c r="AD56" s="398">
        <f t="shared" si="26"/>
        <v>5730177.3610040005</v>
      </c>
      <c r="AE56" s="402">
        <f t="shared" si="27"/>
        <v>8191671.6389959995</v>
      </c>
      <c r="AF56" s="16">
        <f t="shared" si="28"/>
        <v>0.58840000000000003</v>
      </c>
      <c r="AG56" s="402">
        <f t="shared" si="29"/>
        <v>67252873.138996005</v>
      </c>
      <c r="AH56" s="14">
        <f t="shared" si="30"/>
        <v>4651</v>
      </c>
      <c r="AI56" s="402">
        <f>'Table 4 Level 3'!O54</f>
        <v>2163068</v>
      </c>
      <c r="AJ56" s="14">
        <f t="shared" si="61"/>
        <v>149.57942051033814</v>
      </c>
      <c r="AK56" s="402">
        <f t="shared" si="31"/>
        <v>69415941.138996005</v>
      </c>
      <c r="AL56" s="14">
        <f t="shared" si="62"/>
        <v>4800.2172145077111</v>
      </c>
      <c r="AM56" s="532">
        <f>'Table 4 Level 3'!R54</f>
        <v>10466444.936541773</v>
      </c>
      <c r="AN56" s="533">
        <f t="shared" si="33"/>
        <v>723.7704817468898</v>
      </c>
      <c r="AO56" s="402">
        <f t="shared" si="34"/>
        <v>77719318.075537771</v>
      </c>
      <c r="AP56" s="14">
        <f t="shared" si="35"/>
        <v>5374.408275744262</v>
      </c>
      <c r="AQ56" s="16">
        <f t="shared" si="36"/>
        <v>0.70515579996820754</v>
      </c>
      <c r="AR56" s="403">
        <f t="shared" si="37"/>
        <v>16</v>
      </c>
      <c r="AS56" s="14">
        <f t="shared" si="38"/>
        <v>32496492.5</v>
      </c>
      <c r="AT56" s="14">
        <f t="shared" si="63"/>
        <v>2247.1799999999998</v>
      </c>
      <c r="AU56" s="403">
        <f t="shared" si="39"/>
        <v>57</v>
      </c>
      <c r="AV56" s="16">
        <f t="shared" si="40"/>
        <v>0.2948442000317924</v>
      </c>
      <c r="AW56" s="403">
        <f t="shared" si="41"/>
        <v>110215810.57553777</v>
      </c>
      <c r="AX56" s="404">
        <f t="shared" si="64"/>
        <v>7621.5898330362888</v>
      </c>
      <c r="AY56" s="403">
        <f t="shared" si="42"/>
        <v>66</v>
      </c>
      <c r="AZ56" s="14">
        <v>75952628.938519999</v>
      </c>
      <c r="BA56" s="288">
        <f t="shared" si="65"/>
        <v>1766689.1370177716</v>
      </c>
      <c r="BB56" s="288">
        <f t="shared" si="43"/>
        <v>59061201.5</v>
      </c>
      <c r="BC56" s="288">
        <v>58251669</v>
      </c>
      <c r="BD56" s="288">
        <f t="shared" si="44"/>
        <v>809532.5</v>
      </c>
      <c r="BE56" s="288">
        <f t="shared" si="45"/>
        <v>8191671.6389959995</v>
      </c>
      <c r="BF56" s="288">
        <v>7581235.9385200003</v>
      </c>
      <c r="BG56" s="288">
        <f t="shared" si="46"/>
        <v>610435.70047599915</v>
      </c>
      <c r="BH56" s="288">
        <f t="shared" si="47"/>
        <v>32496492.5</v>
      </c>
      <c r="BI56" s="288">
        <v>30689119</v>
      </c>
      <c r="BJ56" s="288">
        <f t="shared" si="48"/>
        <v>1807373.5</v>
      </c>
      <c r="BK56" s="81">
        <f t="shared" si="49"/>
        <v>14461</v>
      </c>
      <c r="BL56" s="81">
        <v>13951</v>
      </c>
      <c r="BM56" s="998">
        <f t="shared" si="50"/>
        <v>510</v>
      </c>
      <c r="BN56" s="81">
        <f t="shared" si="51"/>
        <v>20139</v>
      </c>
      <c r="BO56" s="81">
        <v>19766</v>
      </c>
      <c r="BP56" s="998">
        <f t="shared" si="52"/>
        <v>373</v>
      </c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</row>
    <row r="57" spans="1:148" s="21" customFormat="1">
      <c r="A57" s="104">
        <v>50</v>
      </c>
      <c r="B57" s="82" t="s">
        <v>150</v>
      </c>
      <c r="C57" s="82">
        <f>'Table 8 2.1.12 MFP Funded'!AD53</f>
        <v>7985</v>
      </c>
      <c r="D57" s="82">
        <f>'[2]totalled for Table 3'!$AD53</f>
        <v>6062</v>
      </c>
      <c r="E57" s="82">
        <f t="shared" si="54"/>
        <v>1334</v>
      </c>
      <c r="F57" s="82">
        <f>'[3]Units-Corrected_for Table 3'!$T61</f>
        <v>3204</v>
      </c>
      <c r="G57" s="82">
        <f t="shared" si="55"/>
        <v>192</v>
      </c>
      <c r="H57" s="82">
        <f>[4]Disabling_Exceptionalities!$Z55</f>
        <v>907</v>
      </c>
      <c r="I57" s="82">
        <f t="shared" si="14"/>
        <v>1361</v>
      </c>
      <c r="J57" s="82">
        <f>[4]GiftedTalented!$AA55</f>
        <v>152</v>
      </c>
      <c r="K57" s="19">
        <f t="shared" si="15"/>
        <v>91</v>
      </c>
      <c r="L57" s="19">
        <f t="shared" si="56"/>
        <v>0</v>
      </c>
      <c r="M57" s="66">
        <f t="shared" si="57"/>
        <v>0</v>
      </c>
      <c r="N57" s="19">
        <f t="shared" si="58"/>
        <v>0</v>
      </c>
      <c r="O57" s="19">
        <f t="shared" si="16"/>
        <v>2978</v>
      </c>
      <c r="P57" s="13">
        <f t="shared" si="59"/>
        <v>10963</v>
      </c>
      <c r="Q57" s="405">
        <f t="shared" si="17"/>
        <v>3855</v>
      </c>
      <c r="R57" s="405">
        <f t="shared" si="60"/>
        <v>42262365</v>
      </c>
      <c r="S57" s="405">
        <f>'Table 6 (Local Deduct Calc.)'!J58</f>
        <v>9847488.5</v>
      </c>
      <c r="T57" s="405">
        <f t="shared" si="18"/>
        <v>9847488.5</v>
      </c>
      <c r="U57" s="406">
        <f t="shared" si="19"/>
        <v>32414876.5</v>
      </c>
      <c r="V57" s="407">
        <f t="shared" si="53"/>
        <v>0.76700000000000002</v>
      </c>
      <c r="W57" s="408">
        <f t="shared" si="20"/>
        <v>0.23300000000000001</v>
      </c>
      <c r="X57" s="409">
        <f t="shared" si="21"/>
        <v>1233.2484032561051</v>
      </c>
      <c r="Y57" s="405">
        <f>'Table 7 Local Revenue'!AQ57</f>
        <v>20997384.5</v>
      </c>
      <c r="Z57" s="405">
        <f t="shared" si="22"/>
        <v>11149896</v>
      </c>
      <c r="AA57" s="289">
        <f t="shared" si="23"/>
        <v>0</v>
      </c>
      <c r="AB57" s="20">
        <f t="shared" si="24"/>
        <v>14369204.100000001</v>
      </c>
      <c r="AC57" s="20">
        <f t="shared" si="25"/>
        <v>11149896</v>
      </c>
      <c r="AD57" s="405">
        <f t="shared" si="26"/>
        <v>4468432.3209600002</v>
      </c>
      <c r="AE57" s="410">
        <f t="shared" si="27"/>
        <v>6681463.6790399998</v>
      </c>
      <c r="AF57" s="282">
        <f t="shared" si="28"/>
        <v>0.59919999999999995</v>
      </c>
      <c r="AG57" s="410">
        <f t="shared" si="29"/>
        <v>39096340.17904</v>
      </c>
      <c r="AH57" s="20">
        <f t="shared" si="30"/>
        <v>4896</v>
      </c>
      <c r="AI57" s="410">
        <f>'Table 4 Level 3'!O55</f>
        <v>1303957</v>
      </c>
      <c r="AJ57" s="20">
        <f t="shared" si="61"/>
        <v>163.30081402629932</v>
      </c>
      <c r="AK57" s="410">
        <f t="shared" si="31"/>
        <v>40400297.17904</v>
      </c>
      <c r="AL57" s="20">
        <f t="shared" si="62"/>
        <v>5059.523754419537</v>
      </c>
      <c r="AM57" s="534">
        <f>'Table 4 Level 3'!R55</f>
        <v>6368724.2880000006</v>
      </c>
      <c r="AN57" s="535">
        <f t="shared" si="33"/>
        <v>797.58600976831565</v>
      </c>
      <c r="AO57" s="410">
        <f t="shared" si="34"/>
        <v>45465064.467040002</v>
      </c>
      <c r="AP57" s="20">
        <f t="shared" si="35"/>
        <v>5693.8089501615532</v>
      </c>
      <c r="AQ57" s="282">
        <f t="shared" si="36"/>
        <v>0.68407145950320003</v>
      </c>
      <c r="AR57" s="411">
        <f t="shared" si="37"/>
        <v>25</v>
      </c>
      <c r="AS57" s="20">
        <f t="shared" si="38"/>
        <v>20997384.5</v>
      </c>
      <c r="AT57" s="20">
        <f t="shared" si="63"/>
        <v>2629.6</v>
      </c>
      <c r="AU57" s="411">
        <f t="shared" si="39"/>
        <v>52</v>
      </c>
      <c r="AV57" s="282">
        <f t="shared" si="40"/>
        <v>0.31592854049679997</v>
      </c>
      <c r="AW57" s="411">
        <f t="shared" si="41"/>
        <v>66462448.967040002</v>
      </c>
      <c r="AX57" s="412">
        <f t="shared" si="64"/>
        <v>8323.4125193537893</v>
      </c>
      <c r="AY57" s="411">
        <f t="shared" si="42"/>
        <v>51</v>
      </c>
      <c r="AZ57" s="20">
        <v>46239418.187183999</v>
      </c>
      <c r="BA57" s="289">
        <f t="shared" si="65"/>
        <v>-774353.72014399618</v>
      </c>
      <c r="BB57" s="289">
        <f t="shared" si="43"/>
        <v>32414876.5</v>
      </c>
      <c r="BC57" s="289">
        <v>33534668.5</v>
      </c>
      <c r="BD57" s="289">
        <f t="shared" si="44"/>
        <v>-1119792</v>
      </c>
      <c r="BE57" s="289">
        <f t="shared" si="45"/>
        <v>6681463.6790399998</v>
      </c>
      <c r="BF57" s="289">
        <v>6170678.6871840004</v>
      </c>
      <c r="BG57" s="289">
        <f t="shared" si="46"/>
        <v>510784.99185599945</v>
      </c>
      <c r="BH57" s="289">
        <f t="shared" si="47"/>
        <v>20997384.5</v>
      </c>
      <c r="BI57" s="289">
        <v>19088863.5</v>
      </c>
      <c r="BJ57" s="289">
        <f t="shared" si="48"/>
        <v>1908521</v>
      </c>
      <c r="BK57" s="82">
        <f t="shared" si="49"/>
        <v>7985</v>
      </c>
      <c r="BL57" s="82">
        <v>8111</v>
      </c>
      <c r="BM57" s="999">
        <f t="shared" si="50"/>
        <v>-126</v>
      </c>
      <c r="BN57" s="82">
        <f t="shared" si="51"/>
        <v>10963</v>
      </c>
      <c r="BO57" s="82">
        <v>11101</v>
      </c>
      <c r="BP57" s="999">
        <f t="shared" si="52"/>
        <v>-138</v>
      </c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</row>
    <row r="58" spans="1:148" s="5" customFormat="1">
      <c r="A58" s="103">
        <v>51</v>
      </c>
      <c r="B58" s="81" t="s">
        <v>151</v>
      </c>
      <c r="C58" s="81">
        <f>'Table 8 2.1.12 MFP Funded'!AD54</f>
        <v>9346</v>
      </c>
      <c r="D58" s="81">
        <f>'[2]totalled for Table 3'!$AD54</f>
        <v>6834</v>
      </c>
      <c r="E58" s="81">
        <f t="shared" si="54"/>
        <v>1503</v>
      </c>
      <c r="F58" s="81">
        <f>'[3]Units-Corrected_for Table 3'!$T62</f>
        <v>2989.5</v>
      </c>
      <c r="G58" s="81">
        <f t="shared" si="55"/>
        <v>179</v>
      </c>
      <c r="H58" s="81">
        <f>[4]Disabling_Exceptionalities!$Z56</f>
        <v>1389</v>
      </c>
      <c r="I58" s="81">
        <f t="shared" si="14"/>
        <v>2084</v>
      </c>
      <c r="J58" s="81">
        <f>[4]GiftedTalented!$AA56</f>
        <v>548</v>
      </c>
      <c r="K58" s="13">
        <f t="shared" si="15"/>
        <v>329</v>
      </c>
      <c r="L58" s="13">
        <f t="shared" si="56"/>
        <v>0</v>
      </c>
      <c r="M58" s="65">
        <f t="shared" si="57"/>
        <v>0</v>
      </c>
      <c r="N58" s="13">
        <f t="shared" si="58"/>
        <v>0</v>
      </c>
      <c r="O58" s="13">
        <f t="shared" si="16"/>
        <v>4095</v>
      </c>
      <c r="P58" s="36">
        <f t="shared" si="59"/>
        <v>13441</v>
      </c>
      <c r="Q58" s="398">
        <f t="shared" si="17"/>
        <v>3855</v>
      </c>
      <c r="R58" s="398">
        <f t="shared" si="60"/>
        <v>51815055</v>
      </c>
      <c r="S58" s="398">
        <f>'Table 6 (Local Deduct Calc.)'!J59</f>
        <v>18758452</v>
      </c>
      <c r="T58" s="398">
        <f t="shared" si="18"/>
        <v>18758452</v>
      </c>
      <c r="U58" s="399">
        <f t="shared" si="19"/>
        <v>33056603</v>
      </c>
      <c r="V58" s="400">
        <f t="shared" si="53"/>
        <v>0.63800000000000001</v>
      </c>
      <c r="W58" s="400">
        <f t="shared" si="20"/>
        <v>0.36199999999999999</v>
      </c>
      <c r="X58" s="401">
        <f t="shared" si="21"/>
        <v>2007.1102075754334</v>
      </c>
      <c r="Y58" s="398">
        <f>'Table 7 Local Revenue'!AQ58</f>
        <v>37188952</v>
      </c>
      <c r="Z58" s="398">
        <f t="shared" si="22"/>
        <v>18430500</v>
      </c>
      <c r="AA58" s="288">
        <f t="shared" si="23"/>
        <v>0</v>
      </c>
      <c r="AB58" s="14">
        <f t="shared" si="24"/>
        <v>17617118.700000003</v>
      </c>
      <c r="AC58" s="14">
        <f t="shared" si="25"/>
        <v>17617118.700000003</v>
      </c>
      <c r="AD58" s="398">
        <f t="shared" si="26"/>
        <v>10969122.787368001</v>
      </c>
      <c r="AE58" s="402">
        <f t="shared" si="27"/>
        <v>6647995.9126320016</v>
      </c>
      <c r="AF58" s="16">
        <f t="shared" si="28"/>
        <v>0.37740000000000001</v>
      </c>
      <c r="AG58" s="402">
        <f t="shared" si="29"/>
        <v>39704598.912632003</v>
      </c>
      <c r="AH58" s="14">
        <f t="shared" si="30"/>
        <v>4248</v>
      </c>
      <c r="AI58" s="402">
        <f>'Table 4 Level 3'!O56</f>
        <v>1268711</v>
      </c>
      <c r="AJ58" s="14">
        <f t="shared" si="61"/>
        <v>135.74909052000856</v>
      </c>
      <c r="AK58" s="402">
        <f t="shared" si="31"/>
        <v>40973309.912632003</v>
      </c>
      <c r="AL58" s="14">
        <f t="shared" si="62"/>
        <v>4384.0477116019692</v>
      </c>
      <c r="AM58" s="532">
        <f>'Table 4 Level 3'!R56</f>
        <v>7841142.8946943805</v>
      </c>
      <c r="AN58" s="533">
        <f t="shared" si="33"/>
        <v>838.98383208799282</v>
      </c>
      <c r="AO58" s="402">
        <f t="shared" si="34"/>
        <v>47545741.807326384</v>
      </c>
      <c r="AP58" s="14">
        <f t="shared" si="35"/>
        <v>5087.2824531699534</v>
      </c>
      <c r="AQ58" s="16">
        <f t="shared" si="36"/>
        <v>0.56655145620101688</v>
      </c>
      <c r="AR58" s="403">
        <f t="shared" si="37"/>
        <v>49</v>
      </c>
      <c r="AS58" s="14">
        <f t="shared" si="38"/>
        <v>36375570.700000003</v>
      </c>
      <c r="AT58" s="14">
        <f t="shared" si="63"/>
        <v>3892.1</v>
      </c>
      <c r="AU58" s="403">
        <f t="shared" si="39"/>
        <v>19</v>
      </c>
      <c r="AV58" s="16">
        <f t="shared" si="40"/>
        <v>0.43344854379898295</v>
      </c>
      <c r="AW58" s="403">
        <f t="shared" si="41"/>
        <v>83921312.507326394</v>
      </c>
      <c r="AX58" s="404">
        <f t="shared" si="64"/>
        <v>8979.3828918603031</v>
      </c>
      <c r="AY58" s="403">
        <f t="shared" si="42"/>
        <v>24</v>
      </c>
      <c r="AZ58" s="14">
        <v>47159921.692704</v>
      </c>
      <c r="BA58" s="288">
        <f t="shared" si="65"/>
        <v>385820.11462238431</v>
      </c>
      <c r="BB58" s="288">
        <f t="shared" si="43"/>
        <v>33056603</v>
      </c>
      <c r="BC58" s="288">
        <v>32782335</v>
      </c>
      <c r="BD58" s="288">
        <f t="shared" si="44"/>
        <v>274268</v>
      </c>
      <c r="BE58" s="288">
        <f t="shared" si="45"/>
        <v>6647995.9126320016</v>
      </c>
      <c r="BF58" s="288">
        <v>6795832.6927040014</v>
      </c>
      <c r="BG58" s="288">
        <f t="shared" si="46"/>
        <v>-147836.78007199988</v>
      </c>
      <c r="BH58" s="288">
        <f t="shared" si="47"/>
        <v>37188952</v>
      </c>
      <c r="BI58" s="288">
        <v>33485668</v>
      </c>
      <c r="BJ58" s="288">
        <f t="shared" si="48"/>
        <v>3703284</v>
      </c>
      <c r="BK58" s="81">
        <f t="shared" si="49"/>
        <v>9346</v>
      </c>
      <c r="BL58" s="81">
        <v>8991</v>
      </c>
      <c r="BM58" s="998">
        <f t="shared" si="50"/>
        <v>355</v>
      </c>
      <c r="BN58" s="81">
        <f t="shared" si="51"/>
        <v>13441</v>
      </c>
      <c r="BO58" s="81">
        <v>12916</v>
      </c>
      <c r="BP58" s="998">
        <f t="shared" si="52"/>
        <v>525</v>
      </c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</row>
    <row r="59" spans="1:148" s="5" customFormat="1">
      <c r="A59" s="103">
        <v>52</v>
      </c>
      <c r="B59" s="81" t="s">
        <v>152</v>
      </c>
      <c r="C59" s="81">
        <f>'Table 8 2.1.12 MFP Funded'!AD55</f>
        <v>36557</v>
      </c>
      <c r="D59" s="81">
        <f>'[2]totalled for Table 3'!$AD55</f>
        <v>16991</v>
      </c>
      <c r="E59" s="81">
        <f t="shared" si="54"/>
        <v>3738</v>
      </c>
      <c r="F59" s="81">
        <f>'[3]Units-Corrected_for Table 3'!$T63</f>
        <v>15923.5</v>
      </c>
      <c r="G59" s="81">
        <f t="shared" si="55"/>
        <v>955</v>
      </c>
      <c r="H59" s="81">
        <f>[4]Disabling_Exceptionalities!$Z57</f>
        <v>6221</v>
      </c>
      <c r="I59" s="81">
        <f t="shared" si="14"/>
        <v>9332</v>
      </c>
      <c r="J59" s="81">
        <f>[4]GiftedTalented!$AA57</f>
        <v>3464</v>
      </c>
      <c r="K59" s="13">
        <f t="shared" si="15"/>
        <v>2078</v>
      </c>
      <c r="L59" s="13">
        <f t="shared" si="56"/>
        <v>0</v>
      </c>
      <c r="M59" s="65">
        <f t="shared" si="57"/>
        <v>0</v>
      </c>
      <c r="N59" s="13">
        <f t="shared" si="58"/>
        <v>0</v>
      </c>
      <c r="O59" s="13">
        <f t="shared" si="16"/>
        <v>16103</v>
      </c>
      <c r="P59" s="13">
        <f t="shared" si="59"/>
        <v>52660</v>
      </c>
      <c r="Q59" s="398">
        <f t="shared" si="17"/>
        <v>3855</v>
      </c>
      <c r="R59" s="398">
        <f t="shared" si="60"/>
        <v>203004300</v>
      </c>
      <c r="S59" s="398">
        <f>'Table 6 (Local Deduct Calc.)'!J60</f>
        <v>61284714</v>
      </c>
      <c r="T59" s="398">
        <f t="shared" si="18"/>
        <v>61284714</v>
      </c>
      <c r="U59" s="399">
        <f t="shared" si="19"/>
        <v>141719586</v>
      </c>
      <c r="V59" s="400">
        <f t="shared" si="53"/>
        <v>0.69810000000000005</v>
      </c>
      <c r="W59" s="400">
        <f t="shared" si="20"/>
        <v>0.3019</v>
      </c>
      <c r="X59" s="401">
        <f t="shared" si="21"/>
        <v>1676.4152966600104</v>
      </c>
      <c r="Y59" s="398">
        <f>'Table 7 Local Revenue'!AQ59</f>
        <v>180985630</v>
      </c>
      <c r="Z59" s="398">
        <f t="shared" si="22"/>
        <v>119700916</v>
      </c>
      <c r="AA59" s="288">
        <f t="shared" si="23"/>
        <v>0</v>
      </c>
      <c r="AB59" s="14">
        <f t="shared" si="24"/>
        <v>69021462</v>
      </c>
      <c r="AC59" s="14">
        <f t="shared" si="25"/>
        <v>69021462</v>
      </c>
      <c r="AD59" s="398">
        <f t="shared" si="26"/>
        <v>35840636.529815994</v>
      </c>
      <c r="AE59" s="402">
        <f t="shared" si="27"/>
        <v>33180825.470184006</v>
      </c>
      <c r="AF59" s="16">
        <f t="shared" si="28"/>
        <v>0.48070000000000002</v>
      </c>
      <c r="AG59" s="402">
        <f t="shared" si="29"/>
        <v>174900411.470184</v>
      </c>
      <c r="AH59" s="14">
        <f t="shared" si="30"/>
        <v>4784</v>
      </c>
      <c r="AI59" s="402">
        <f>'Table 4 Level 3'!O57</f>
        <v>4962580</v>
      </c>
      <c r="AJ59" s="14">
        <f t="shared" si="61"/>
        <v>135.74910413874224</v>
      </c>
      <c r="AK59" s="402">
        <f t="shared" si="31"/>
        <v>179862991.470184</v>
      </c>
      <c r="AL59" s="14">
        <f t="shared" si="62"/>
        <v>4920.0697942988754</v>
      </c>
      <c r="AM59" s="532">
        <f>'Table 4 Level 3'!R57</f>
        <v>29024123.941516738</v>
      </c>
      <c r="AN59" s="533">
        <f t="shared" si="33"/>
        <v>793.941623807116</v>
      </c>
      <c r="AO59" s="402">
        <f t="shared" si="34"/>
        <v>203924535.41170073</v>
      </c>
      <c r="AP59" s="14">
        <f t="shared" si="35"/>
        <v>5578.2623139672487</v>
      </c>
      <c r="AQ59" s="16">
        <f t="shared" si="36"/>
        <v>0.61013105154334346</v>
      </c>
      <c r="AR59" s="403">
        <f t="shared" si="37"/>
        <v>43</v>
      </c>
      <c r="AS59" s="14">
        <f t="shared" si="38"/>
        <v>130306176</v>
      </c>
      <c r="AT59" s="14">
        <f t="shared" si="63"/>
        <v>3564.47</v>
      </c>
      <c r="AU59" s="403">
        <f t="shared" si="39"/>
        <v>24</v>
      </c>
      <c r="AV59" s="16">
        <f t="shared" si="40"/>
        <v>0.38986894845665654</v>
      </c>
      <c r="AW59" s="403">
        <f t="shared" si="41"/>
        <v>334230711.41170073</v>
      </c>
      <c r="AX59" s="404">
        <f t="shared" si="64"/>
        <v>9142.7281071122015</v>
      </c>
      <c r="AY59" s="403">
        <f t="shared" si="42"/>
        <v>19</v>
      </c>
      <c r="AZ59" s="14">
        <v>204208906.02739519</v>
      </c>
      <c r="BA59" s="288">
        <f t="shared" si="65"/>
        <v>-284370.61569446325</v>
      </c>
      <c r="BB59" s="288">
        <f t="shared" si="43"/>
        <v>141719586</v>
      </c>
      <c r="BC59" s="288">
        <v>141781289</v>
      </c>
      <c r="BD59" s="288">
        <f t="shared" si="44"/>
        <v>-61703</v>
      </c>
      <c r="BE59" s="288">
        <f t="shared" si="45"/>
        <v>33180825.470184006</v>
      </c>
      <c r="BF59" s="288">
        <v>33667178.027395204</v>
      </c>
      <c r="BG59" s="288">
        <f t="shared" si="46"/>
        <v>-486352.55721119791</v>
      </c>
      <c r="BH59" s="288">
        <f t="shared" si="47"/>
        <v>180985630</v>
      </c>
      <c r="BI59" s="288">
        <v>175550192</v>
      </c>
      <c r="BJ59" s="288">
        <f t="shared" si="48"/>
        <v>5435438</v>
      </c>
      <c r="BK59" s="81">
        <f t="shared" si="49"/>
        <v>36557</v>
      </c>
      <c r="BL59" s="81">
        <v>36178</v>
      </c>
      <c r="BM59" s="998">
        <f t="shared" si="50"/>
        <v>379</v>
      </c>
      <c r="BN59" s="81">
        <f t="shared" si="51"/>
        <v>52660</v>
      </c>
      <c r="BO59" s="81">
        <v>52181</v>
      </c>
      <c r="BP59" s="998">
        <f t="shared" si="52"/>
        <v>479</v>
      </c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</row>
    <row r="60" spans="1:148" s="5" customFormat="1">
      <c r="A60" s="103">
        <v>53</v>
      </c>
      <c r="B60" s="81" t="s">
        <v>153</v>
      </c>
      <c r="C60" s="81">
        <f>'Table 8 2.1.12 MFP Funded'!AD56</f>
        <v>19020</v>
      </c>
      <c r="D60" s="81">
        <f>'[2]totalled for Table 3'!$AD56</f>
        <v>14422</v>
      </c>
      <c r="E60" s="81">
        <f t="shared" si="54"/>
        <v>3173</v>
      </c>
      <c r="F60" s="81">
        <f>'[3]Units-Corrected_for Table 3'!$T64</f>
        <v>6985.5</v>
      </c>
      <c r="G60" s="81">
        <f t="shared" si="55"/>
        <v>419</v>
      </c>
      <c r="H60" s="81">
        <f>[4]Disabling_Exceptionalities!$Z58</f>
        <v>2258</v>
      </c>
      <c r="I60" s="81">
        <f t="shared" si="14"/>
        <v>3387</v>
      </c>
      <c r="J60" s="81">
        <f>[4]GiftedTalented!$AA58</f>
        <v>385</v>
      </c>
      <c r="K60" s="13">
        <f t="shared" si="15"/>
        <v>231</v>
      </c>
      <c r="L60" s="13">
        <f t="shared" si="56"/>
        <v>0</v>
      </c>
      <c r="M60" s="65">
        <f t="shared" si="57"/>
        <v>0</v>
      </c>
      <c r="N60" s="13">
        <f t="shared" si="58"/>
        <v>0</v>
      </c>
      <c r="O60" s="13">
        <f t="shared" si="16"/>
        <v>7210</v>
      </c>
      <c r="P60" s="13">
        <f t="shared" si="59"/>
        <v>26230</v>
      </c>
      <c r="Q60" s="398">
        <f t="shared" si="17"/>
        <v>3855</v>
      </c>
      <c r="R60" s="398">
        <f t="shared" si="60"/>
        <v>101116650</v>
      </c>
      <c r="S60" s="398">
        <f>'Table 6 (Local Deduct Calc.)'!J61</f>
        <v>21996177</v>
      </c>
      <c r="T60" s="398">
        <f t="shared" si="18"/>
        <v>21996177</v>
      </c>
      <c r="U60" s="399">
        <f t="shared" si="19"/>
        <v>79120473</v>
      </c>
      <c r="V60" s="400">
        <f t="shared" si="53"/>
        <v>0.78249999999999997</v>
      </c>
      <c r="W60" s="400">
        <f t="shared" si="20"/>
        <v>0.2175</v>
      </c>
      <c r="X60" s="401">
        <f t="shared" si="21"/>
        <v>1156.4761829652996</v>
      </c>
      <c r="Y60" s="398">
        <f>'Table 7 Local Revenue'!AQ60</f>
        <v>36686115</v>
      </c>
      <c r="Z60" s="398">
        <f t="shared" si="22"/>
        <v>14689938</v>
      </c>
      <c r="AA60" s="288">
        <f t="shared" si="23"/>
        <v>0</v>
      </c>
      <c r="AB60" s="14">
        <f t="shared" si="24"/>
        <v>34379661</v>
      </c>
      <c r="AC60" s="14">
        <f t="shared" si="25"/>
        <v>14689938</v>
      </c>
      <c r="AD60" s="398">
        <f t="shared" si="26"/>
        <v>5495505.8058000002</v>
      </c>
      <c r="AE60" s="402">
        <f t="shared" si="27"/>
        <v>9194432.1941999998</v>
      </c>
      <c r="AF60" s="16">
        <f t="shared" si="28"/>
        <v>0.62590000000000001</v>
      </c>
      <c r="AG60" s="402">
        <f t="shared" si="29"/>
        <v>88314905.194199994</v>
      </c>
      <c r="AH60" s="14">
        <f t="shared" si="30"/>
        <v>4643</v>
      </c>
      <c r="AI60" s="402">
        <f>'Table 4 Level 3'!O58</f>
        <v>2681948</v>
      </c>
      <c r="AJ60" s="14">
        <f t="shared" si="61"/>
        <v>141.00672975814931</v>
      </c>
      <c r="AK60" s="402">
        <f t="shared" si="31"/>
        <v>90996853.194199994</v>
      </c>
      <c r="AL60" s="14">
        <f t="shared" si="62"/>
        <v>4784.2719870767614</v>
      </c>
      <c r="AM60" s="532">
        <f>'Table 4 Level 3'!R58</f>
        <v>15795728.912420157</v>
      </c>
      <c r="AN60" s="533">
        <f t="shared" si="33"/>
        <v>830.47996384964028</v>
      </c>
      <c r="AO60" s="402">
        <f t="shared" si="34"/>
        <v>104110634.10662015</v>
      </c>
      <c r="AP60" s="14">
        <f t="shared" si="35"/>
        <v>5473.7452211682521</v>
      </c>
      <c r="AQ60" s="16">
        <f t="shared" si="36"/>
        <v>0.7394391899473548</v>
      </c>
      <c r="AR60" s="403">
        <f t="shared" si="37"/>
        <v>10</v>
      </c>
      <c r="AS60" s="14">
        <f t="shared" si="38"/>
        <v>36686115</v>
      </c>
      <c r="AT60" s="14">
        <f t="shared" si="63"/>
        <v>1928.82</v>
      </c>
      <c r="AU60" s="403">
        <f t="shared" si="39"/>
        <v>61</v>
      </c>
      <c r="AV60" s="16">
        <f t="shared" si="40"/>
        <v>0.26056081005264525</v>
      </c>
      <c r="AW60" s="403">
        <f t="shared" si="41"/>
        <v>140796749.10662013</v>
      </c>
      <c r="AX60" s="404">
        <f t="shared" si="64"/>
        <v>7402.5630445120996</v>
      </c>
      <c r="AY60" s="403">
        <f t="shared" si="42"/>
        <v>68</v>
      </c>
      <c r="AZ60" s="14">
        <v>101336583.63023999</v>
      </c>
      <c r="BA60" s="288">
        <f t="shared" si="65"/>
        <v>2774050.4763801545</v>
      </c>
      <c r="BB60" s="288">
        <f t="shared" si="43"/>
        <v>79120473</v>
      </c>
      <c r="BC60" s="288">
        <v>76823804.5</v>
      </c>
      <c r="BD60" s="288">
        <f t="shared" si="44"/>
        <v>2296668.5</v>
      </c>
      <c r="BE60" s="288">
        <f t="shared" si="45"/>
        <v>9194432.1941999998</v>
      </c>
      <c r="BF60" s="288">
        <v>9045663.1302400008</v>
      </c>
      <c r="BG60" s="288">
        <f t="shared" si="46"/>
        <v>148769.06395999901</v>
      </c>
      <c r="BH60" s="288">
        <f t="shared" si="47"/>
        <v>36686115</v>
      </c>
      <c r="BI60" s="288">
        <v>36348475.5</v>
      </c>
      <c r="BJ60" s="288">
        <f t="shared" si="48"/>
        <v>337639.5</v>
      </c>
      <c r="BK60" s="81">
        <f t="shared" si="49"/>
        <v>19020</v>
      </c>
      <c r="BL60" s="81">
        <v>18645</v>
      </c>
      <c r="BM60" s="998">
        <f t="shared" si="50"/>
        <v>375</v>
      </c>
      <c r="BN60" s="81">
        <f t="shared" si="51"/>
        <v>26230</v>
      </c>
      <c r="BO60" s="81">
        <v>25574</v>
      </c>
      <c r="BP60" s="998">
        <f t="shared" si="52"/>
        <v>656</v>
      </c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</row>
    <row r="61" spans="1:148" s="5" customFormat="1">
      <c r="A61" s="103">
        <v>54</v>
      </c>
      <c r="B61" s="81" t="s">
        <v>154</v>
      </c>
      <c r="C61" s="81">
        <f>'Table 8 2.1.12 MFP Funded'!AD57</f>
        <v>701</v>
      </c>
      <c r="D61" s="81">
        <f>'[2]totalled for Table 3'!$AD57</f>
        <v>669</v>
      </c>
      <c r="E61" s="81">
        <f t="shared" si="54"/>
        <v>147</v>
      </c>
      <c r="F61" s="81">
        <f>'[3]Units-Corrected_for Table 3'!$T65</f>
        <v>258</v>
      </c>
      <c r="G61" s="81">
        <f t="shared" si="55"/>
        <v>15</v>
      </c>
      <c r="H61" s="81">
        <f>[4]Disabling_Exceptionalities!$Z59</f>
        <v>121</v>
      </c>
      <c r="I61" s="81">
        <f t="shared" si="14"/>
        <v>182</v>
      </c>
      <c r="J61" s="81">
        <f>[4]GiftedTalented!$AA59</f>
        <v>25</v>
      </c>
      <c r="K61" s="13">
        <f t="shared" si="15"/>
        <v>15</v>
      </c>
      <c r="L61" s="13">
        <f t="shared" si="56"/>
        <v>6799</v>
      </c>
      <c r="M61" s="65">
        <f t="shared" si="57"/>
        <v>0.18131</v>
      </c>
      <c r="N61" s="13">
        <f t="shared" si="58"/>
        <v>127</v>
      </c>
      <c r="O61" s="13">
        <f t="shared" si="16"/>
        <v>486</v>
      </c>
      <c r="P61" s="13">
        <f t="shared" si="59"/>
        <v>1187</v>
      </c>
      <c r="Q61" s="398">
        <f t="shared" si="17"/>
        <v>3855</v>
      </c>
      <c r="R61" s="398">
        <f t="shared" si="60"/>
        <v>4575885</v>
      </c>
      <c r="S61" s="398">
        <f>'Table 6 (Local Deduct Calc.)'!J62</f>
        <v>1096442.5</v>
      </c>
      <c r="T61" s="398">
        <f t="shared" si="18"/>
        <v>1096442.5</v>
      </c>
      <c r="U61" s="399">
        <f t="shared" si="19"/>
        <v>3479442.5</v>
      </c>
      <c r="V61" s="400">
        <f t="shared" si="53"/>
        <v>0.76039999999999996</v>
      </c>
      <c r="W61" s="400">
        <f t="shared" si="20"/>
        <v>0.23960000000000001</v>
      </c>
      <c r="X61" s="401">
        <f t="shared" si="21"/>
        <v>1564.1119828815977</v>
      </c>
      <c r="Y61" s="398">
        <f>'Table 7 Local Revenue'!AQ61</f>
        <v>2149651.5</v>
      </c>
      <c r="Z61" s="398">
        <f t="shared" si="22"/>
        <v>1053209</v>
      </c>
      <c r="AA61" s="288">
        <f t="shared" si="23"/>
        <v>0</v>
      </c>
      <c r="AB61" s="14">
        <f t="shared" si="24"/>
        <v>1555800.9000000001</v>
      </c>
      <c r="AC61" s="14">
        <f t="shared" si="25"/>
        <v>1053209</v>
      </c>
      <c r="AD61" s="398">
        <f t="shared" si="26"/>
        <v>434040.06740800006</v>
      </c>
      <c r="AE61" s="402">
        <f t="shared" si="27"/>
        <v>619168.93259199988</v>
      </c>
      <c r="AF61" s="16">
        <f t="shared" si="28"/>
        <v>0.58789999999999998</v>
      </c>
      <c r="AG61" s="402">
        <f t="shared" si="29"/>
        <v>4098611.4325919999</v>
      </c>
      <c r="AH61" s="14">
        <f t="shared" si="30"/>
        <v>5847</v>
      </c>
      <c r="AI61" s="402">
        <f>'Table 4 Level 3'!O59</f>
        <v>95160</v>
      </c>
      <c r="AJ61" s="14">
        <f t="shared" si="61"/>
        <v>135.74893009985735</v>
      </c>
      <c r="AK61" s="402">
        <f t="shared" si="31"/>
        <v>4193771.4325919999</v>
      </c>
      <c r="AL61" s="14">
        <f t="shared" si="62"/>
        <v>5982.5555386476462</v>
      </c>
      <c r="AM61" s="532">
        <f>'Table 4 Level 3'!R59</f>
        <v>761087.30708828312</v>
      </c>
      <c r="AN61" s="533">
        <f t="shared" si="33"/>
        <v>1085.7165579005466</v>
      </c>
      <c r="AO61" s="402">
        <f t="shared" si="34"/>
        <v>4859698.7396802828</v>
      </c>
      <c r="AP61" s="14">
        <f t="shared" si="35"/>
        <v>6932.5231664483354</v>
      </c>
      <c r="AQ61" s="16">
        <f t="shared" si="36"/>
        <v>0.69331658049690326</v>
      </c>
      <c r="AR61" s="403">
        <f t="shared" si="37"/>
        <v>22</v>
      </c>
      <c r="AS61" s="14">
        <f t="shared" si="38"/>
        <v>2149651.5</v>
      </c>
      <c r="AT61" s="14">
        <f t="shared" si="63"/>
        <v>3066.55</v>
      </c>
      <c r="AU61" s="403">
        <f t="shared" si="39"/>
        <v>38</v>
      </c>
      <c r="AV61" s="16">
        <f t="shared" si="40"/>
        <v>0.30668341950309674</v>
      </c>
      <c r="AW61" s="403">
        <f t="shared" si="41"/>
        <v>7009350.2396802828</v>
      </c>
      <c r="AX61" s="404">
        <f t="shared" si="64"/>
        <v>9999.0730951216592</v>
      </c>
      <c r="AY61" s="403">
        <f t="shared" si="42"/>
        <v>4</v>
      </c>
      <c r="AZ61" s="14">
        <v>4458876.84736</v>
      </c>
      <c r="BA61" s="288">
        <f t="shared" si="65"/>
        <v>400821.89232028276</v>
      </c>
      <c r="BB61" s="288">
        <f t="shared" si="43"/>
        <v>3479442.5</v>
      </c>
      <c r="BC61" s="288">
        <v>3206812.5</v>
      </c>
      <c r="BD61" s="288">
        <f t="shared" si="44"/>
        <v>272630</v>
      </c>
      <c r="BE61" s="288">
        <f t="shared" si="45"/>
        <v>619168.93259199988</v>
      </c>
      <c r="BF61" s="288">
        <v>517630.34735999996</v>
      </c>
      <c r="BG61" s="288">
        <f t="shared" si="46"/>
        <v>101538.58523199992</v>
      </c>
      <c r="BH61" s="288">
        <f t="shared" si="47"/>
        <v>2149651.5</v>
      </c>
      <c r="BI61" s="288">
        <v>2208019.5</v>
      </c>
      <c r="BJ61" s="288">
        <f t="shared" si="48"/>
        <v>-58368</v>
      </c>
      <c r="BK61" s="81">
        <f t="shared" si="49"/>
        <v>701</v>
      </c>
      <c r="BL61" s="81">
        <v>675</v>
      </c>
      <c r="BM61" s="998">
        <f t="shared" si="50"/>
        <v>26</v>
      </c>
      <c r="BN61" s="81">
        <f t="shared" si="51"/>
        <v>1187</v>
      </c>
      <c r="BO61" s="81">
        <v>1149</v>
      </c>
      <c r="BP61" s="998">
        <f t="shared" si="52"/>
        <v>38</v>
      </c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</row>
    <row r="62" spans="1:148" s="21" customFormat="1">
      <c r="A62" s="104">
        <v>55</v>
      </c>
      <c r="B62" s="82" t="s">
        <v>155</v>
      </c>
      <c r="C62" s="82">
        <f>'Table 8 2.1.12 MFP Funded'!AD58</f>
        <v>17735</v>
      </c>
      <c r="D62" s="82">
        <f>'[2]totalled for Table 3'!$AD58</f>
        <v>11833</v>
      </c>
      <c r="E62" s="82">
        <f t="shared" si="54"/>
        <v>2603</v>
      </c>
      <c r="F62" s="82">
        <f>'[3]Units-Corrected_for Table 3'!$T66</f>
        <v>6451.5</v>
      </c>
      <c r="G62" s="82">
        <f t="shared" si="55"/>
        <v>387</v>
      </c>
      <c r="H62" s="82">
        <f>[4]Disabling_Exceptionalities!$Z60</f>
        <v>2138</v>
      </c>
      <c r="I62" s="82">
        <f t="shared" si="14"/>
        <v>3207</v>
      </c>
      <c r="J62" s="82">
        <f>[4]GiftedTalented!$AA60</f>
        <v>718</v>
      </c>
      <c r="K62" s="19">
        <f t="shared" si="15"/>
        <v>431</v>
      </c>
      <c r="L62" s="19">
        <f t="shared" si="56"/>
        <v>0</v>
      </c>
      <c r="M62" s="66">
        <f t="shared" si="57"/>
        <v>0</v>
      </c>
      <c r="N62" s="19">
        <f t="shared" si="58"/>
        <v>0</v>
      </c>
      <c r="O62" s="19">
        <f t="shared" si="16"/>
        <v>6628</v>
      </c>
      <c r="P62" s="13">
        <f t="shared" si="59"/>
        <v>24363</v>
      </c>
      <c r="Q62" s="405">
        <f t="shared" si="17"/>
        <v>3855</v>
      </c>
      <c r="R62" s="405">
        <f t="shared" si="60"/>
        <v>93919365</v>
      </c>
      <c r="S62" s="405">
        <f>'Table 6 (Local Deduct Calc.)'!J63</f>
        <v>32478063</v>
      </c>
      <c r="T62" s="405">
        <f t="shared" si="18"/>
        <v>32478063</v>
      </c>
      <c r="U62" s="406">
        <f t="shared" si="19"/>
        <v>61441302</v>
      </c>
      <c r="V62" s="407">
        <f t="shared" si="53"/>
        <v>0.6542</v>
      </c>
      <c r="W62" s="408">
        <f t="shared" si="20"/>
        <v>0.3458</v>
      </c>
      <c r="X62" s="409">
        <f t="shared" si="21"/>
        <v>1831.2976036086834</v>
      </c>
      <c r="Y62" s="405">
        <f>'Table 7 Local Revenue'!AQ62</f>
        <v>53802708</v>
      </c>
      <c r="Z62" s="405">
        <f t="shared" si="22"/>
        <v>21324645</v>
      </c>
      <c r="AA62" s="289">
        <f t="shared" si="23"/>
        <v>0</v>
      </c>
      <c r="AB62" s="20">
        <f t="shared" si="24"/>
        <v>31932584.100000001</v>
      </c>
      <c r="AC62" s="20">
        <f t="shared" si="25"/>
        <v>21324645</v>
      </c>
      <c r="AD62" s="405">
        <f t="shared" si="26"/>
        <v>12683387.05452</v>
      </c>
      <c r="AE62" s="410">
        <f t="shared" si="27"/>
        <v>8641257.9454800002</v>
      </c>
      <c r="AF62" s="282">
        <f t="shared" si="28"/>
        <v>0.4052</v>
      </c>
      <c r="AG62" s="410">
        <f t="shared" si="29"/>
        <v>70082559.945480004</v>
      </c>
      <c r="AH62" s="20">
        <f t="shared" si="30"/>
        <v>3952</v>
      </c>
      <c r="AI62" s="410">
        <f>'Table 4 Level 3'!O60</f>
        <v>2407510</v>
      </c>
      <c r="AJ62" s="20">
        <f t="shared" si="61"/>
        <v>135.74908373273189</v>
      </c>
      <c r="AK62" s="410">
        <f t="shared" si="31"/>
        <v>72490069.945480004</v>
      </c>
      <c r="AL62" s="20">
        <f t="shared" si="62"/>
        <v>4087.4017448818722</v>
      </c>
      <c r="AM62" s="534">
        <f>'Table 4 Level 3'!R60</f>
        <v>16501267.024969446</v>
      </c>
      <c r="AN62" s="535">
        <f t="shared" si="33"/>
        <v>930.43512968533662</v>
      </c>
      <c r="AO62" s="410">
        <f t="shared" si="34"/>
        <v>86583826.970449448</v>
      </c>
      <c r="AP62" s="20">
        <f t="shared" si="35"/>
        <v>4882.0877908344764</v>
      </c>
      <c r="AQ62" s="282">
        <f t="shared" si="36"/>
        <v>0.61675307385195344</v>
      </c>
      <c r="AR62" s="411">
        <f t="shared" si="37"/>
        <v>42</v>
      </c>
      <c r="AS62" s="20">
        <f t="shared" si="38"/>
        <v>53802708</v>
      </c>
      <c r="AT62" s="20">
        <f t="shared" si="63"/>
        <v>3033.7</v>
      </c>
      <c r="AU62" s="411">
        <f t="shared" si="39"/>
        <v>40</v>
      </c>
      <c r="AV62" s="282">
        <f t="shared" si="40"/>
        <v>0.38324692614804662</v>
      </c>
      <c r="AW62" s="411">
        <f t="shared" si="41"/>
        <v>140386534.97044945</v>
      </c>
      <c r="AX62" s="412">
        <f t="shared" si="64"/>
        <v>7915.7899616830809</v>
      </c>
      <c r="AY62" s="411">
        <f t="shared" si="42"/>
        <v>63</v>
      </c>
      <c r="AZ62" s="20">
        <v>85757621.992515996</v>
      </c>
      <c r="BA62" s="289">
        <f t="shared" si="65"/>
        <v>826204.97793345153</v>
      </c>
      <c r="BB62" s="289">
        <f t="shared" si="43"/>
        <v>61441302</v>
      </c>
      <c r="BC62" s="289">
        <v>61374302.5</v>
      </c>
      <c r="BD62" s="289">
        <f t="shared" si="44"/>
        <v>66999.5</v>
      </c>
      <c r="BE62" s="289">
        <f t="shared" si="45"/>
        <v>8641257.9454800002</v>
      </c>
      <c r="BF62" s="289">
        <v>7954873.4925160017</v>
      </c>
      <c r="BG62" s="289">
        <f t="shared" si="46"/>
        <v>686384.45296399854</v>
      </c>
      <c r="BH62" s="289">
        <f t="shared" si="47"/>
        <v>53802708</v>
      </c>
      <c r="BI62" s="289">
        <v>50747935.5</v>
      </c>
      <c r="BJ62" s="289">
        <f t="shared" si="48"/>
        <v>3054772.5</v>
      </c>
      <c r="BK62" s="82">
        <f t="shared" si="49"/>
        <v>17735</v>
      </c>
      <c r="BL62" s="82">
        <v>17632</v>
      </c>
      <c r="BM62" s="999">
        <f t="shared" si="50"/>
        <v>103</v>
      </c>
      <c r="BN62" s="82">
        <f t="shared" si="51"/>
        <v>24363</v>
      </c>
      <c r="BO62" s="82">
        <v>24117</v>
      </c>
      <c r="BP62" s="999">
        <f t="shared" si="52"/>
        <v>246</v>
      </c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</row>
    <row r="63" spans="1:148" s="5" customFormat="1">
      <c r="A63" s="103">
        <v>56</v>
      </c>
      <c r="B63" s="81" t="s">
        <v>156</v>
      </c>
      <c r="C63" s="81">
        <f>'Table 8 2.1.12 MFP Funded'!AD59+'Table 8 2.1.12 MFP Funded'!AD73</f>
        <v>2833</v>
      </c>
      <c r="D63" s="81">
        <f>'[2]totalled for Table 3'!$AD59</f>
        <v>2107</v>
      </c>
      <c r="E63" s="81">
        <f t="shared" si="54"/>
        <v>464</v>
      </c>
      <c r="F63" s="81">
        <f>'[3]Units-Corrected_for Table 3'!$T67</f>
        <v>798.5</v>
      </c>
      <c r="G63" s="81">
        <f t="shared" si="55"/>
        <v>48</v>
      </c>
      <c r="H63" s="81">
        <f>[4]Disabling_Exceptionalities!$Z61+[4]Disabling_Exceptionalities!$Z$75</f>
        <v>399</v>
      </c>
      <c r="I63" s="81">
        <f t="shared" si="14"/>
        <v>599</v>
      </c>
      <c r="J63" s="81">
        <f>[4]GiftedTalented!$AA61</f>
        <v>20</v>
      </c>
      <c r="K63" s="13">
        <f t="shared" si="15"/>
        <v>12</v>
      </c>
      <c r="L63" s="13">
        <f t="shared" si="56"/>
        <v>4667</v>
      </c>
      <c r="M63" s="65">
        <f t="shared" si="57"/>
        <v>0.12445000000000001</v>
      </c>
      <c r="N63" s="13">
        <f t="shared" si="58"/>
        <v>353</v>
      </c>
      <c r="O63" s="13">
        <f t="shared" si="16"/>
        <v>1476</v>
      </c>
      <c r="P63" s="36">
        <f t="shared" si="59"/>
        <v>4309</v>
      </c>
      <c r="Q63" s="398">
        <f t="shared" si="17"/>
        <v>3855</v>
      </c>
      <c r="R63" s="398">
        <f t="shared" si="60"/>
        <v>16611195</v>
      </c>
      <c r="S63" s="398">
        <f>'Table 6 (Local Deduct Calc.)'!J64</f>
        <v>4687772.5</v>
      </c>
      <c r="T63" s="398">
        <f t="shared" si="18"/>
        <v>4687772.5</v>
      </c>
      <c r="U63" s="399">
        <f t="shared" si="19"/>
        <v>11923422.5</v>
      </c>
      <c r="V63" s="400">
        <f t="shared" si="53"/>
        <v>0.71779999999999999</v>
      </c>
      <c r="W63" s="400">
        <f t="shared" si="20"/>
        <v>0.28220000000000001</v>
      </c>
      <c r="X63" s="401">
        <f t="shared" si="21"/>
        <v>1654.7026120720084</v>
      </c>
      <c r="Y63" s="398">
        <f>'Table 7 Local Revenue'!AQ63</f>
        <v>8544928.5</v>
      </c>
      <c r="Z63" s="398">
        <f t="shared" si="22"/>
        <v>3857156</v>
      </c>
      <c r="AA63" s="288">
        <f t="shared" si="23"/>
        <v>0</v>
      </c>
      <c r="AB63" s="14">
        <f t="shared" si="24"/>
        <v>5647806.3000000007</v>
      </c>
      <c r="AC63" s="14">
        <f t="shared" si="25"/>
        <v>3857156</v>
      </c>
      <c r="AD63" s="398">
        <f t="shared" si="26"/>
        <v>1872201.8079039999</v>
      </c>
      <c r="AE63" s="402">
        <f t="shared" si="27"/>
        <v>1984954.1920960001</v>
      </c>
      <c r="AF63" s="16">
        <f t="shared" si="28"/>
        <v>0.51459999999999995</v>
      </c>
      <c r="AG63" s="402">
        <f t="shared" si="29"/>
        <v>13908376.692096001</v>
      </c>
      <c r="AH63" s="14">
        <f t="shared" si="30"/>
        <v>4909</v>
      </c>
      <c r="AI63" s="402">
        <f>'Table 4 Level 3'!O61</f>
        <v>404577</v>
      </c>
      <c r="AJ63" s="14">
        <f t="shared" si="61"/>
        <v>142.80868337451466</v>
      </c>
      <c r="AK63" s="402">
        <f t="shared" si="31"/>
        <v>14312953.692096001</v>
      </c>
      <c r="AL63" s="14">
        <f t="shared" si="62"/>
        <v>5052.2250942802684</v>
      </c>
      <c r="AM63" s="532">
        <f>'Table 4 Level 3'!R61</f>
        <v>2145478.5180000002</v>
      </c>
      <c r="AN63" s="533">
        <f t="shared" si="33"/>
        <v>757.31680833039184</v>
      </c>
      <c r="AO63" s="402">
        <f>AG63+AM63</f>
        <v>16053855.210096002</v>
      </c>
      <c r="AP63" s="14">
        <f t="shared" si="35"/>
        <v>5666.7332192361464</v>
      </c>
      <c r="AQ63" s="16">
        <f t="shared" si="36"/>
        <v>0.65262800792492304</v>
      </c>
      <c r="AR63" s="403">
        <f t="shared" si="37"/>
        <v>34</v>
      </c>
      <c r="AS63" s="14">
        <f t="shared" si="38"/>
        <v>8544928.5</v>
      </c>
      <c r="AT63" s="14">
        <f t="shared" si="63"/>
        <v>3016.21</v>
      </c>
      <c r="AU63" s="403">
        <f t="shared" si="39"/>
        <v>41</v>
      </c>
      <c r="AV63" s="16">
        <f t="shared" si="40"/>
        <v>0.34737199207507696</v>
      </c>
      <c r="AW63" s="403">
        <f t="shared" si="41"/>
        <v>24598783.710096002</v>
      </c>
      <c r="AX63" s="404">
        <f t="shared" si="64"/>
        <v>8682.9451853498067</v>
      </c>
      <c r="AY63" s="403">
        <f t="shared" si="42"/>
        <v>37</v>
      </c>
      <c r="AZ63" s="14">
        <v>16120097.720015999</v>
      </c>
      <c r="BA63" s="288">
        <f t="shared" si="65"/>
        <v>-66242.509919997305</v>
      </c>
      <c r="BB63" s="288">
        <f t="shared" si="43"/>
        <v>11923422.5</v>
      </c>
      <c r="BC63" s="288">
        <v>11929203</v>
      </c>
      <c r="BD63" s="288">
        <f t="shared" si="44"/>
        <v>-5780.5</v>
      </c>
      <c r="BE63" s="288">
        <f t="shared" si="45"/>
        <v>1984954.1920960001</v>
      </c>
      <c r="BF63" s="288">
        <v>2051588.7200159999</v>
      </c>
      <c r="BG63" s="288">
        <f t="shared" si="46"/>
        <v>-66634.527919999789</v>
      </c>
      <c r="BH63" s="288">
        <f t="shared" si="47"/>
        <v>8544928.5</v>
      </c>
      <c r="BI63" s="288">
        <v>8841303</v>
      </c>
      <c r="BJ63" s="288">
        <f t="shared" si="48"/>
        <v>-296374.5</v>
      </c>
      <c r="BK63" s="81">
        <f t="shared" si="49"/>
        <v>2833</v>
      </c>
      <c r="BL63" s="81">
        <v>2821</v>
      </c>
      <c r="BM63" s="998">
        <f t="shared" si="50"/>
        <v>12</v>
      </c>
      <c r="BN63" s="81">
        <f t="shared" si="51"/>
        <v>4309</v>
      </c>
      <c r="BO63" s="81">
        <v>4338</v>
      </c>
      <c r="BP63" s="998">
        <f t="shared" si="52"/>
        <v>-29</v>
      </c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</row>
    <row r="64" spans="1:148" s="5" customFormat="1">
      <c r="A64" s="103">
        <v>57</v>
      </c>
      <c r="B64" s="81" t="s">
        <v>157</v>
      </c>
      <c r="C64" s="81">
        <f>'Table 8 2.1.12 MFP Funded'!AD60</f>
        <v>8873</v>
      </c>
      <c r="D64" s="81">
        <f>'[2]totalled for Table 3'!$AD60</f>
        <v>5208</v>
      </c>
      <c r="E64" s="81">
        <f t="shared" si="54"/>
        <v>1146</v>
      </c>
      <c r="F64" s="81">
        <f>'[3]Units-Corrected_for Table 3'!$T68</f>
        <v>3017.5</v>
      </c>
      <c r="G64" s="81">
        <f t="shared" si="55"/>
        <v>181</v>
      </c>
      <c r="H64" s="81">
        <f>[4]Disabling_Exceptionalities!$Z62</f>
        <v>1084</v>
      </c>
      <c r="I64" s="81">
        <f t="shared" si="14"/>
        <v>1626</v>
      </c>
      <c r="J64" s="81">
        <f>[4]GiftedTalented!$AA62</f>
        <v>171</v>
      </c>
      <c r="K64" s="13">
        <f t="shared" si="15"/>
        <v>103</v>
      </c>
      <c r="L64" s="13">
        <f t="shared" si="56"/>
        <v>0</v>
      </c>
      <c r="M64" s="65">
        <f t="shared" si="57"/>
        <v>0</v>
      </c>
      <c r="N64" s="13">
        <f t="shared" si="58"/>
        <v>0</v>
      </c>
      <c r="O64" s="13">
        <f t="shared" si="16"/>
        <v>3056</v>
      </c>
      <c r="P64" s="13">
        <f t="shared" si="59"/>
        <v>11929</v>
      </c>
      <c r="Q64" s="398">
        <f t="shared" si="17"/>
        <v>3855</v>
      </c>
      <c r="R64" s="398">
        <f t="shared" si="60"/>
        <v>45986295</v>
      </c>
      <c r="S64" s="398">
        <f>'Table 6 (Local Deduct Calc.)'!J65</f>
        <v>13852860</v>
      </c>
      <c r="T64" s="398">
        <f t="shared" si="18"/>
        <v>13852860</v>
      </c>
      <c r="U64" s="399">
        <f t="shared" si="19"/>
        <v>32133435</v>
      </c>
      <c r="V64" s="400">
        <f t="shared" si="53"/>
        <v>0.69879999999999998</v>
      </c>
      <c r="W64" s="400">
        <f t="shared" si="20"/>
        <v>0.30120000000000002</v>
      </c>
      <c r="X64" s="401">
        <f t="shared" si="21"/>
        <v>1561.2374619632594</v>
      </c>
      <c r="Y64" s="398">
        <f>'Table 7 Local Revenue'!AQ64</f>
        <v>25491517</v>
      </c>
      <c r="Z64" s="398">
        <f t="shared" si="22"/>
        <v>11638657</v>
      </c>
      <c r="AA64" s="288">
        <f t="shared" si="23"/>
        <v>0</v>
      </c>
      <c r="AB64" s="14">
        <f t="shared" si="24"/>
        <v>15635340.300000001</v>
      </c>
      <c r="AC64" s="14">
        <f t="shared" si="25"/>
        <v>11638657</v>
      </c>
      <c r="AD64" s="398">
        <f t="shared" si="26"/>
        <v>6029569.2000480006</v>
      </c>
      <c r="AE64" s="402">
        <f t="shared" si="27"/>
        <v>5609087.7999519994</v>
      </c>
      <c r="AF64" s="16">
        <f t="shared" si="28"/>
        <v>0.4819</v>
      </c>
      <c r="AG64" s="402">
        <f t="shared" si="29"/>
        <v>37742522.799952</v>
      </c>
      <c r="AH64" s="14">
        <f t="shared" si="30"/>
        <v>4254</v>
      </c>
      <c r="AI64" s="402">
        <f>'Table 4 Level 3'!O62</f>
        <v>1204502</v>
      </c>
      <c r="AJ64" s="14">
        <f t="shared" si="61"/>
        <v>135.74912656373266</v>
      </c>
      <c r="AK64" s="402">
        <f t="shared" si="31"/>
        <v>38947024.799952</v>
      </c>
      <c r="AL64" s="14">
        <f t="shared" si="62"/>
        <v>4389.3863180380931</v>
      </c>
      <c r="AM64" s="532">
        <f>'Table 4 Level 3'!R62</f>
        <v>7986443.8012688113</v>
      </c>
      <c r="AN64" s="533">
        <f t="shared" si="33"/>
        <v>900.08382748436964</v>
      </c>
      <c r="AO64" s="402">
        <f t="shared" si="34"/>
        <v>45728966.601220809</v>
      </c>
      <c r="AP64" s="14">
        <f t="shared" si="35"/>
        <v>5153.7210189587295</v>
      </c>
      <c r="AQ64" s="16">
        <f t="shared" si="36"/>
        <v>0.64207604735271628</v>
      </c>
      <c r="AR64" s="403">
        <f t="shared" si="37"/>
        <v>37</v>
      </c>
      <c r="AS64" s="14">
        <f t="shared" si="38"/>
        <v>25491517</v>
      </c>
      <c r="AT64" s="14">
        <f t="shared" si="63"/>
        <v>2872.93</v>
      </c>
      <c r="AU64" s="403">
        <f t="shared" si="39"/>
        <v>44</v>
      </c>
      <c r="AV64" s="16">
        <f t="shared" si="40"/>
        <v>0.35792395264728366</v>
      </c>
      <c r="AW64" s="403">
        <f t="shared" si="41"/>
        <v>71220483.601220816</v>
      </c>
      <c r="AX64" s="404">
        <f t="shared" si="64"/>
        <v>8026.652045668975</v>
      </c>
      <c r="AY64" s="403">
        <f t="shared" si="42"/>
        <v>61</v>
      </c>
      <c r="AZ64" s="14">
        <v>46409234.407424003</v>
      </c>
      <c r="BA64" s="288">
        <f t="shared" si="65"/>
        <v>-680267.80620319396</v>
      </c>
      <c r="BB64" s="288">
        <f t="shared" si="43"/>
        <v>32133435</v>
      </c>
      <c r="BC64" s="288">
        <v>32984747</v>
      </c>
      <c r="BD64" s="288">
        <f t="shared" si="44"/>
        <v>-851312</v>
      </c>
      <c r="BE64" s="288">
        <f t="shared" si="45"/>
        <v>5609087.7999519994</v>
      </c>
      <c r="BF64" s="288">
        <v>5515441.4074240001</v>
      </c>
      <c r="BG64" s="288">
        <f t="shared" si="46"/>
        <v>93646.392527999356</v>
      </c>
      <c r="BH64" s="288">
        <f t="shared" si="47"/>
        <v>25491517</v>
      </c>
      <c r="BI64" s="288">
        <v>23032926</v>
      </c>
      <c r="BJ64" s="288">
        <f t="shared" si="48"/>
        <v>2458591</v>
      </c>
      <c r="BK64" s="81">
        <f t="shared" si="49"/>
        <v>8873</v>
      </c>
      <c r="BL64" s="81">
        <v>8777</v>
      </c>
      <c r="BM64" s="998">
        <f t="shared" si="50"/>
        <v>96</v>
      </c>
      <c r="BN64" s="81">
        <f t="shared" si="51"/>
        <v>11929</v>
      </c>
      <c r="BO64" s="81">
        <v>11811</v>
      </c>
      <c r="BP64" s="998">
        <f t="shared" si="52"/>
        <v>118</v>
      </c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</row>
    <row r="65" spans="1:148" s="5" customFormat="1">
      <c r="A65" s="103">
        <v>58</v>
      </c>
      <c r="B65" s="81" t="s">
        <v>158</v>
      </c>
      <c r="C65" s="81">
        <f>'Table 8 2.1.12 MFP Funded'!AD61</f>
        <v>9495</v>
      </c>
      <c r="D65" s="81">
        <f>'[2]totalled for Table 3'!$AD61</f>
        <v>5588</v>
      </c>
      <c r="E65" s="81">
        <f t="shared" si="54"/>
        <v>1229</v>
      </c>
      <c r="F65" s="81">
        <f>'[3]Units-Corrected_for Table 3'!$T69</f>
        <v>2853</v>
      </c>
      <c r="G65" s="81">
        <f t="shared" si="55"/>
        <v>171</v>
      </c>
      <c r="H65" s="81">
        <f>[4]Disabling_Exceptionalities!$Z63</f>
        <v>1049</v>
      </c>
      <c r="I65" s="81">
        <f t="shared" si="14"/>
        <v>1574</v>
      </c>
      <c r="J65" s="81">
        <f>[4]GiftedTalented!$AA63</f>
        <v>232</v>
      </c>
      <c r="K65" s="13">
        <f t="shared" si="15"/>
        <v>139</v>
      </c>
      <c r="L65" s="13">
        <f t="shared" si="56"/>
        <v>0</v>
      </c>
      <c r="M65" s="65">
        <f t="shared" si="57"/>
        <v>0</v>
      </c>
      <c r="N65" s="13">
        <f t="shared" si="58"/>
        <v>0</v>
      </c>
      <c r="O65" s="13">
        <f t="shared" si="16"/>
        <v>3113</v>
      </c>
      <c r="P65" s="13">
        <f t="shared" si="59"/>
        <v>12608</v>
      </c>
      <c r="Q65" s="398">
        <f t="shared" si="17"/>
        <v>3855</v>
      </c>
      <c r="R65" s="398">
        <f t="shared" si="60"/>
        <v>48603840</v>
      </c>
      <c r="S65" s="398">
        <f>'Table 6 (Local Deduct Calc.)'!J66</f>
        <v>7070518</v>
      </c>
      <c r="T65" s="398">
        <f t="shared" si="18"/>
        <v>7070518</v>
      </c>
      <c r="U65" s="399">
        <f t="shared" si="19"/>
        <v>41533322</v>
      </c>
      <c r="V65" s="400">
        <f t="shared" si="53"/>
        <v>0.85450000000000004</v>
      </c>
      <c r="W65" s="400">
        <f t="shared" si="20"/>
        <v>0.14549999999999999</v>
      </c>
      <c r="X65" s="401">
        <f t="shared" si="21"/>
        <v>744.65697735650338</v>
      </c>
      <c r="Y65" s="398">
        <f>'Table 7 Local Revenue'!AQ65</f>
        <v>17376821</v>
      </c>
      <c r="Z65" s="398">
        <f t="shared" si="22"/>
        <v>10306303</v>
      </c>
      <c r="AA65" s="288">
        <f t="shared" si="23"/>
        <v>0</v>
      </c>
      <c r="AB65" s="14">
        <f t="shared" si="24"/>
        <v>16525305.600000001</v>
      </c>
      <c r="AC65" s="14">
        <f t="shared" si="25"/>
        <v>10306303</v>
      </c>
      <c r="AD65" s="398">
        <f t="shared" si="26"/>
        <v>2579255.3887799997</v>
      </c>
      <c r="AE65" s="402">
        <f t="shared" si="27"/>
        <v>7727047.6112200003</v>
      </c>
      <c r="AF65" s="16">
        <f t="shared" si="28"/>
        <v>0.74970000000000003</v>
      </c>
      <c r="AG65" s="402">
        <f t="shared" si="29"/>
        <v>49260369.611220002</v>
      </c>
      <c r="AH65" s="14">
        <f t="shared" si="30"/>
        <v>5188</v>
      </c>
      <c r="AI65" s="402">
        <f>'Table 4 Level 3'!O63</f>
        <v>1308938</v>
      </c>
      <c r="AJ65" s="14">
        <f t="shared" si="61"/>
        <v>137.85550289626119</v>
      </c>
      <c r="AK65" s="402">
        <f t="shared" si="31"/>
        <v>50569307.611220002</v>
      </c>
      <c r="AL65" s="14">
        <f t="shared" si="62"/>
        <v>5325.8881107130073</v>
      </c>
      <c r="AM65" s="532">
        <f>'Table 4 Level 3'!R63</f>
        <v>7923499.0799999991</v>
      </c>
      <c r="AN65" s="533">
        <f t="shared" si="33"/>
        <v>834.49174091627162</v>
      </c>
      <c r="AO65" s="402">
        <f t="shared" si="34"/>
        <v>57183868.69122</v>
      </c>
      <c r="AP65" s="14">
        <f t="shared" si="35"/>
        <v>6022.5243487330172</v>
      </c>
      <c r="AQ65" s="16">
        <f t="shared" si="36"/>
        <v>0.76694393423715568</v>
      </c>
      <c r="AR65" s="403">
        <f t="shared" si="37"/>
        <v>7</v>
      </c>
      <c r="AS65" s="14">
        <f t="shared" si="38"/>
        <v>17376821</v>
      </c>
      <c r="AT65" s="14">
        <f t="shared" si="63"/>
        <v>1830.1</v>
      </c>
      <c r="AU65" s="403">
        <f t="shared" si="39"/>
        <v>63</v>
      </c>
      <c r="AV65" s="16">
        <f t="shared" si="40"/>
        <v>0.23305606576284435</v>
      </c>
      <c r="AW65" s="403">
        <f t="shared" si="41"/>
        <v>74560689.69122</v>
      </c>
      <c r="AX65" s="404">
        <f t="shared" si="64"/>
        <v>7852.6266130826752</v>
      </c>
      <c r="AY65" s="403">
        <f t="shared" si="42"/>
        <v>64</v>
      </c>
      <c r="AZ65" s="14">
        <v>55429259.002664</v>
      </c>
      <c r="BA65" s="288">
        <f t="shared" si="65"/>
        <v>1754609.6885560006</v>
      </c>
      <c r="BB65" s="288">
        <f t="shared" si="43"/>
        <v>41533322</v>
      </c>
      <c r="BC65" s="288">
        <v>40782097.5</v>
      </c>
      <c r="BD65" s="288">
        <f t="shared" si="44"/>
        <v>751224.5</v>
      </c>
      <c r="BE65" s="288">
        <f t="shared" si="45"/>
        <v>7727047.6112200003</v>
      </c>
      <c r="BF65" s="288">
        <v>6902649.5026639998</v>
      </c>
      <c r="BG65" s="288">
        <f t="shared" si="46"/>
        <v>824398.10855600052</v>
      </c>
      <c r="BH65" s="288">
        <f t="shared" si="47"/>
        <v>17376821</v>
      </c>
      <c r="BI65" s="288">
        <v>16728719.5</v>
      </c>
      <c r="BJ65" s="288">
        <f t="shared" si="48"/>
        <v>648101.5</v>
      </c>
      <c r="BK65" s="81">
        <f t="shared" si="49"/>
        <v>9495</v>
      </c>
      <c r="BL65" s="81">
        <v>9266</v>
      </c>
      <c r="BM65" s="998">
        <f t="shared" si="50"/>
        <v>229</v>
      </c>
      <c r="BN65" s="81">
        <f t="shared" si="51"/>
        <v>12608</v>
      </c>
      <c r="BO65" s="81">
        <v>12489</v>
      </c>
      <c r="BP65" s="998">
        <f t="shared" si="52"/>
        <v>119</v>
      </c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</row>
    <row r="66" spans="1:148" s="5" customFormat="1">
      <c r="A66" s="103">
        <v>59</v>
      </c>
      <c r="B66" s="81" t="s">
        <v>159</v>
      </c>
      <c r="C66" s="81">
        <f>'Table 8 2.1.12 MFP Funded'!AD62</f>
        <v>5185</v>
      </c>
      <c r="D66" s="81">
        <f>'[2]totalled for Table 3'!$AD62</f>
        <v>4353</v>
      </c>
      <c r="E66" s="81">
        <f t="shared" si="54"/>
        <v>958</v>
      </c>
      <c r="F66" s="81">
        <f>'[3]Units-Corrected_for Table 3'!$T70</f>
        <v>1955.5</v>
      </c>
      <c r="G66" s="81">
        <f t="shared" si="55"/>
        <v>117</v>
      </c>
      <c r="H66" s="81">
        <f>[4]Disabling_Exceptionalities!$Z64</f>
        <v>836</v>
      </c>
      <c r="I66" s="81">
        <f t="shared" si="14"/>
        <v>1254</v>
      </c>
      <c r="J66" s="81">
        <f>[4]GiftedTalented!$AA64</f>
        <v>302</v>
      </c>
      <c r="K66" s="13">
        <f t="shared" si="15"/>
        <v>181</v>
      </c>
      <c r="L66" s="13">
        <f t="shared" si="56"/>
        <v>2315</v>
      </c>
      <c r="M66" s="65">
        <f t="shared" si="57"/>
        <v>6.173E-2</v>
      </c>
      <c r="N66" s="13">
        <f t="shared" si="58"/>
        <v>320</v>
      </c>
      <c r="O66" s="13">
        <f t="shared" si="16"/>
        <v>2830</v>
      </c>
      <c r="P66" s="13">
        <f t="shared" si="59"/>
        <v>8015</v>
      </c>
      <c r="Q66" s="398">
        <f t="shared" si="17"/>
        <v>3855</v>
      </c>
      <c r="R66" s="398">
        <f t="shared" si="60"/>
        <v>30897825</v>
      </c>
      <c r="S66" s="398">
        <f>'Table 6 (Local Deduct Calc.)'!J67</f>
        <v>3273314</v>
      </c>
      <c r="T66" s="398">
        <f t="shared" si="18"/>
        <v>3273314</v>
      </c>
      <c r="U66" s="399">
        <f t="shared" si="19"/>
        <v>27624511</v>
      </c>
      <c r="V66" s="400">
        <f t="shared" si="53"/>
        <v>0.89410000000000001</v>
      </c>
      <c r="W66" s="400">
        <f t="shared" si="20"/>
        <v>0.10589999999999999</v>
      </c>
      <c r="X66" s="401">
        <f t="shared" si="21"/>
        <v>631.30453230472517</v>
      </c>
      <c r="Y66" s="398">
        <f>'Table 7 Local Revenue'!AQ66</f>
        <v>8757049</v>
      </c>
      <c r="Z66" s="398">
        <f t="shared" si="22"/>
        <v>5483735</v>
      </c>
      <c r="AA66" s="288">
        <f t="shared" si="23"/>
        <v>0</v>
      </c>
      <c r="AB66" s="14">
        <f t="shared" si="24"/>
        <v>10505260.5</v>
      </c>
      <c r="AC66" s="14">
        <f t="shared" si="25"/>
        <v>5483735</v>
      </c>
      <c r="AD66" s="398">
        <f t="shared" si="26"/>
        <v>998851.36277999985</v>
      </c>
      <c r="AE66" s="402">
        <f t="shared" si="27"/>
        <v>4484883.6372199999</v>
      </c>
      <c r="AF66" s="16">
        <f t="shared" si="28"/>
        <v>0.81789999999999996</v>
      </c>
      <c r="AG66" s="402">
        <f t="shared" si="29"/>
        <v>32109394.637219999</v>
      </c>
      <c r="AH66" s="14">
        <f t="shared" si="30"/>
        <v>6193</v>
      </c>
      <c r="AI66" s="402">
        <f>'Table 4 Level 3'!O64</f>
        <v>703859</v>
      </c>
      <c r="AJ66" s="14">
        <f t="shared" si="61"/>
        <v>135.74908389585343</v>
      </c>
      <c r="AK66" s="402">
        <f t="shared" si="31"/>
        <v>32813253.637219999</v>
      </c>
      <c r="AL66" s="14">
        <f t="shared" si="62"/>
        <v>6328.4963620482158</v>
      </c>
      <c r="AM66" s="532">
        <f>'Table 4 Level 3'!R64</f>
        <v>4277848.0160000008</v>
      </c>
      <c r="AN66" s="533">
        <f t="shared" si="33"/>
        <v>825.04301176470608</v>
      </c>
      <c r="AO66" s="402">
        <f t="shared" si="34"/>
        <v>36387242.653219998</v>
      </c>
      <c r="AP66" s="14">
        <f t="shared" si="35"/>
        <v>7017.7902899170676</v>
      </c>
      <c r="AQ66" s="16">
        <f t="shared" si="36"/>
        <v>0.80602090144047289</v>
      </c>
      <c r="AR66" s="403">
        <f t="shared" si="37"/>
        <v>3</v>
      </c>
      <c r="AS66" s="14">
        <f t="shared" si="38"/>
        <v>8757049</v>
      </c>
      <c r="AT66" s="14">
        <f t="shared" si="63"/>
        <v>1688.92</v>
      </c>
      <c r="AU66" s="403">
        <f t="shared" si="39"/>
        <v>67</v>
      </c>
      <c r="AV66" s="16">
        <f t="shared" si="40"/>
        <v>0.19397909855952714</v>
      </c>
      <c r="AW66" s="403">
        <f t="shared" si="41"/>
        <v>45144291.653219998</v>
      </c>
      <c r="AX66" s="404">
        <f t="shared" si="64"/>
        <v>8706.7100584802301</v>
      </c>
      <c r="AY66" s="403">
        <f t="shared" si="42"/>
        <v>35</v>
      </c>
      <c r="AZ66" s="14">
        <v>35205756.989887998</v>
      </c>
      <c r="BA66" s="288">
        <f t="shared" si="65"/>
        <v>1181485.6633320004</v>
      </c>
      <c r="BB66" s="288">
        <f t="shared" si="43"/>
        <v>27624511</v>
      </c>
      <c r="BC66" s="288">
        <v>27230956</v>
      </c>
      <c r="BD66" s="288">
        <f t="shared" si="44"/>
        <v>393555</v>
      </c>
      <c r="BE66" s="288">
        <f t="shared" si="45"/>
        <v>4484883.6372199999</v>
      </c>
      <c r="BF66" s="288">
        <v>3759934.9898880003</v>
      </c>
      <c r="BG66" s="288">
        <f t="shared" si="46"/>
        <v>724948.64733199961</v>
      </c>
      <c r="BH66" s="288">
        <f t="shared" si="47"/>
        <v>8757049</v>
      </c>
      <c r="BI66" s="288">
        <v>7701440</v>
      </c>
      <c r="BJ66" s="288">
        <f t="shared" si="48"/>
        <v>1055609</v>
      </c>
      <c r="BK66" s="81">
        <f t="shared" si="49"/>
        <v>5185</v>
      </c>
      <c r="BL66" s="81">
        <v>5102</v>
      </c>
      <c r="BM66" s="998">
        <f t="shared" si="50"/>
        <v>83</v>
      </c>
      <c r="BN66" s="81">
        <f t="shared" si="51"/>
        <v>8015</v>
      </c>
      <c r="BO66" s="81">
        <v>7876</v>
      </c>
      <c r="BP66" s="998">
        <f t="shared" si="52"/>
        <v>139</v>
      </c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</row>
    <row r="67" spans="1:148" s="21" customFormat="1">
      <c r="A67" s="104">
        <v>60</v>
      </c>
      <c r="B67" s="82" t="s">
        <v>160</v>
      </c>
      <c r="C67" s="82">
        <f>'Table 8 2.1.12 MFP Funded'!AD63</f>
        <v>6474</v>
      </c>
      <c r="D67" s="82">
        <f>'[2]totalled for Table 3'!$AD63</f>
        <v>3939</v>
      </c>
      <c r="E67" s="82">
        <f t="shared" si="54"/>
        <v>867</v>
      </c>
      <c r="F67" s="82">
        <f>'[3]Units-Corrected_for Table 3'!$T71</f>
        <v>2789</v>
      </c>
      <c r="G67" s="82">
        <f t="shared" si="55"/>
        <v>167</v>
      </c>
      <c r="H67" s="82">
        <f>[4]Disabling_Exceptionalities!$Z65</f>
        <v>720</v>
      </c>
      <c r="I67" s="82">
        <f t="shared" si="14"/>
        <v>1080</v>
      </c>
      <c r="J67" s="82">
        <f>[4]GiftedTalented!$AA65</f>
        <v>316</v>
      </c>
      <c r="K67" s="19">
        <f t="shared" si="15"/>
        <v>190</v>
      </c>
      <c r="L67" s="19">
        <f t="shared" si="56"/>
        <v>1026</v>
      </c>
      <c r="M67" s="66">
        <f t="shared" si="57"/>
        <v>2.7359999999999999E-2</v>
      </c>
      <c r="N67" s="19">
        <f t="shared" si="58"/>
        <v>177</v>
      </c>
      <c r="O67" s="19">
        <f t="shared" si="16"/>
        <v>2481</v>
      </c>
      <c r="P67" s="13">
        <f t="shared" si="59"/>
        <v>8955</v>
      </c>
      <c r="Q67" s="405">
        <f t="shared" si="17"/>
        <v>3855</v>
      </c>
      <c r="R67" s="405">
        <f t="shared" si="60"/>
        <v>34521525</v>
      </c>
      <c r="S67" s="405">
        <f>'Table 6 (Local Deduct Calc.)'!J68</f>
        <v>10032830.5</v>
      </c>
      <c r="T67" s="405">
        <f t="shared" si="18"/>
        <v>10032830.5</v>
      </c>
      <c r="U67" s="406">
        <f t="shared" si="19"/>
        <v>24488694.5</v>
      </c>
      <c r="V67" s="407">
        <f t="shared" si="53"/>
        <v>0.70940000000000003</v>
      </c>
      <c r="W67" s="408">
        <f t="shared" si="20"/>
        <v>0.29060000000000002</v>
      </c>
      <c r="X67" s="409">
        <f t="shared" si="21"/>
        <v>1549.7112295335187</v>
      </c>
      <c r="Y67" s="405">
        <f>'Table 7 Local Revenue'!AQ67</f>
        <v>25967837.5</v>
      </c>
      <c r="Z67" s="405">
        <f t="shared" si="22"/>
        <v>15935007</v>
      </c>
      <c r="AA67" s="289">
        <f t="shared" si="23"/>
        <v>0</v>
      </c>
      <c r="AB67" s="20">
        <f t="shared" si="24"/>
        <v>11737318.5</v>
      </c>
      <c r="AC67" s="20">
        <f t="shared" si="25"/>
        <v>11737318.5</v>
      </c>
      <c r="AD67" s="405">
        <f t="shared" si="26"/>
        <v>5866687.3804920008</v>
      </c>
      <c r="AE67" s="410">
        <f t="shared" si="27"/>
        <v>5870631.1195079992</v>
      </c>
      <c r="AF67" s="282">
        <f t="shared" si="28"/>
        <v>0.50019999999999998</v>
      </c>
      <c r="AG67" s="410">
        <f t="shared" si="29"/>
        <v>30359325.619507998</v>
      </c>
      <c r="AH67" s="20">
        <f t="shared" si="30"/>
        <v>4689</v>
      </c>
      <c r="AI67" s="410">
        <f>'Table 4 Level 3'!O65</f>
        <v>878840</v>
      </c>
      <c r="AJ67" s="20">
        <f t="shared" si="61"/>
        <v>135.74915044794562</v>
      </c>
      <c r="AK67" s="410">
        <f t="shared" si="31"/>
        <v>31238165.619507998</v>
      </c>
      <c r="AL67" s="20">
        <f t="shared" si="62"/>
        <v>4825.1723230627122</v>
      </c>
      <c r="AM67" s="534">
        <f>'Table 4 Level 3'!R65</f>
        <v>4722694.6280000005</v>
      </c>
      <c r="AN67" s="535">
        <f t="shared" si="33"/>
        <v>729.48634970651847</v>
      </c>
      <c r="AO67" s="410">
        <f t="shared" si="34"/>
        <v>35082020.247507997</v>
      </c>
      <c r="AP67" s="20">
        <f t="shared" si="35"/>
        <v>5418.9095223212844</v>
      </c>
      <c r="AQ67" s="282">
        <f t="shared" si="36"/>
        <v>0.61707443553784447</v>
      </c>
      <c r="AR67" s="411">
        <f t="shared" si="37"/>
        <v>41</v>
      </c>
      <c r="AS67" s="20">
        <f t="shared" si="38"/>
        <v>21770149</v>
      </c>
      <c r="AT67" s="20">
        <f t="shared" si="63"/>
        <v>3362.7</v>
      </c>
      <c r="AU67" s="411">
        <f t="shared" si="39"/>
        <v>29</v>
      </c>
      <c r="AV67" s="282">
        <f t="shared" si="40"/>
        <v>0.38292556446215553</v>
      </c>
      <c r="AW67" s="411">
        <f t="shared" si="41"/>
        <v>56852169.247507997</v>
      </c>
      <c r="AX67" s="412">
        <f t="shared" si="64"/>
        <v>8781.6140326703735</v>
      </c>
      <c r="AY67" s="411">
        <f t="shared" si="42"/>
        <v>31</v>
      </c>
      <c r="AZ67" s="20">
        <v>37040608.441300005</v>
      </c>
      <c r="BA67" s="289">
        <f t="shared" si="65"/>
        <v>-1958588.1937920079</v>
      </c>
      <c r="BB67" s="289">
        <f t="shared" si="43"/>
        <v>24488694.5</v>
      </c>
      <c r="BC67" s="289">
        <v>25760511</v>
      </c>
      <c r="BD67" s="289">
        <f t="shared" si="44"/>
        <v>-1271816.5</v>
      </c>
      <c r="BE67" s="289">
        <f t="shared" si="45"/>
        <v>5870631.1195079992</v>
      </c>
      <c r="BF67" s="289">
        <v>6366540.4413000001</v>
      </c>
      <c r="BG67" s="289">
        <f t="shared" si="46"/>
        <v>-495909.3217920009</v>
      </c>
      <c r="BH67" s="289">
        <f t="shared" si="47"/>
        <v>25967837.5</v>
      </c>
      <c r="BI67" s="289">
        <v>24987167</v>
      </c>
      <c r="BJ67" s="289">
        <f t="shared" si="48"/>
        <v>980670.5</v>
      </c>
      <c r="BK67" s="82">
        <f t="shared" si="49"/>
        <v>6474</v>
      </c>
      <c r="BL67" s="82">
        <v>6725</v>
      </c>
      <c r="BM67" s="999">
        <f t="shared" si="50"/>
        <v>-251</v>
      </c>
      <c r="BN67" s="82">
        <f t="shared" si="51"/>
        <v>8955</v>
      </c>
      <c r="BO67" s="82">
        <v>9217</v>
      </c>
      <c r="BP67" s="999">
        <f t="shared" si="52"/>
        <v>-262</v>
      </c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</row>
    <row r="68" spans="1:148" s="5" customFormat="1">
      <c r="A68" s="103">
        <v>61</v>
      </c>
      <c r="B68" s="81" t="s">
        <v>161</v>
      </c>
      <c r="C68" s="81">
        <f>'Table 8 2.1.12 MFP Funded'!AD64</f>
        <v>3547</v>
      </c>
      <c r="D68" s="81">
        <f>'[2]totalled for Table 3'!$AD64</f>
        <v>2505</v>
      </c>
      <c r="E68" s="81">
        <f t="shared" si="54"/>
        <v>551</v>
      </c>
      <c r="F68" s="81">
        <f>'[3]Units-Corrected_for Table 3'!$T72</f>
        <v>1081.5</v>
      </c>
      <c r="G68" s="81">
        <f t="shared" si="55"/>
        <v>65</v>
      </c>
      <c r="H68" s="81">
        <f>[4]Disabling_Exceptionalities!$Z66</f>
        <v>360</v>
      </c>
      <c r="I68" s="81">
        <f t="shared" si="14"/>
        <v>540</v>
      </c>
      <c r="J68" s="81">
        <f>[4]GiftedTalented!$AA66</f>
        <v>131</v>
      </c>
      <c r="K68" s="13">
        <f t="shared" si="15"/>
        <v>79</v>
      </c>
      <c r="L68" s="13">
        <f t="shared" si="56"/>
        <v>3953</v>
      </c>
      <c r="M68" s="65">
        <f t="shared" si="57"/>
        <v>0.10541</v>
      </c>
      <c r="N68" s="13">
        <f t="shared" si="58"/>
        <v>374</v>
      </c>
      <c r="O68" s="13">
        <f t="shared" si="16"/>
        <v>1609</v>
      </c>
      <c r="P68" s="36">
        <f t="shared" si="59"/>
        <v>5156</v>
      </c>
      <c r="Q68" s="398">
        <f t="shared" si="17"/>
        <v>3855</v>
      </c>
      <c r="R68" s="398">
        <f t="shared" si="60"/>
        <v>19876380</v>
      </c>
      <c r="S68" s="398">
        <f>'Table 6 (Local Deduct Calc.)'!J69</f>
        <v>10253616.5</v>
      </c>
      <c r="T68" s="398">
        <f t="shared" si="18"/>
        <v>10253616.5</v>
      </c>
      <c r="U68" s="399">
        <f t="shared" si="19"/>
        <v>9622763.5</v>
      </c>
      <c r="V68" s="400">
        <f t="shared" si="53"/>
        <v>0.48409999999999997</v>
      </c>
      <c r="W68" s="400">
        <f t="shared" si="20"/>
        <v>0.51590000000000003</v>
      </c>
      <c r="X68" s="401">
        <f t="shared" si="21"/>
        <v>2890.7855934592612</v>
      </c>
      <c r="Y68" s="398">
        <f>'Table 7 Local Revenue'!AQ68</f>
        <v>22016861.5</v>
      </c>
      <c r="Z68" s="398">
        <f t="shared" si="22"/>
        <v>11763245</v>
      </c>
      <c r="AA68" s="288">
        <f t="shared" si="23"/>
        <v>0</v>
      </c>
      <c r="AB68" s="14">
        <f t="shared" si="24"/>
        <v>6757969.2000000002</v>
      </c>
      <c r="AC68" s="14">
        <f t="shared" si="25"/>
        <v>6757969.2000000002</v>
      </c>
      <c r="AD68" s="398">
        <f t="shared" si="26"/>
        <v>5996670.4536816003</v>
      </c>
      <c r="AE68" s="402">
        <f t="shared" si="27"/>
        <v>761298.74631839991</v>
      </c>
      <c r="AF68" s="16">
        <f t="shared" si="28"/>
        <v>0.11269999999999999</v>
      </c>
      <c r="AG68" s="402">
        <f t="shared" si="29"/>
        <v>10384062.2463184</v>
      </c>
      <c r="AH68" s="14">
        <f t="shared" si="30"/>
        <v>2928</v>
      </c>
      <c r="AI68" s="402">
        <f>'Table 4 Level 3'!O66</f>
        <v>481502</v>
      </c>
      <c r="AJ68" s="14">
        <f t="shared" si="61"/>
        <v>135.74908373273189</v>
      </c>
      <c r="AK68" s="402">
        <f t="shared" si="31"/>
        <v>10865564.2463184</v>
      </c>
      <c r="AL68" s="14">
        <f t="shared" si="62"/>
        <v>3063.3110364585282</v>
      </c>
      <c r="AM68" s="532">
        <f>'Table 4 Level 3'!R66</f>
        <v>3437337.4339999999</v>
      </c>
      <c r="AN68" s="533">
        <f t="shared" si="33"/>
        <v>969.0830093036368</v>
      </c>
      <c r="AO68" s="402">
        <f t="shared" si="34"/>
        <v>13821399.6803184</v>
      </c>
      <c r="AP68" s="14">
        <f t="shared" si="35"/>
        <v>3896.6449620294334</v>
      </c>
      <c r="AQ68" s="16">
        <f t="shared" si="36"/>
        <v>0.44826666992619552</v>
      </c>
      <c r="AR68" s="403">
        <f t="shared" si="37"/>
        <v>61</v>
      </c>
      <c r="AS68" s="14">
        <f t="shared" si="38"/>
        <v>17011585.699999999</v>
      </c>
      <c r="AT68" s="14">
        <f t="shared" si="63"/>
        <v>4796.05</v>
      </c>
      <c r="AU68" s="403">
        <f t="shared" si="39"/>
        <v>11</v>
      </c>
      <c r="AV68" s="16">
        <f t="shared" si="40"/>
        <v>0.55173333007380443</v>
      </c>
      <c r="AW68" s="403">
        <f t="shared" si="41"/>
        <v>30832985.3803184</v>
      </c>
      <c r="AX68" s="404">
        <f t="shared" si="64"/>
        <v>8692.6939329908091</v>
      </c>
      <c r="AY68" s="403">
        <f t="shared" si="42"/>
        <v>36</v>
      </c>
      <c r="AZ68" s="14">
        <v>13038735.540937599</v>
      </c>
      <c r="BA68" s="288">
        <f t="shared" si="65"/>
        <v>782664.13938080147</v>
      </c>
      <c r="BB68" s="288">
        <f t="shared" si="43"/>
        <v>9622763.5</v>
      </c>
      <c r="BC68" s="288">
        <v>9118121</v>
      </c>
      <c r="BD68" s="288">
        <f t="shared" si="44"/>
        <v>504642.5</v>
      </c>
      <c r="BE68" s="288">
        <f t="shared" si="45"/>
        <v>761298.74631839991</v>
      </c>
      <c r="BF68" s="288">
        <v>553637.54093759973</v>
      </c>
      <c r="BG68" s="288">
        <f t="shared" si="46"/>
        <v>207661.20538080018</v>
      </c>
      <c r="BH68" s="288">
        <f t="shared" si="47"/>
        <v>22016861.5</v>
      </c>
      <c r="BI68" s="288">
        <v>22566745</v>
      </c>
      <c r="BJ68" s="288">
        <f t="shared" si="48"/>
        <v>-549883.5</v>
      </c>
      <c r="BK68" s="81">
        <f t="shared" si="49"/>
        <v>3547</v>
      </c>
      <c r="BL68" s="81">
        <v>3470</v>
      </c>
      <c r="BM68" s="998">
        <f t="shared" si="50"/>
        <v>77</v>
      </c>
      <c r="BN68" s="81">
        <f t="shared" si="51"/>
        <v>5156</v>
      </c>
      <c r="BO68" s="81">
        <v>5064</v>
      </c>
      <c r="BP68" s="998">
        <f t="shared" si="52"/>
        <v>92</v>
      </c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</row>
    <row r="69" spans="1:148" s="5" customFormat="1">
      <c r="A69" s="103">
        <v>62</v>
      </c>
      <c r="B69" s="81" t="s">
        <v>162</v>
      </c>
      <c r="C69" s="81">
        <f>'Table 8 2.1.12 MFP Funded'!AD65</f>
        <v>2133</v>
      </c>
      <c r="D69" s="81">
        <f>'[2]totalled for Table 3'!$AD65</f>
        <v>1617</v>
      </c>
      <c r="E69" s="81">
        <f t="shared" si="54"/>
        <v>356</v>
      </c>
      <c r="F69" s="81">
        <f>'[3]Units-Corrected_for Table 3'!$T73</f>
        <v>697</v>
      </c>
      <c r="G69" s="81">
        <f t="shared" si="55"/>
        <v>42</v>
      </c>
      <c r="H69" s="81">
        <f>[4]Disabling_Exceptionalities!$Z67</f>
        <v>228</v>
      </c>
      <c r="I69" s="81">
        <f t="shared" si="14"/>
        <v>342</v>
      </c>
      <c r="J69" s="81">
        <f>[4]GiftedTalented!$AA67</f>
        <v>22</v>
      </c>
      <c r="K69" s="13">
        <f t="shared" si="15"/>
        <v>13</v>
      </c>
      <c r="L69" s="13">
        <f t="shared" si="56"/>
        <v>5367</v>
      </c>
      <c r="M69" s="65">
        <f t="shared" si="57"/>
        <v>0.14312</v>
      </c>
      <c r="N69" s="13">
        <f t="shared" si="58"/>
        <v>305</v>
      </c>
      <c r="O69" s="13">
        <f t="shared" si="16"/>
        <v>1058</v>
      </c>
      <c r="P69" s="13">
        <f t="shared" si="59"/>
        <v>3191</v>
      </c>
      <c r="Q69" s="398">
        <f t="shared" si="17"/>
        <v>3855</v>
      </c>
      <c r="R69" s="398">
        <f t="shared" si="60"/>
        <v>12301305</v>
      </c>
      <c r="S69" s="398">
        <f>'Table 6 (Local Deduct Calc.)'!J70</f>
        <v>1940601.5</v>
      </c>
      <c r="T69" s="398">
        <f t="shared" si="18"/>
        <v>1940601.5</v>
      </c>
      <c r="U69" s="399">
        <f t="shared" si="19"/>
        <v>10360703.5</v>
      </c>
      <c r="V69" s="400">
        <f t="shared" si="53"/>
        <v>0.84219999999999995</v>
      </c>
      <c r="W69" s="400">
        <f t="shared" si="20"/>
        <v>0.1578</v>
      </c>
      <c r="X69" s="401">
        <f t="shared" si="21"/>
        <v>909.79910923581815</v>
      </c>
      <c r="Y69" s="398">
        <f>'Table 7 Local Revenue'!AQ69</f>
        <v>3613891.5</v>
      </c>
      <c r="Z69" s="398">
        <f t="shared" si="22"/>
        <v>1673290</v>
      </c>
      <c r="AA69" s="288">
        <f t="shared" si="23"/>
        <v>0</v>
      </c>
      <c r="AB69" s="14">
        <f t="shared" si="24"/>
        <v>4182443.7</v>
      </c>
      <c r="AC69" s="14">
        <f t="shared" si="25"/>
        <v>1673290</v>
      </c>
      <c r="AD69" s="398">
        <f t="shared" si="26"/>
        <v>454157.67864</v>
      </c>
      <c r="AE69" s="402">
        <f t="shared" si="27"/>
        <v>1219132.3213599999</v>
      </c>
      <c r="AF69" s="16">
        <f t="shared" si="28"/>
        <v>0.72860000000000003</v>
      </c>
      <c r="AG69" s="402">
        <f t="shared" si="29"/>
        <v>11579835.821359999</v>
      </c>
      <c r="AH69" s="14">
        <f t="shared" si="30"/>
        <v>5429</v>
      </c>
      <c r="AI69" s="402">
        <f>'Table 4 Level 3'!O67</f>
        <v>289553</v>
      </c>
      <c r="AJ69" s="14">
        <f t="shared" si="61"/>
        <v>135.74917955930613</v>
      </c>
      <c r="AK69" s="402">
        <f t="shared" si="31"/>
        <v>11869388.821359999</v>
      </c>
      <c r="AL69" s="14">
        <f t="shared" si="62"/>
        <v>5564.645485869667</v>
      </c>
      <c r="AM69" s="532">
        <f>'Table 4 Level 3'!R67</f>
        <v>1390536.0658683875</v>
      </c>
      <c r="AN69" s="533">
        <f t="shared" si="33"/>
        <v>651.91564269497769</v>
      </c>
      <c r="AO69" s="402">
        <f t="shared" si="34"/>
        <v>12970371.887228386</v>
      </c>
      <c r="AP69" s="14">
        <f t="shared" si="35"/>
        <v>6080.8119490053386</v>
      </c>
      <c r="AQ69" s="16">
        <f t="shared" si="36"/>
        <v>0.78208911571055528</v>
      </c>
      <c r="AR69" s="403">
        <f t="shared" si="37"/>
        <v>5</v>
      </c>
      <c r="AS69" s="14">
        <f t="shared" si="38"/>
        <v>3613891.5</v>
      </c>
      <c r="AT69" s="14">
        <f t="shared" si="63"/>
        <v>1694.28</v>
      </c>
      <c r="AU69" s="403">
        <f t="shared" si="39"/>
        <v>66</v>
      </c>
      <c r="AV69" s="16">
        <f t="shared" si="40"/>
        <v>0.21791088428944475</v>
      </c>
      <c r="AW69" s="403">
        <f t="shared" si="41"/>
        <v>16584263.387228386</v>
      </c>
      <c r="AX69" s="404">
        <f t="shared" si="64"/>
        <v>7775.0883203133553</v>
      </c>
      <c r="AY69" s="403">
        <f t="shared" si="42"/>
        <v>65</v>
      </c>
      <c r="AZ69" s="14">
        <v>12771903.096592</v>
      </c>
      <c r="BA69" s="288">
        <f t="shared" si="65"/>
        <v>198468.79063638672</v>
      </c>
      <c r="BB69" s="288">
        <f t="shared" si="43"/>
        <v>10360703.5</v>
      </c>
      <c r="BC69" s="288">
        <v>10221405.5</v>
      </c>
      <c r="BD69" s="288">
        <f t="shared" si="44"/>
        <v>139298</v>
      </c>
      <c r="BE69" s="288">
        <f t="shared" si="45"/>
        <v>1219132.3213599999</v>
      </c>
      <c r="BF69" s="288">
        <v>1165509.596592</v>
      </c>
      <c r="BG69" s="288">
        <f t="shared" si="46"/>
        <v>53622.724767999956</v>
      </c>
      <c r="BH69" s="288">
        <f t="shared" si="47"/>
        <v>3613891.5</v>
      </c>
      <c r="BI69" s="288">
        <v>3620843.5</v>
      </c>
      <c r="BJ69" s="288">
        <f t="shared" si="48"/>
        <v>-6952</v>
      </c>
      <c r="BK69" s="81">
        <f t="shared" si="49"/>
        <v>2133</v>
      </c>
      <c r="BL69" s="81">
        <v>2122</v>
      </c>
      <c r="BM69" s="998">
        <f t="shared" si="50"/>
        <v>11</v>
      </c>
      <c r="BN69" s="81">
        <f t="shared" si="51"/>
        <v>3191</v>
      </c>
      <c r="BO69" s="81">
        <v>3170</v>
      </c>
      <c r="BP69" s="998">
        <f t="shared" si="52"/>
        <v>21</v>
      </c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</row>
    <row r="70" spans="1:148" s="5" customFormat="1">
      <c r="A70" s="103">
        <v>63</v>
      </c>
      <c r="B70" s="81" t="s">
        <v>163</v>
      </c>
      <c r="C70" s="81">
        <f>'Table 8 2.1.12 MFP Funded'!AD66</f>
        <v>2036</v>
      </c>
      <c r="D70" s="81">
        <f>'[2]totalled for Table 3'!$AD66</f>
        <v>1045</v>
      </c>
      <c r="E70" s="81">
        <f t="shared" si="54"/>
        <v>230</v>
      </c>
      <c r="F70" s="81">
        <f>'[3]Units-Corrected_for Table 3'!$T74</f>
        <v>718.5</v>
      </c>
      <c r="G70" s="81">
        <f t="shared" si="55"/>
        <v>43</v>
      </c>
      <c r="H70" s="81">
        <f>[4]Disabling_Exceptionalities!$Z68</f>
        <v>249</v>
      </c>
      <c r="I70" s="81">
        <f t="shared" si="14"/>
        <v>374</v>
      </c>
      <c r="J70" s="81">
        <f>[4]GiftedTalented!$AA68</f>
        <v>129</v>
      </c>
      <c r="K70" s="13">
        <f t="shared" si="15"/>
        <v>77</v>
      </c>
      <c r="L70" s="13">
        <f t="shared" si="56"/>
        <v>5464</v>
      </c>
      <c r="M70" s="65">
        <f t="shared" si="57"/>
        <v>0.14571000000000001</v>
      </c>
      <c r="N70" s="13">
        <f t="shared" si="58"/>
        <v>297</v>
      </c>
      <c r="O70" s="13">
        <f t="shared" si="16"/>
        <v>1021</v>
      </c>
      <c r="P70" s="13">
        <f t="shared" si="59"/>
        <v>3057</v>
      </c>
      <c r="Q70" s="398">
        <f t="shared" si="17"/>
        <v>3855</v>
      </c>
      <c r="R70" s="398">
        <f t="shared" si="60"/>
        <v>11784735</v>
      </c>
      <c r="S70" s="398">
        <f>'Table 6 (Local Deduct Calc.)'!J71</f>
        <v>6170815.5</v>
      </c>
      <c r="T70" s="398">
        <f t="shared" si="18"/>
        <v>6170815.5</v>
      </c>
      <c r="U70" s="399">
        <f t="shared" si="19"/>
        <v>5613919.5</v>
      </c>
      <c r="V70" s="400">
        <f t="shared" si="53"/>
        <v>0.47639999999999999</v>
      </c>
      <c r="W70" s="400">
        <f t="shared" si="20"/>
        <v>0.52359999999999995</v>
      </c>
      <c r="X70" s="401">
        <f t="shared" si="21"/>
        <v>3030.852406679764</v>
      </c>
      <c r="Y70" s="398">
        <f>'Table 7 Local Revenue'!AQ70</f>
        <v>14109940.5</v>
      </c>
      <c r="Z70" s="398">
        <f t="shared" si="22"/>
        <v>7939125</v>
      </c>
      <c r="AA70" s="288">
        <f t="shared" si="23"/>
        <v>0</v>
      </c>
      <c r="AB70" s="14">
        <f t="shared" si="24"/>
        <v>4006809.9000000004</v>
      </c>
      <c r="AC70" s="14">
        <f t="shared" si="25"/>
        <v>4006809.9000000004</v>
      </c>
      <c r="AD70" s="398">
        <f t="shared" si="26"/>
        <v>3608500.9414608004</v>
      </c>
      <c r="AE70" s="402">
        <f t="shared" si="27"/>
        <v>398308.95853920002</v>
      </c>
      <c r="AF70" s="16">
        <f t="shared" si="28"/>
        <v>9.9400000000000002E-2</v>
      </c>
      <c r="AG70" s="402">
        <f t="shared" si="29"/>
        <v>6012228.4585392</v>
      </c>
      <c r="AH70" s="14">
        <f t="shared" si="30"/>
        <v>2953</v>
      </c>
      <c r="AI70" s="402">
        <f>'Table 4 Level 3'!O68</f>
        <v>2975037</v>
      </c>
      <c r="AJ70" s="14">
        <f t="shared" si="61"/>
        <v>1461.216601178782</v>
      </c>
      <c r="AK70" s="402">
        <f t="shared" si="31"/>
        <v>8987265.4585391991</v>
      </c>
      <c r="AL70" s="14">
        <f t="shared" si="62"/>
        <v>4414.1775336636538</v>
      </c>
      <c r="AM70" s="532">
        <f>'Table 4 Level 3'!R68</f>
        <v>4515407.3660000004</v>
      </c>
      <c r="AN70" s="533">
        <f t="shared" si="33"/>
        <v>2217.7835785854618</v>
      </c>
      <c r="AO70" s="402">
        <f t="shared" si="34"/>
        <v>10527635.824539199</v>
      </c>
      <c r="AP70" s="14">
        <f t="shared" si="35"/>
        <v>5170.7445110703338</v>
      </c>
      <c r="AQ70" s="16">
        <f t="shared" si="36"/>
        <v>0.50845220982105699</v>
      </c>
      <c r="AR70" s="403">
        <f t="shared" si="37"/>
        <v>55</v>
      </c>
      <c r="AS70" s="14">
        <f t="shared" si="38"/>
        <v>10177625.4</v>
      </c>
      <c r="AT70" s="14">
        <f t="shared" si="63"/>
        <v>4998.83</v>
      </c>
      <c r="AU70" s="403">
        <f t="shared" si="39"/>
        <v>9</v>
      </c>
      <c r="AV70" s="16">
        <f t="shared" si="40"/>
        <v>0.49154779017894312</v>
      </c>
      <c r="AW70" s="403">
        <f t="shared" si="41"/>
        <v>20705261.224539198</v>
      </c>
      <c r="AX70" s="404">
        <f t="shared" si="64"/>
        <v>10169.578204587033</v>
      </c>
      <c r="AY70" s="403">
        <f t="shared" si="42"/>
        <v>3</v>
      </c>
      <c r="AZ70" s="14">
        <v>10357500.767376</v>
      </c>
      <c r="BA70" s="288">
        <f t="shared" si="65"/>
        <v>170135.05716319941</v>
      </c>
      <c r="BB70" s="288">
        <f t="shared" si="43"/>
        <v>5613919.5</v>
      </c>
      <c r="BC70" s="288">
        <v>5160029.5</v>
      </c>
      <c r="BD70" s="288">
        <f t="shared" si="44"/>
        <v>453890</v>
      </c>
      <c r="BE70" s="288">
        <f t="shared" si="45"/>
        <v>398308.95853920002</v>
      </c>
      <c r="BF70" s="288">
        <v>129659.26737600006</v>
      </c>
      <c r="BG70" s="288">
        <f t="shared" si="46"/>
        <v>268649.69116319995</v>
      </c>
      <c r="BH70" s="288">
        <f t="shared" si="47"/>
        <v>14109940.5</v>
      </c>
      <c r="BI70" s="288">
        <v>11067867.5</v>
      </c>
      <c r="BJ70" s="288">
        <f t="shared" si="48"/>
        <v>3042073</v>
      </c>
      <c r="BK70" s="81">
        <f t="shared" si="49"/>
        <v>2036</v>
      </c>
      <c r="BL70" s="81">
        <v>2070</v>
      </c>
      <c r="BM70" s="998">
        <f t="shared" si="50"/>
        <v>-34</v>
      </c>
      <c r="BN70" s="81">
        <f t="shared" si="51"/>
        <v>3057</v>
      </c>
      <c r="BO70" s="81">
        <v>3060</v>
      </c>
      <c r="BP70" s="998">
        <f t="shared" si="52"/>
        <v>-3</v>
      </c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</row>
    <row r="71" spans="1:148" s="5" customFormat="1">
      <c r="A71" s="103">
        <v>64</v>
      </c>
      <c r="B71" s="81" t="s">
        <v>164</v>
      </c>
      <c r="C71" s="81">
        <f>'Table 8 2.1.12 MFP Funded'!AD67</f>
        <v>2422</v>
      </c>
      <c r="D71" s="81">
        <f>'[2]totalled for Table 3'!$AD67</f>
        <v>1759</v>
      </c>
      <c r="E71" s="81">
        <f t="shared" si="54"/>
        <v>387</v>
      </c>
      <c r="F71" s="81">
        <f>'[3]Units-Corrected_for Table 3'!$T75</f>
        <v>1166</v>
      </c>
      <c r="G71" s="81">
        <f t="shared" si="55"/>
        <v>70</v>
      </c>
      <c r="H71" s="81">
        <f>[4]Disabling_Exceptionalities!$Z69</f>
        <v>321</v>
      </c>
      <c r="I71" s="81">
        <f t="shared" si="14"/>
        <v>482</v>
      </c>
      <c r="J71" s="81">
        <f>[4]GiftedTalented!$AA69</f>
        <v>75</v>
      </c>
      <c r="K71" s="13">
        <f t="shared" si="15"/>
        <v>45</v>
      </c>
      <c r="L71" s="13">
        <f t="shared" si="56"/>
        <v>5078</v>
      </c>
      <c r="M71" s="65">
        <f t="shared" si="57"/>
        <v>0.13541</v>
      </c>
      <c r="N71" s="13">
        <f t="shared" si="58"/>
        <v>328</v>
      </c>
      <c r="O71" s="13">
        <f t="shared" si="16"/>
        <v>1312</v>
      </c>
      <c r="P71" s="13">
        <f t="shared" si="59"/>
        <v>3734</v>
      </c>
      <c r="Q71" s="398">
        <f t="shared" si="17"/>
        <v>3855</v>
      </c>
      <c r="R71" s="398">
        <f t="shared" si="60"/>
        <v>14394570</v>
      </c>
      <c r="S71" s="398">
        <f>'Table 6 (Local Deduct Calc.)'!J72</f>
        <v>2931101</v>
      </c>
      <c r="T71" s="398">
        <f t="shared" si="18"/>
        <v>2931101</v>
      </c>
      <c r="U71" s="399">
        <f t="shared" si="19"/>
        <v>11463469</v>
      </c>
      <c r="V71" s="400">
        <f t="shared" si="53"/>
        <v>0.7964</v>
      </c>
      <c r="W71" s="400">
        <f t="shared" si="20"/>
        <v>0.2036</v>
      </c>
      <c r="X71" s="401">
        <f t="shared" si="21"/>
        <v>1210.1985962014865</v>
      </c>
      <c r="Y71" s="398">
        <f>'Table 7 Local Revenue'!AQ71</f>
        <v>6666707</v>
      </c>
      <c r="Z71" s="398">
        <f t="shared" si="22"/>
        <v>3735606</v>
      </c>
      <c r="AA71" s="288">
        <f t="shared" si="23"/>
        <v>0</v>
      </c>
      <c r="AB71" s="14">
        <f t="shared" si="24"/>
        <v>4894153.8000000007</v>
      </c>
      <c r="AC71" s="14">
        <f t="shared" si="25"/>
        <v>3735606</v>
      </c>
      <c r="AD71" s="398">
        <f t="shared" si="26"/>
        <v>1308179.336352</v>
      </c>
      <c r="AE71" s="402">
        <f t="shared" si="27"/>
        <v>2427426.663648</v>
      </c>
      <c r="AF71" s="16">
        <f t="shared" si="28"/>
        <v>0.64980000000000004</v>
      </c>
      <c r="AG71" s="402">
        <f t="shared" si="29"/>
        <v>13890895.663648</v>
      </c>
      <c r="AH71" s="14">
        <f t="shared" si="30"/>
        <v>5735</v>
      </c>
      <c r="AI71" s="402">
        <f>'Table 4 Level 3'!O69</f>
        <v>328784</v>
      </c>
      <c r="AJ71" s="14">
        <f t="shared" si="61"/>
        <v>135.74896779521058</v>
      </c>
      <c r="AK71" s="402">
        <f t="shared" si="31"/>
        <v>14219679.663648</v>
      </c>
      <c r="AL71" s="14">
        <f t="shared" si="62"/>
        <v>5871.0485811924027</v>
      </c>
      <c r="AM71" s="532">
        <f>'Table 4 Level 3'!R69</f>
        <v>1764028.7219999998</v>
      </c>
      <c r="AN71" s="533">
        <f t="shared" si="33"/>
        <v>728.33555821635002</v>
      </c>
      <c r="AO71" s="402">
        <f t="shared" si="34"/>
        <v>15654924.385647999</v>
      </c>
      <c r="AP71" s="14">
        <f t="shared" si="35"/>
        <v>6463.6351716135423</v>
      </c>
      <c r="AQ71" s="16">
        <f t="shared" si="36"/>
        <v>0.70133424010010081</v>
      </c>
      <c r="AR71" s="403">
        <f t="shared" si="37"/>
        <v>17</v>
      </c>
      <c r="AS71" s="14">
        <f t="shared" si="38"/>
        <v>6666707</v>
      </c>
      <c r="AT71" s="14">
        <f t="shared" si="63"/>
        <v>2752.56</v>
      </c>
      <c r="AU71" s="403">
        <f t="shared" si="39"/>
        <v>50</v>
      </c>
      <c r="AV71" s="16">
        <f t="shared" si="40"/>
        <v>0.29866575989989924</v>
      </c>
      <c r="AW71" s="403">
        <f t="shared" si="41"/>
        <v>22321631.385647997</v>
      </c>
      <c r="AX71" s="404">
        <f t="shared" si="64"/>
        <v>9216.1979296647387</v>
      </c>
      <c r="AY71" s="403">
        <f t="shared" si="42"/>
        <v>16</v>
      </c>
      <c r="AZ71" s="14">
        <v>15666186.93534</v>
      </c>
      <c r="BA71" s="288">
        <f t="shared" si="65"/>
        <v>-11262.549692001194</v>
      </c>
      <c r="BB71" s="288">
        <f t="shared" si="43"/>
        <v>11463469</v>
      </c>
      <c r="BC71" s="288">
        <v>11556454</v>
      </c>
      <c r="BD71" s="288">
        <f t="shared" si="44"/>
        <v>-92985</v>
      </c>
      <c r="BE71" s="288">
        <f t="shared" si="45"/>
        <v>2427426.663648</v>
      </c>
      <c r="BF71" s="288">
        <v>2338359.9353400003</v>
      </c>
      <c r="BG71" s="288">
        <f t="shared" si="46"/>
        <v>89066.728307999671</v>
      </c>
      <c r="BH71" s="288">
        <f t="shared" si="47"/>
        <v>6666707</v>
      </c>
      <c r="BI71" s="288">
        <v>6271761</v>
      </c>
      <c r="BJ71" s="288">
        <f t="shared" si="48"/>
        <v>394946</v>
      </c>
      <c r="BK71" s="81">
        <f t="shared" si="49"/>
        <v>2422</v>
      </c>
      <c r="BL71" s="81">
        <v>2429</v>
      </c>
      <c r="BM71" s="998">
        <f t="shared" si="50"/>
        <v>-7</v>
      </c>
      <c r="BN71" s="81">
        <f t="shared" si="51"/>
        <v>3734</v>
      </c>
      <c r="BO71" s="81">
        <v>3716</v>
      </c>
      <c r="BP71" s="998">
        <f t="shared" si="52"/>
        <v>18</v>
      </c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</row>
    <row r="72" spans="1:148" s="5" customFormat="1">
      <c r="A72" s="104">
        <v>65</v>
      </c>
      <c r="B72" s="82" t="s">
        <v>165</v>
      </c>
      <c r="C72" s="82">
        <f>'Table 8 2.1.12 MFP Funded'!AD68</f>
        <v>8587</v>
      </c>
      <c r="D72" s="82">
        <f>'[2]totalled for Table 3'!$AD68</f>
        <v>7034</v>
      </c>
      <c r="E72" s="82">
        <f t="shared" si="54"/>
        <v>1547</v>
      </c>
      <c r="F72" s="82">
        <f>'[3]Units-Corrected_for Table 3'!$T76</f>
        <v>1953.5</v>
      </c>
      <c r="G72" s="82">
        <f t="shared" si="55"/>
        <v>117</v>
      </c>
      <c r="H72" s="82">
        <f>[4]Disabling_Exceptionalities!$Z70</f>
        <v>1315</v>
      </c>
      <c r="I72" s="82">
        <f t="shared" si="14"/>
        <v>1973</v>
      </c>
      <c r="J72" s="82">
        <f>[4]GiftedTalented!$AA70</f>
        <v>565</v>
      </c>
      <c r="K72" s="19">
        <f t="shared" si="15"/>
        <v>339</v>
      </c>
      <c r="L72" s="19">
        <f t="shared" si="56"/>
        <v>0</v>
      </c>
      <c r="M72" s="66">
        <f>ROUND(L72/$M$4,5)</f>
        <v>0</v>
      </c>
      <c r="N72" s="19">
        <f xml:space="preserve"> ROUND(C72*M72,0)</f>
        <v>0</v>
      </c>
      <c r="O72" s="19">
        <f t="shared" si="16"/>
        <v>3976</v>
      </c>
      <c r="P72" s="19">
        <f>O72+C72</f>
        <v>12563</v>
      </c>
      <c r="Q72" s="405">
        <f t="shared" si="17"/>
        <v>3855</v>
      </c>
      <c r="R72" s="405">
        <f>ROUND(P72*Q72,0)</f>
        <v>48430365</v>
      </c>
      <c r="S72" s="405">
        <f>'Table 6 (Local Deduct Calc.)'!J73</f>
        <v>16749461</v>
      </c>
      <c r="T72" s="405">
        <f t="shared" si="18"/>
        <v>16749461</v>
      </c>
      <c r="U72" s="406">
        <f t="shared" si="19"/>
        <v>31680904</v>
      </c>
      <c r="V72" s="407">
        <f t="shared" si="53"/>
        <v>0.6542</v>
      </c>
      <c r="W72" s="408">
        <f t="shared" si="20"/>
        <v>0.3458</v>
      </c>
      <c r="X72" s="409">
        <f t="shared" si="21"/>
        <v>1950.5602655176428</v>
      </c>
      <c r="Y72" s="405">
        <f>'Table 7 Local Revenue'!AQ72</f>
        <v>40202332</v>
      </c>
      <c r="Z72" s="405">
        <f t="shared" si="22"/>
        <v>23452871</v>
      </c>
      <c r="AA72" s="289">
        <f t="shared" si="23"/>
        <v>0</v>
      </c>
      <c r="AB72" s="20">
        <f t="shared" si="24"/>
        <v>16466324.100000001</v>
      </c>
      <c r="AC72" s="20">
        <f t="shared" si="25"/>
        <v>16466324.100000001</v>
      </c>
      <c r="AD72" s="405">
        <f t="shared" si="26"/>
        <v>9793774.3829015996</v>
      </c>
      <c r="AE72" s="410">
        <f t="shared" si="27"/>
        <v>6672549.7170984019</v>
      </c>
      <c r="AF72" s="282">
        <f t="shared" si="28"/>
        <v>0.4052</v>
      </c>
      <c r="AG72" s="410">
        <f t="shared" si="29"/>
        <v>38353453.7170984</v>
      </c>
      <c r="AH72" s="20">
        <f t="shared" si="30"/>
        <v>4466</v>
      </c>
      <c r="AI72" s="410">
        <f>'Table 4 Level 3'!O70</f>
        <v>1165678</v>
      </c>
      <c r="AJ72" s="20">
        <f t="shared" ref="AJ72:AJ77" si="66">AI72/C72</f>
        <v>135.74915570047747</v>
      </c>
      <c r="AK72" s="410">
        <f t="shared" si="31"/>
        <v>39519131.7170984</v>
      </c>
      <c r="AL72" s="20">
        <f t="shared" ref="AL72:AL77" si="67">AK72/C72</f>
        <v>4602.2046951319899</v>
      </c>
      <c r="AM72" s="534">
        <f>'Table 4 Level 3'!R70</f>
        <v>8264555.4744175086</v>
      </c>
      <c r="AN72" s="535">
        <f t="shared" si="33"/>
        <v>962.44968841475588</v>
      </c>
      <c r="AO72" s="410">
        <f t="shared" si="34"/>
        <v>46618009.191515908</v>
      </c>
      <c r="AP72" s="20">
        <f t="shared" si="35"/>
        <v>5428.9052278462686</v>
      </c>
      <c r="AQ72" s="282">
        <f t="shared" si="36"/>
        <v>0.58393828835553774</v>
      </c>
      <c r="AR72" s="411">
        <f t="shared" si="37"/>
        <v>46</v>
      </c>
      <c r="AS72" s="20">
        <f t="shared" si="38"/>
        <v>33215785.100000001</v>
      </c>
      <c r="AT72" s="20">
        <f t="shared" ref="AT72:AT77" si="68">ROUND(AS72/C72,2)</f>
        <v>3868.15</v>
      </c>
      <c r="AU72" s="411">
        <f t="shared" si="39"/>
        <v>20</v>
      </c>
      <c r="AV72" s="282">
        <f t="shared" si="40"/>
        <v>0.4160617116444621</v>
      </c>
      <c r="AW72" s="411">
        <f t="shared" si="41"/>
        <v>79833794.291515917</v>
      </c>
      <c r="AX72" s="412">
        <f t="shared" ref="AX72:AX77" si="69">AW72/C72</f>
        <v>9297.0530210220004</v>
      </c>
      <c r="AY72" s="411">
        <f t="shared" si="42"/>
        <v>13</v>
      </c>
      <c r="AZ72" s="20">
        <v>45032755.463472001</v>
      </c>
      <c r="BA72" s="289">
        <f>AO72-AZ72</f>
        <v>1585253.7280439064</v>
      </c>
      <c r="BB72" s="289">
        <f t="shared" si="43"/>
        <v>31680904</v>
      </c>
      <c r="BC72" s="289">
        <v>30596365</v>
      </c>
      <c r="BD72" s="289">
        <f t="shared" si="44"/>
        <v>1084539</v>
      </c>
      <c r="BE72" s="289">
        <f t="shared" si="45"/>
        <v>6672549.7170984019</v>
      </c>
      <c r="BF72" s="289">
        <v>6289573.4634720013</v>
      </c>
      <c r="BG72" s="289">
        <f t="shared" si="46"/>
        <v>382976.2536264006</v>
      </c>
      <c r="BH72" s="289">
        <f t="shared" si="47"/>
        <v>40202332</v>
      </c>
      <c r="BI72" s="289">
        <v>38517269</v>
      </c>
      <c r="BJ72" s="289">
        <f t="shared" si="48"/>
        <v>1685063</v>
      </c>
      <c r="BK72" s="82">
        <f t="shared" si="49"/>
        <v>8587</v>
      </c>
      <c r="BL72" s="82">
        <v>8436</v>
      </c>
      <c r="BM72" s="999">
        <f t="shared" si="50"/>
        <v>151</v>
      </c>
      <c r="BN72" s="82">
        <f t="shared" si="51"/>
        <v>12563</v>
      </c>
      <c r="BO72" s="82">
        <v>12296</v>
      </c>
      <c r="BP72" s="999">
        <f t="shared" si="52"/>
        <v>267</v>
      </c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</row>
    <row r="73" spans="1:148" s="5" customFormat="1">
      <c r="A73" s="103">
        <v>66</v>
      </c>
      <c r="B73" s="81" t="s">
        <v>166</v>
      </c>
      <c r="C73" s="81">
        <f>'Table 8 2.1.12 MFP Funded'!AD69</f>
        <v>2059</v>
      </c>
      <c r="D73" s="81">
        <f>'[2]totalled for Table 3'!$AD69</f>
        <v>1926</v>
      </c>
      <c r="E73" s="81">
        <f t="shared" si="54"/>
        <v>424</v>
      </c>
      <c r="F73" s="81">
        <f>'[3]Units-Corrected_for Table 3'!$T77</f>
        <v>479</v>
      </c>
      <c r="G73" s="81">
        <f t="shared" si="55"/>
        <v>29</v>
      </c>
      <c r="H73" s="81">
        <f>[4]Disabling_Exceptionalities!$Z71</f>
        <v>508</v>
      </c>
      <c r="I73" s="81">
        <f>ROUND($I$4*H73,0)</f>
        <v>762</v>
      </c>
      <c r="J73" s="81">
        <f>[4]GiftedTalented!$AA71</f>
        <v>112</v>
      </c>
      <c r="K73" s="13">
        <f>ROUND($K$4*J73,0)</f>
        <v>67</v>
      </c>
      <c r="L73" s="13">
        <f t="shared" si="56"/>
        <v>5441</v>
      </c>
      <c r="M73" s="65">
        <f>ROUND(L73/$M$4,5)</f>
        <v>0.14509</v>
      </c>
      <c r="N73" s="13">
        <f xml:space="preserve"> ROUND(C73*M73,0)</f>
        <v>299</v>
      </c>
      <c r="O73" s="13">
        <f>E73+G73+I73+K73+N73</f>
        <v>1581</v>
      </c>
      <c r="P73" s="13">
        <f>O73+C73</f>
        <v>3640</v>
      </c>
      <c r="Q73" s="398">
        <f>$Q$4</f>
        <v>3855</v>
      </c>
      <c r="R73" s="398">
        <f>ROUND(P73*Q73,0)</f>
        <v>14032200</v>
      </c>
      <c r="S73" s="398">
        <f>'Table 6 (Local Deduct Calc.)'!J74</f>
        <v>3546490</v>
      </c>
      <c r="T73" s="398">
        <f>IF((S73&gt;R73*$T$4),R73*$T$4,S73)</f>
        <v>3546490</v>
      </c>
      <c r="U73" s="399">
        <f>R73-T73</f>
        <v>10485710</v>
      </c>
      <c r="V73" s="400">
        <f>ROUND(U73/R73,4)</f>
        <v>0.74729999999999996</v>
      </c>
      <c r="W73" s="400">
        <f>ROUND(T73/R73,4)</f>
        <v>0.25269999999999998</v>
      </c>
      <c r="X73" s="401">
        <f>T73/C73</f>
        <v>1722.4332200097135</v>
      </c>
      <c r="Y73" s="398">
        <f>'Table 7 Local Revenue'!AQ73</f>
        <v>7244965</v>
      </c>
      <c r="Z73" s="398">
        <f>IF(Y73-T73&gt;0,Y73-T73,0)</f>
        <v>3698475</v>
      </c>
      <c r="AA73" s="288">
        <f>IF(Y73-T73&lt;0,Y73-T73,0)</f>
        <v>0</v>
      </c>
      <c r="AB73" s="14">
        <f>R73*$AB$4</f>
        <v>4770948</v>
      </c>
      <c r="AC73" s="14">
        <f>IF(Z73&lt;AB73,Z73,AB73)</f>
        <v>3698475</v>
      </c>
      <c r="AD73" s="398">
        <f>IF(AC73&gt;0,AC73*(W73*$AD$4),0)</f>
        <v>1607519.9678999998</v>
      </c>
      <c r="AE73" s="402">
        <f>IF(AC73-AD73&gt;AC73*$AE$4,AC73-AD73,AC73*$AE$4)</f>
        <v>2090955.0321000002</v>
      </c>
      <c r="AF73" s="16">
        <f>IF(AC73=0,0,ROUND(AE73/AC73,4))</f>
        <v>0.56540000000000001</v>
      </c>
      <c r="AG73" s="402">
        <f>U73+AE73</f>
        <v>12576665.032099999</v>
      </c>
      <c r="AH73" s="14">
        <f>ROUND(AG73/C73,0)</f>
        <v>6108</v>
      </c>
      <c r="AI73" s="402">
        <f>'Table 4 Level 3'!O71</f>
        <v>279507</v>
      </c>
      <c r="AJ73" s="14">
        <f t="shared" si="66"/>
        <v>135.7489072365226</v>
      </c>
      <c r="AK73" s="402">
        <f>AI73+AG73</f>
        <v>12856172.032099999</v>
      </c>
      <c r="AL73" s="14">
        <f t="shared" si="67"/>
        <v>6243.8912249150071</v>
      </c>
      <c r="AM73" s="532">
        <f>'Table 4 Level 3'!R71</f>
        <v>1782335.51</v>
      </c>
      <c r="AN73" s="533">
        <f>AM73/C73</f>
        <v>865.63162214667318</v>
      </c>
      <c r="AO73" s="402">
        <f>AG73+AM73</f>
        <v>14359000.542099999</v>
      </c>
      <c r="AP73" s="14">
        <f>AO73/C73</f>
        <v>6973.7739398251579</v>
      </c>
      <c r="AQ73" s="16">
        <f>AO73/AW73</f>
        <v>0.6646465212193744</v>
      </c>
      <c r="AR73" s="403">
        <f>RANK(AQ73,$AQ$8:$AQ$76)</f>
        <v>31</v>
      </c>
      <c r="AS73" s="14">
        <f>ROUND(AC73+T73,2)</f>
        <v>7244965</v>
      </c>
      <c r="AT73" s="14">
        <f t="shared" si="68"/>
        <v>3518.68</v>
      </c>
      <c r="AU73" s="403">
        <f>RANK(AT73,$AT$8:$AT$76)</f>
        <v>26</v>
      </c>
      <c r="AV73" s="16">
        <f>AS73/AW73</f>
        <v>0.33535347878062571</v>
      </c>
      <c r="AW73" s="403">
        <f>AS73+AO73</f>
        <v>21603965.542099997</v>
      </c>
      <c r="AX73" s="404">
        <f t="shared" si="69"/>
        <v>10492.455338562408</v>
      </c>
      <c r="AY73" s="403">
        <f>RANK(AX73,$AX$8:$AX$76)</f>
        <v>2</v>
      </c>
      <c r="AZ73" s="14">
        <v>14238146.418719999</v>
      </c>
      <c r="BA73" s="288">
        <f>AO73-AZ73</f>
        <v>120854.12337999977</v>
      </c>
      <c r="BB73" s="288">
        <f>U73</f>
        <v>10485710</v>
      </c>
      <c r="BC73" s="288">
        <v>10505114</v>
      </c>
      <c r="BD73" s="288">
        <f>BB73-BC73</f>
        <v>-19404</v>
      </c>
      <c r="BE73" s="288">
        <f>AE73</f>
        <v>2090955.0321000002</v>
      </c>
      <c r="BF73" s="288">
        <v>1943378.41872</v>
      </c>
      <c r="BG73" s="288">
        <f>BE73-BF73</f>
        <v>147576.61338000023</v>
      </c>
      <c r="BH73" s="288">
        <f>Y73</f>
        <v>7244965</v>
      </c>
      <c r="BI73" s="288">
        <v>6968788</v>
      </c>
      <c r="BJ73" s="288">
        <f>BH73-BI73</f>
        <v>276177</v>
      </c>
      <c r="BK73" s="81">
        <f>C73</f>
        <v>2059</v>
      </c>
      <c r="BL73" s="81">
        <v>2065</v>
      </c>
      <c r="BM73" s="998">
        <f>BK73-BL73</f>
        <v>-6</v>
      </c>
      <c r="BN73" s="81">
        <f>P73</f>
        <v>3640</v>
      </c>
      <c r="BO73" s="81">
        <v>3643</v>
      </c>
      <c r="BP73" s="998">
        <f>BN73-BO73</f>
        <v>-3</v>
      </c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</row>
    <row r="74" spans="1:148" s="5" customFormat="1">
      <c r="A74" s="103">
        <v>67</v>
      </c>
      <c r="B74" s="142" t="s">
        <v>33</v>
      </c>
      <c r="C74" s="360">
        <f>'Table 8 2.1.12 MFP Funded'!AD70</f>
        <v>5071</v>
      </c>
      <c r="D74" s="81">
        <f>'[2]totalled for Table 3'!$AD70</f>
        <v>2272</v>
      </c>
      <c r="E74" s="81">
        <f t="shared" si="54"/>
        <v>500</v>
      </c>
      <c r="F74" s="81">
        <f>'[3]Units-Corrected_for Table 3'!$T78</f>
        <v>1419</v>
      </c>
      <c r="G74" s="81">
        <f t="shared" si="55"/>
        <v>85</v>
      </c>
      <c r="H74" s="81">
        <f>[4]Disabling_Exceptionalities!$Z72</f>
        <v>429</v>
      </c>
      <c r="I74" s="81">
        <f>ROUND($I$4*H74,0)</f>
        <v>644</v>
      </c>
      <c r="J74" s="81">
        <f>[4]GiftedTalented!$AA72</f>
        <v>380</v>
      </c>
      <c r="K74" s="13">
        <f>ROUND($K$4*J74,0)</f>
        <v>228</v>
      </c>
      <c r="L74" s="13">
        <f t="shared" si="56"/>
        <v>2429</v>
      </c>
      <c r="M74" s="65">
        <f>ROUND(L74/$M$4,5)</f>
        <v>6.4769999999999994E-2</v>
      </c>
      <c r="N74" s="13">
        <f xml:space="preserve"> ROUND(C74*M74,0)</f>
        <v>328</v>
      </c>
      <c r="O74" s="13">
        <f>E74+G74+I74+K74+N74</f>
        <v>1785</v>
      </c>
      <c r="P74" s="13">
        <f>O74+C74</f>
        <v>6856</v>
      </c>
      <c r="Q74" s="398">
        <f>$Q$4</f>
        <v>3855</v>
      </c>
      <c r="R74" s="398">
        <f>ROUND(P74*Q74,0)</f>
        <v>26429880</v>
      </c>
      <c r="S74" s="398">
        <f>'Table 6 (Local Deduct Calc.)'!J75</f>
        <v>6624331</v>
      </c>
      <c r="T74" s="398">
        <f>IF((S74&gt;R74*$T$4),R74*$T$4,S74)</f>
        <v>6624331</v>
      </c>
      <c r="U74" s="399">
        <f>R74-T74</f>
        <v>19805549</v>
      </c>
      <c r="V74" s="400">
        <f>ROUND(U74/R74,4)</f>
        <v>0.74939999999999996</v>
      </c>
      <c r="W74" s="400">
        <f>ROUND(T74/R74,4)</f>
        <v>0.25059999999999999</v>
      </c>
      <c r="X74" s="401">
        <f>T74/C74</f>
        <v>1306.3165056201933</v>
      </c>
      <c r="Y74" s="398">
        <f>'Table 7 Local Revenue'!AQ74</f>
        <v>22375754</v>
      </c>
      <c r="Z74" s="398">
        <f>IF(Y74-T74&gt;0,Y74-T74,0)</f>
        <v>15751423</v>
      </c>
      <c r="AA74" s="288">
        <f>IF(Y74-T74&lt;0,Y74-T74,0)</f>
        <v>0</v>
      </c>
      <c r="AB74" s="14">
        <f>R74*$AB$4</f>
        <v>8986159.2000000011</v>
      </c>
      <c r="AC74" s="14">
        <f>IF(Z74&lt;AB74,Z74,AB74)</f>
        <v>8986159.2000000011</v>
      </c>
      <c r="AD74" s="398">
        <f>IF(AC74&gt;0,AC74*(W74*$AD$4),0)</f>
        <v>3873322.1722944002</v>
      </c>
      <c r="AE74" s="413">
        <f>IF(AC74-AD74&gt;AC74*$AE$4,AC74-AD74,AC74*$AE$4)</f>
        <v>5112837.0277056005</v>
      </c>
      <c r="AF74" s="16">
        <f>IF(AC74=0,0,ROUND(AE74/AC74,4))</f>
        <v>0.56899999999999995</v>
      </c>
      <c r="AG74" s="402">
        <f>U74+AE74</f>
        <v>24918386.027705602</v>
      </c>
      <c r="AH74" s="14">
        <f>ROUND(AG74/C74,0)</f>
        <v>4914</v>
      </c>
      <c r="AI74" s="402">
        <f>'Table 4 Level 3'!O72</f>
        <v>688384</v>
      </c>
      <c r="AJ74" s="14">
        <f t="shared" si="66"/>
        <v>135.74916190100572</v>
      </c>
      <c r="AK74" s="402">
        <f>AI74+AG74</f>
        <v>25606770.027705602</v>
      </c>
      <c r="AL74" s="14">
        <f t="shared" si="67"/>
        <v>5049.6489898847567</v>
      </c>
      <c r="AM74" s="532">
        <f>'Table 4 Level 3'!R72</f>
        <v>4316812.9440000001</v>
      </c>
      <c r="AN74" s="533">
        <f>AM74/C74</f>
        <v>851.27449102741082</v>
      </c>
      <c r="AO74" s="402">
        <f>AG74+AM74</f>
        <v>29235198.971705601</v>
      </c>
      <c r="AP74" s="14">
        <f>AO74/C74</f>
        <v>5765.174319011162</v>
      </c>
      <c r="AQ74" s="16">
        <f>AO74/AW74</f>
        <v>0.65190656028876248</v>
      </c>
      <c r="AR74" s="403">
        <f>RANK(AQ74,$AQ$8:$AQ$76)</f>
        <v>35</v>
      </c>
      <c r="AS74" s="14">
        <f>ROUND(AC74+T74,2)</f>
        <v>15610490.199999999</v>
      </c>
      <c r="AT74" s="14">
        <f t="shared" si="68"/>
        <v>3078.38</v>
      </c>
      <c r="AU74" s="403">
        <f>RANK(AT74,$AT$8:$AT$76)</f>
        <v>37</v>
      </c>
      <c r="AV74" s="16">
        <f>AS74/AW74</f>
        <v>0.34809343971123746</v>
      </c>
      <c r="AW74" s="403">
        <f>AS74+AO74</f>
        <v>44845689.171705604</v>
      </c>
      <c r="AX74" s="404">
        <f t="shared" si="69"/>
        <v>8843.5592923891945</v>
      </c>
      <c r="AY74" s="403">
        <f>RANK(AX74,$AX$8:$AX$76)</f>
        <v>28</v>
      </c>
      <c r="AZ74" s="14">
        <v>27824044.385724001</v>
      </c>
      <c r="BA74" s="288">
        <f>AO74-AZ74</f>
        <v>1411154.5859816</v>
      </c>
      <c r="BB74" s="288">
        <f>U74</f>
        <v>19805549</v>
      </c>
      <c r="BC74" s="288">
        <v>18885649</v>
      </c>
      <c r="BD74" s="288">
        <f>BB74-BC74</f>
        <v>919900</v>
      </c>
      <c r="BE74" s="288">
        <f>AE74</f>
        <v>5112837.0277056005</v>
      </c>
      <c r="BF74" s="288">
        <v>4788130.3857240006</v>
      </c>
      <c r="BG74" s="288">
        <f>BE74-BF74</f>
        <v>324706.64198159985</v>
      </c>
      <c r="BH74" s="288">
        <f>Y74</f>
        <v>22375754</v>
      </c>
      <c r="BI74" s="288">
        <v>21423550</v>
      </c>
      <c r="BJ74" s="288">
        <f>BH74-BI74</f>
        <v>952204</v>
      </c>
      <c r="BK74" s="360">
        <f>C74</f>
        <v>5071</v>
      </c>
      <c r="BL74" s="360">
        <v>4870</v>
      </c>
      <c r="BM74" s="1002">
        <f>BK74-BL74</f>
        <v>201</v>
      </c>
      <c r="BN74" s="360">
        <f>P74</f>
        <v>6856</v>
      </c>
      <c r="BO74" s="360">
        <v>6629</v>
      </c>
      <c r="BP74" s="1002">
        <f>BN74-BO74</f>
        <v>227</v>
      </c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</row>
    <row r="75" spans="1:148">
      <c r="A75" s="103">
        <v>68</v>
      </c>
      <c r="B75" s="81" t="s">
        <v>31</v>
      </c>
      <c r="C75" s="81">
        <f>'Table 8 2.1.12 MFP Funded'!AD71</f>
        <v>1772</v>
      </c>
      <c r="D75" s="81">
        <f>'[2]totalled for Table 3'!$AD71</f>
        <v>1405</v>
      </c>
      <c r="E75" s="81">
        <f t="shared" si="54"/>
        <v>309</v>
      </c>
      <c r="F75" s="81">
        <f>'[3]Units-Corrected_for Table 3'!$T79</f>
        <v>607</v>
      </c>
      <c r="G75" s="81">
        <f t="shared" si="55"/>
        <v>36</v>
      </c>
      <c r="H75" s="81">
        <f>[4]Disabling_Exceptionalities!$Z73</f>
        <v>219</v>
      </c>
      <c r="I75" s="81">
        <f>ROUND($I$4*H75,0)</f>
        <v>329</v>
      </c>
      <c r="J75" s="81">
        <f>[4]GiftedTalented!$AA73</f>
        <v>1</v>
      </c>
      <c r="K75" s="13">
        <f>ROUND($K$4*J75,0)</f>
        <v>1</v>
      </c>
      <c r="L75" s="13">
        <f t="shared" si="56"/>
        <v>5728</v>
      </c>
      <c r="M75" s="65">
        <f>ROUND(L75/$M$4,5)</f>
        <v>0.15275</v>
      </c>
      <c r="N75" s="13">
        <f xml:space="preserve"> ROUND(C75*M75,0)</f>
        <v>271</v>
      </c>
      <c r="O75" s="13">
        <f>E75+G75+I75+K75+N75</f>
        <v>946</v>
      </c>
      <c r="P75" s="13">
        <f>O75+C75</f>
        <v>2718</v>
      </c>
      <c r="Q75" s="398">
        <f>$Q$4</f>
        <v>3855</v>
      </c>
      <c r="R75" s="398">
        <f>ROUND(P75*Q75,0)</f>
        <v>10477890</v>
      </c>
      <c r="S75" s="398">
        <f>'Table 6 (Local Deduct Calc.)'!J76</f>
        <v>2188666</v>
      </c>
      <c r="T75" s="398">
        <f>IF((S75&gt;R75*$T$4),R75*$T$4,S75)</f>
        <v>2188666</v>
      </c>
      <c r="U75" s="399">
        <f>R75-T75</f>
        <v>8289224</v>
      </c>
      <c r="V75" s="400">
        <f>ROUND(U75/R75,4)</f>
        <v>0.79110000000000003</v>
      </c>
      <c r="W75" s="400">
        <f>ROUND(T75/R75,4)</f>
        <v>0.2089</v>
      </c>
      <c r="X75" s="401">
        <f>T75/C75</f>
        <v>1235.1388261851016</v>
      </c>
      <c r="Y75" s="398">
        <f>'Table 7 Local Revenue'!AQ75</f>
        <v>5087485</v>
      </c>
      <c r="Z75" s="398">
        <f>IF(Y75-T75&gt;0,Y75-T75,0)</f>
        <v>2898819</v>
      </c>
      <c r="AA75" s="288">
        <f>IF(Y75-T75&lt;0,Y75-T75,0)</f>
        <v>0</v>
      </c>
      <c r="AB75" s="14">
        <f>R75*$AB$4</f>
        <v>3562482.6</v>
      </c>
      <c r="AC75" s="14">
        <f>IF(Z75&lt;AB75,Z75,AB75)</f>
        <v>2898819</v>
      </c>
      <c r="AD75" s="398">
        <f>IF(AC75&gt;0,AC75*(W75*$AD$4),0)</f>
        <v>1041568.857252</v>
      </c>
      <c r="AE75" s="402">
        <f>IF(AC75-AD75&gt;AC75*$AE$4,AC75-AD75,AC75*$AE$4)</f>
        <v>1857250.1427480001</v>
      </c>
      <c r="AF75" s="16">
        <f>IF(AC75=0,0,ROUND(AE75/AC75,4))</f>
        <v>0.64070000000000005</v>
      </c>
      <c r="AG75" s="402">
        <f>U75+AE75</f>
        <v>10146474.142748</v>
      </c>
      <c r="AH75" s="14">
        <f>ROUND(AG75/C75,0)</f>
        <v>5726</v>
      </c>
      <c r="AI75" s="402">
        <f>'Table 4 Level 3'!O73</f>
        <v>240547</v>
      </c>
      <c r="AJ75" s="14">
        <f t="shared" si="66"/>
        <v>135.74887133182844</v>
      </c>
      <c r="AK75" s="402">
        <f>AI75+AG75</f>
        <v>10387021.142748</v>
      </c>
      <c r="AL75" s="14">
        <f t="shared" si="67"/>
        <v>5861.7500805575619</v>
      </c>
      <c r="AM75" s="532">
        <f>'Table 4 Level 3'!R73</f>
        <v>1655444.0500000003</v>
      </c>
      <c r="AN75" s="533">
        <f>AM75/C75</f>
        <v>934.22350451467287</v>
      </c>
      <c r="AO75" s="402">
        <f>AG75+AM75</f>
        <v>11801918.192748001</v>
      </c>
      <c r="AP75" s="14">
        <f>AO75/C75</f>
        <v>6660.2247137404065</v>
      </c>
      <c r="AQ75" s="16">
        <f>AO75/AW75</f>
        <v>0.69877650844498318</v>
      </c>
      <c r="AR75" s="403">
        <f>RANK(AQ75,$AQ$8:$AQ$76)</f>
        <v>19</v>
      </c>
      <c r="AS75" s="14">
        <f>ROUND(AC75+T75,2)</f>
        <v>5087485</v>
      </c>
      <c r="AT75" s="14">
        <f t="shared" si="68"/>
        <v>2871.04</v>
      </c>
      <c r="AU75" s="403">
        <f>RANK(AT75,$AT$8:$AT$76)</f>
        <v>45</v>
      </c>
      <c r="AV75" s="16">
        <f>AS75/AW75</f>
        <v>0.30122349155501671</v>
      </c>
      <c r="AW75" s="403">
        <f>AS75+AO75</f>
        <v>16889403.192748003</v>
      </c>
      <c r="AX75" s="404">
        <f t="shared" si="69"/>
        <v>9531.2659101286699</v>
      </c>
      <c r="AY75" s="403">
        <f>RANK(AX75,$AX$8:$AX$76)</f>
        <v>8</v>
      </c>
      <c r="AZ75" s="14">
        <v>12000034.771544</v>
      </c>
      <c r="BA75" s="288">
        <f>AO75-AZ75</f>
        <v>-198116.57879599929</v>
      </c>
      <c r="BB75" s="288">
        <f>U75</f>
        <v>8289224</v>
      </c>
      <c r="BC75" s="288">
        <v>8504787</v>
      </c>
      <c r="BD75" s="288">
        <f>BB75-BC75</f>
        <v>-215563</v>
      </c>
      <c r="BE75" s="288">
        <f>AE75</f>
        <v>1857250.1427480001</v>
      </c>
      <c r="BF75" s="288">
        <v>1808900.7715440001</v>
      </c>
      <c r="BG75" s="288">
        <f>BE75-BF75</f>
        <v>48349.371203999966</v>
      </c>
      <c r="BH75" s="288">
        <f>Y75</f>
        <v>5087485</v>
      </c>
      <c r="BI75" s="288">
        <v>4962639</v>
      </c>
      <c r="BJ75" s="288">
        <f>BH75-BI75</f>
        <v>124846</v>
      </c>
      <c r="BK75" s="81">
        <f>C75</f>
        <v>1772</v>
      </c>
      <c r="BL75" s="81">
        <v>1803</v>
      </c>
      <c r="BM75" s="998">
        <f>BK75-BL75</f>
        <v>-31</v>
      </c>
      <c r="BN75" s="81">
        <f>P75</f>
        <v>2718</v>
      </c>
      <c r="BO75" s="81">
        <v>2771</v>
      </c>
      <c r="BP75" s="998">
        <f>BN75-BO75</f>
        <v>-53</v>
      </c>
    </row>
    <row r="76" spans="1:148">
      <c r="A76" s="104">
        <v>69</v>
      </c>
      <c r="B76" s="82" t="s">
        <v>235</v>
      </c>
      <c r="C76" s="81">
        <f>'Table 8 2.1.12 MFP Funded'!AD72</f>
        <v>3943</v>
      </c>
      <c r="D76" s="82">
        <f>'[2]totalled for Table 3'!$AD72</f>
        <v>1984</v>
      </c>
      <c r="E76" s="82">
        <f t="shared" si="54"/>
        <v>436</v>
      </c>
      <c r="F76" s="82">
        <f>'[3]Units-Corrected_for Table 3'!$T80</f>
        <v>1304.5</v>
      </c>
      <c r="G76" s="82">
        <f t="shared" si="55"/>
        <v>78</v>
      </c>
      <c r="H76" s="82">
        <f>[4]Disabling_Exceptionalities!$Z74</f>
        <v>268</v>
      </c>
      <c r="I76" s="82">
        <f>ROUND($I$4*H76,0)</f>
        <v>402</v>
      </c>
      <c r="J76" s="82">
        <f>[4]GiftedTalented!$AA74</f>
        <v>218</v>
      </c>
      <c r="K76" s="19">
        <f>ROUND($K$4*J76,0)</f>
        <v>131</v>
      </c>
      <c r="L76" s="19">
        <f t="shared" si="56"/>
        <v>3557</v>
      </c>
      <c r="M76" s="66">
        <f>ROUND(L76/$M$4,5)</f>
        <v>9.4850000000000004E-2</v>
      </c>
      <c r="N76" s="13">
        <f xml:space="preserve"> ROUND(C76*M76,0)</f>
        <v>374</v>
      </c>
      <c r="O76" s="19">
        <f>E76+G76+I76+K76+N76</f>
        <v>1421</v>
      </c>
      <c r="P76" s="19">
        <f>O76+C76</f>
        <v>5364</v>
      </c>
      <c r="Q76" s="398">
        <f>$Q$4</f>
        <v>3855</v>
      </c>
      <c r="R76" s="398">
        <f>ROUND(P76*Q76,0)</f>
        <v>20678220</v>
      </c>
      <c r="S76" s="398">
        <f>'Table 6 (Local Deduct Calc.)'!J77</f>
        <v>4117049</v>
      </c>
      <c r="T76" s="398">
        <f>IF((S76&gt;R76*$T$4),R76*$T$4,S76)</f>
        <v>4117049</v>
      </c>
      <c r="U76" s="399">
        <f>R76-T76</f>
        <v>16561171</v>
      </c>
      <c r="V76" s="400">
        <f>ROUND(U76/R76,4)</f>
        <v>0.80089999999999995</v>
      </c>
      <c r="W76" s="400">
        <f>ROUND(T76/R76,4)</f>
        <v>0.1991</v>
      </c>
      <c r="X76" s="401">
        <f>T76/C76</f>
        <v>1044.1412629977174</v>
      </c>
      <c r="Y76" s="398">
        <f>'Table 7 Local Revenue'!AQ76</f>
        <v>13229458</v>
      </c>
      <c r="Z76" s="398">
        <f>IF(Y76-T76&gt;0,Y76-T76,0)</f>
        <v>9112409</v>
      </c>
      <c r="AA76" s="288">
        <f>IF(Y76-T76&lt;0,Y76-T76,0)</f>
        <v>0</v>
      </c>
      <c r="AB76" s="14">
        <f>R76*$AB$4</f>
        <v>7030594.8000000007</v>
      </c>
      <c r="AC76" s="14">
        <f>IF(Z76&lt;AB76,Z76,AB76)</f>
        <v>7030594.8000000007</v>
      </c>
      <c r="AD76" s="398">
        <f>IF(AC76&gt;0,AC76*(W76*$AD$4),0)</f>
        <v>2407641.2504496002</v>
      </c>
      <c r="AE76" s="402">
        <f>IF(AC76-AD76&gt;AC76*$AE$4,AC76-AD76,AC76*$AE$4)</f>
        <v>4622953.549550401</v>
      </c>
      <c r="AF76" s="16">
        <f>IF(AC76=0,0,ROUND(AE76/AC76,4))</f>
        <v>0.65749999999999997</v>
      </c>
      <c r="AG76" s="402">
        <f>U76+AE76</f>
        <v>21184124.549550399</v>
      </c>
      <c r="AH76" s="14">
        <f>ROUND(AG76/C76,0)</f>
        <v>5373</v>
      </c>
      <c r="AI76" s="402">
        <f>'Table 4 Level 3'!O74</f>
        <v>535259</v>
      </c>
      <c r="AJ76" s="14">
        <f t="shared" si="66"/>
        <v>135.74917575450164</v>
      </c>
      <c r="AK76" s="410">
        <f>AI76+AG76</f>
        <v>21719383.549550399</v>
      </c>
      <c r="AL76" s="20">
        <f t="shared" si="67"/>
        <v>5508.3397285189958</v>
      </c>
      <c r="AM76" s="532">
        <f>'Table 4 Level 3'!R74</f>
        <v>3316939.5729999994</v>
      </c>
      <c r="AN76" s="533">
        <f>AM76/C76</f>
        <v>841.22231118437719</v>
      </c>
      <c r="AO76" s="410">
        <f>AG76+AM76</f>
        <v>24501064.122550398</v>
      </c>
      <c r="AP76" s="20">
        <f>AO76/C76</f>
        <v>6213.8128639488714</v>
      </c>
      <c r="AQ76" s="16">
        <f>AO76/AW76</f>
        <v>0.68729178560358695</v>
      </c>
      <c r="AR76" s="403">
        <f>RANK(AQ76,$AQ$8:$AQ$76)</f>
        <v>23</v>
      </c>
      <c r="AS76" s="14">
        <f>ROUND(AC76+T76,2)</f>
        <v>11147643.800000001</v>
      </c>
      <c r="AT76" s="14">
        <f t="shared" si="68"/>
        <v>2827.2</v>
      </c>
      <c r="AU76" s="403">
        <f>RANK(AT76,$AT$8:$AT$76)</f>
        <v>47</v>
      </c>
      <c r="AV76" s="16">
        <f>AS76/AW76</f>
        <v>0.31270821439641316</v>
      </c>
      <c r="AW76" s="403">
        <f>AS76+AO76</f>
        <v>35648707.922550395</v>
      </c>
      <c r="AX76" s="404">
        <f t="shared" si="69"/>
        <v>9041.0113929876734</v>
      </c>
      <c r="AY76" s="403">
        <f>RANK(AX76,$AX$8:$AX$76)</f>
        <v>22</v>
      </c>
      <c r="AZ76" s="14">
        <v>24120286.459590398</v>
      </c>
      <c r="BA76" s="289">
        <f>AO76-AZ76</f>
        <v>380777.66296000034</v>
      </c>
      <c r="BB76" s="289">
        <f>U76</f>
        <v>16561171</v>
      </c>
      <c r="BC76" s="289">
        <v>16312598</v>
      </c>
      <c r="BD76" s="289">
        <f>BB76-BC76</f>
        <v>248573</v>
      </c>
      <c r="BE76" s="289">
        <f>AE76</f>
        <v>4622953.549550401</v>
      </c>
      <c r="BF76" s="289">
        <v>4530414.4595903996</v>
      </c>
      <c r="BG76" s="289">
        <f>BE76-BF76</f>
        <v>92539.089960001409</v>
      </c>
      <c r="BH76" s="289">
        <f>Y76</f>
        <v>13229458</v>
      </c>
      <c r="BI76" s="289">
        <v>11640732</v>
      </c>
      <c r="BJ76" s="289">
        <f>BH76-BI76</f>
        <v>1588726</v>
      </c>
      <c r="BK76" s="81">
        <f>C76</f>
        <v>3943</v>
      </c>
      <c r="BL76" s="81">
        <v>3891</v>
      </c>
      <c r="BM76" s="998">
        <f>BK76-BL76</f>
        <v>52</v>
      </c>
      <c r="BN76" s="81">
        <f>P76</f>
        <v>5364</v>
      </c>
      <c r="BO76" s="81">
        <v>5308</v>
      </c>
      <c r="BP76" s="998">
        <f>BN76-BO76</f>
        <v>56</v>
      </c>
    </row>
    <row r="77" spans="1:148" ht="13.5" thickBot="1">
      <c r="A77" s="105"/>
      <c r="B77" s="106" t="s">
        <v>98</v>
      </c>
      <c r="C77" s="107">
        <f>SUM(C8:C76)</f>
        <v>676830</v>
      </c>
      <c r="D77" s="107">
        <f t="shared" ref="D77:L77" si="70">SUM(D8:D76)</f>
        <v>460432</v>
      </c>
      <c r="E77" s="107">
        <f t="shared" si="70"/>
        <v>101295</v>
      </c>
      <c r="F77" s="107">
        <f t="shared" si="70"/>
        <v>214850</v>
      </c>
      <c r="G77" s="107">
        <f t="shared" si="70"/>
        <v>12888</v>
      </c>
      <c r="H77" s="107">
        <f t="shared" si="70"/>
        <v>82376</v>
      </c>
      <c r="I77" s="107">
        <f t="shared" si="70"/>
        <v>123582</v>
      </c>
      <c r="J77" s="107">
        <f t="shared" si="70"/>
        <v>28415</v>
      </c>
      <c r="K77" s="107">
        <f t="shared" si="70"/>
        <v>17047</v>
      </c>
      <c r="L77" s="107">
        <f t="shared" si="70"/>
        <v>179886</v>
      </c>
      <c r="M77" s="107"/>
      <c r="N77" s="107">
        <f>SUM(N8:N76)</f>
        <v>13241</v>
      </c>
      <c r="O77" s="107">
        <f>SUM(O8:O76)</f>
        <v>268053</v>
      </c>
      <c r="P77" s="107">
        <f>SUM(P8:P76)</f>
        <v>944883</v>
      </c>
      <c r="Q77" s="414">
        <f>$Q$4</f>
        <v>3855</v>
      </c>
      <c r="R77" s="415">
        <f>SUM(R8:R76)</f>
        <v>3642523965</v>
      </c>
      <c r="S77" s="415">
        <f>SUM(S8:S76)</f>
        <v>1295739860.5</v>
      </c>
      <c r="T77" s="415">
        <f>SUM(T8:T76)</f>
        <v>1274976555</v>
      </c>
      <c r="U77" s="416">
        <f>SUM(U8:U76)</f>
        <v>2367547410</v>
      </c>
      <c r="V77" s="417">
        <f>ROUND(U77/R77,4)</f>
        <v>0.65</v>
      </c>
      <c r="W77" s="418">
        <f>ROUND(T77/R77,4)</f>
        <v>0.35</v>
      </c>
      <c r="X77" s="419">
        <f>T77/C77</f>
        <v>1883.7471078409644</v>
      </c>
      <c r="Y77" s="415">
        <f t="shared" ref="Y77:AE77" si="71">SUM(Y8:Y76)</f>
        <v>2990718502.5</v>
      </c>
      <c r="Z77" s="415">
        <f t="shared" si="71"/>
        <v>1714983829.5</v>
      </c>
      <c r="AA77" s="415">
        <f t="shared" si="71"/>
        <v>0</v>
      </c>
      <c r="AB77" s="420">
        <f t="shared" si="71"/>
        <v>1238458148.0999999</v>
      </c>
      <c r="AC77" s="420">
        <f t="shared" si="71"/>
        <v>1098298863.3000002</v>
      </c>
      <c r="AD77" s="414">
        <f t="shared" si="71"/>
        <v>693051682.82218647</v>
      </c>
      <c r="AE77" s="421">
        <f t="shared" si="71"/>
        <v>415212961.69691807</v>
      </c>
      <c r="AF77" s="212">
        <f>IF(AC77=0,0,ROUND(AE77/AC77,4))</f>
        <v>0.37809999999999999</v>
      </c>
      <c r="AG77" s="424">
        <f>SUM(AG8:AG76)</f>
        <v>2782760371.6969171</v>
      </c>
      <c r="AH77" s="423">
        <f>ROUND(AG77/C77,0)</f>
        <v>4111</v>
      </c>
      <c r="AI77" s="424">
        <f>SUM(AI8:AI76)</f>
        <v>145116239</v>
      </c>
      <c r="AJ77" s="422">
        <f t="shared" si="66"/>
        <v>214.40574294874637</v>
      </c>
      <c r="AK77" s="424">
        <f>SUM(AK8:AK76)</f>
        <v>2927876610.6969171</v>
      </c>
      <c r="AL77" s="422">
        <f t="shared" si="67"/>
        <v>4325.8670725247357</v>
      </c>
      <c r="AM77" s="424">
        <f>SUM(AM8:AM76)</f>
        <v>622165098.84266102</v>
      </c>
      <c r="AN77" s="422">
        <f>AM77/C77</f>
        <v>919.23392704617265</v>
      </c>
      <c r="AO77" s="424">
        <f>SUM(AO8:AO76)</f>
        <v>3404925470.5395784</v>
      </c>
      <c r="AP77" s="422">
        <f>AO77/C77</f>
        <v>5030.6952566221626</v>
      </c>
      <c r="AQ77" s="425">
        <f>AO77/AW77</f>
        <v>0.58927087099309594</v>
      </c>
      <c r="AR77" s="423"/>
      <c r="AS77" s="423">
        <f>SUM(AS8:AS76)</f>
        <v>2373275418.3000002</v>
      </c>
      <c r="AT77" s="422">
        <f t="shared" si="68"/>
        <v>3506.46</v>
      </c>
      <c r="AU77" s="422"/>
      <c r="AV77" s="212">
        <f>AS77/AW77</f>
        <v>0.41072912900690439</v>
      </c>
      <c r="AW77" s="422">
        <f>SUM(AW8:AW76)</f>
        <v>5778200888.8395767</v>
      </c>
      <c r="AX77" s="415">
        <f t="shared" si="69"/>
        <v>8537.1524442468217</v>
      </c>
      <c r="AY77" s="422"/>
      <c r="AZ77" s="422">
        <f t="shared" ref="AZ77:BJ77" si="72">SUM(AZ8:AZ76)</f>
        <v>3331014473.4630613</v>
      </c>
      <c r="BA77" s="422">
        <f t="shared" si="72"/>
        <v>73910997.076516896</v>
      </c>
      <c r="BB77" s="422">
        <f t="shared" si="72"/>
        <v>2367547410</v>
      </c>
      <c r="BC77" s="422">
        <f t="shared" si="72"/>
        <v>2316995202.5</v>
      </c>
      <c r="BD77" s="415">
        <f t="shared" si="72"/>
        <v>50552207.5</v>
      </c>
      <c r="BE77" s="422">
        <f t="shared" si="72"/>
        <v>415212961.69691807</v>
      </c>
      <c r="BF77" s="422">
        <f t="shared" si="72"/>
        <v>399856216.25968516</v>
      </c>
      <c r="BG77" s="415">
        <f t="shared" si="72"/>
        <v>15356745.437232796</v>
      </c>
      <c r="BH77" s="415">
        <f t="shared" si="72"/>
        <v>2990718502.5</v>
      </c>
      <c r="BI77" s="415">
        <f t="shared" si="72"/>
        <v>2855993315.5</v>
      </c>
      <c r="BJ77" s="415">
        <f t="shared" si="72"/>
        <v>134725187</v>
      </c>
      <c r="BK77" s="165">
        <f t="shared" ref="BK77:BP77" si="73">SUM(BK8:BK76)</f>
        <v>676830</v>
      </c>
      <c r="BL77" s="165">
        <f t="shared" si="73"/>
        <v>661517</v>
      </c>
      <c r="BM77" s="1003">
        <f t="shared" si="73"/>
        <v>15313</v>
      </c>
      <c r="BN77" s="165">
        <f t="shared" si="73"/>
        <v>944883</v>
      </c>
      <c r="BO77" s="165">
        <f t="shared" si="73"/>
        <v>924654</v>
      </c>
      <c r="BP77" s="1003">
        <f t="shared" si="73"/>
        <v>20229</v>
      </c>
    </row>
    <row r="78" spans="1:148" ht="12.75" customHeight="1" thickTop="1">
      <c r="A78" s="108"/>
      <c r="B78" s="202"/>
      <c r="C78" s="173"/>
      <c r="D78" s="109"/>
      <c r="E78" s="110"/>
      <c r="F78" s="173"/>
      <c r="G78" s="109"/>
      <c r="H78" s="109"/>
      <c r="I78" s="109"/>
      <c r="J78" s="109"/>
      <c r="O78" s="5"/>
      <c r="P78" s="5"/>
      <c r="S78" s="2"/>
      <c r="T78" s="2"/>
      <c r="U78" s="6"/>
      <c r="V78" s="2"/>
      <c r="W78" s="2"/>
      <c r="X78" s="2"/>
      <c r="Y78" s="2"/>
      <c r="AA78" s="2"/>
      <c r="AB78" s="2"/>
      <c r="AC78" s="2"/>
      <c r="AD78" s="2"/>
      <c r="AE78" s="2"/>
      <c r="AF78" s="2"/>
      <c r="AH78" s="2"/>
      <c r="AX78" s="426"/>
      <c r="AY78" s="426"/>
      <c r="AZ78" s="426"/>
      <c r="BA78" s="2"/>
      <c r="BN78" s="778"/>
      <c r="BO78" s="778"/>
      <c r="BP78" s="778"/>
    </row>
    <row r="79" spans="1:148" s="34" customFormat="1" ht="15" hidden="1" customHeight="1" thickTop="1">
      <c r="A79" s="111"/>
      <c r="B79" s="112"/>
      <c r="C79" s="69"/>
      <c r="D79" s="281">
        <f>D76/C76</f>
        <v>0.50317017499365968</v>
      </c>
      <c r="E79" s="112"/>
      <c r="F79" s="171"/>
      <c r="G79" s="112"/>
      <c r="H79" s="199"/>
      <c r="I79" s="200"/>
      <c r="J79" s="199"/>
      <c r="N79" s="1705"/>
      <c r="O79" s="1705"/>
      <c r="Q79" s="60"/>
      <c r="R79" s="260">
        <f>R77*0.35</f>
        <v>1274883387.75</v>
      </c>
      <c r="S79" s="261"/>
      <c r="T79" s="261"/>
      <c r="U79" s="262">
        <f>R79/R81</f>
        <v>0.98390381172502328</v>
      </c>
      <c r="V79" s="22"/>
      <c r="W79" s="22"/>
      <c r="X79" s="22"/>
      <c r="Y79" s="22"/>
      <c r="AA79" s="22"/>
      <c r="AB79" s="22"/>
      <c r="AC79" s="22"/>
      <c r="AD79" s="22"/>
      <c r="AE79" s="257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00"/>
      <c r="BC79" s="200"/>
      <c r="BD79" s="200"/>
      <c r="BE79" s="200"/>
    </row>
    <row r="80" spans="1:148" ht="13.5" hidden="1" customHeight="1" thickTop="1">
      <c r="A80" s="108"/>
      <c r="B80" s="109"/>
      <c r="C80" s="206"/>
      <c r="D80" s="172"/>
      <c r="E80" s="205"/>
      <c r="F80" s="109"/>
      <c r="G80" s="109"/>
      <c r="H80" s="140"/>
      <c r="I80" s="201"/>
      <c r="J80" s="140"/>
      <c r="Q80" s="143"/>
      <c r="R80" s="119"/>
      <c r="S80" s="259"/>
      <c r="T80" s="259"/>
      <c r="U80" s="263"/>
      <c r="V80" s="22"/>
      <c r="W80" s="22"/>
      <c r="X80" s="22"/>
      <c r="Y80" s="22"/>
      <c r="AA80" s="22"/>
      <c r="AB80" s="22"/>
      <c r="AC80" s="22"/>
      <c r="AD80" s="22"/>
      <c r="AE80" s="22"/>
      <c r="AF80" s="22"/>
      <c r="AG80" s="258"/>
      <c r="AH80" s="22"/>
      <c r="AI80" s="22"/>
      <c r="AJ80" s="22"/>
      <c r="AK80" s="258"/>
      <c r="AL80" s="258"/>
      <c r="AM80" s="258"/>
      <c r="AN80" s="258"/>
      <c r="AO80" s="258"/>
      <c r="AP80" s="258"/>
      <c r="AQ80" s="258"/>
      <c r="AR80" s="258"/>
      <c r="AS80" s="22"/>
      <c r="AT80" s="258"/>
      <c r="AU80" s="258"/>
      <c r="AV80" s="258"/>
      <c r="AW80" s="258"/>
      <c r="AX80" s="258"/>
      <c r="AY80" s="258"/>
      <c r="AZ80" s="258"/>
      <c r="BA80" s="22"/>
    </row>
    <row r="81" spans="1:53" ht="13.5" hidden="1" customHeight="1" thickTop="1">
      <c r="A81" s="108"/>
      <c r="B81" s="109"/>
      <c r="C81" s="204"/>
      <c r="D81" s="173"/>
      <c r="E81" s="109"/>
      <c r="F81" s="109"/>
      <c r="G81" s="109"/>
      <c r="H81" s="199"/>
      <c r="I81" s="140"/>
      <c r="J81" s="199"/>
      <c r="Q81" s="61"/>
      <c r="R81" s="264">
        <f>'Table 6 (Local Deduct Calc.)'!E78+'Table 6 (Local Deduct Calc.)'!H78+'Table 6 (Local Deduct Calc.)'!I78</f>
        <v>1295739860.5</v>
      </c>
      <c r="S81" s="259" t="s">
        <v>284</v>
      </c>
      <c r="T81" s="259"/>
      <c r="U81" s="265"/>
      <c r="V81" s="22"/>
      <c r="W81" s="22"/>
      <c r="X81" s="22"/>
      <c r="Y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</row>
    <row r="82" spans="1:53" ht="13.5" hidden="1" customHeight="1" thickTop="1">
      <c r="A82" s="108"/>
      <c r="B82" s="109"/>
      <c r="C82" s="204"/>
      <c r="D82" s="109"/>
      <c r="E82" s="109"/>
      <c r="F82" s="109"/>
      <c r="G82" s="109"/>
      <c r="H82" s="140"/>
      <c r="I82" s="140"/>
      <c r="J82" s="140"/>
      <c r="R82" s="119"/>
      <c r="S82" s="259"/>
      <c r="T82" s="259"/>
      <c r="U82" s="265"/>
      <c r="V82" s="22"/>
      <c r="W82" s="22"/>
      <c r="X82" s="22"/>
      <c r="Y82" s="22"/>
      <c r="AA82" s="22"/>
      <c r="AB82" s="22"/>
      <c r="AC82" s="22"/>
      <c r="AD82" s="22"/>
      <c r="AE82" s="22"/>
      <c r="AF82" s="22"/>
      <c r="AG82" s="258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58"/>
      <c r="BA82" s="22"/>
    </row>
    <row r="83" spans="1:53" ht="13.5" hidden="1" customHeight="1" thickTop="1">
      <c r="A83" s="108"/>
      <c r="B83" s="109"/>
      <c r="C83" s="109"/>
      <c r="D83" s="109"/>
      <c r="E83" s="109"/>
      <c r="F83" s="109"/>
      <c r="G83" s="109"/>
      <c r="H83" s="109"/>
      <c r="I83" s="109"/>
      <c r="J83" s="109"/>
      <c r="R83" s="119"/>
      <c r="S83" s="259"/>
      <c r="T83" s="259"/>
      <c r="U83" s="265"/>
      <c r="V83" s="22"/>
      <c r="W83" s="22"/>
      <c r="X83" s="22"/>
      <c r="Y83" s="22"/>
      <c r="AA83" s="22"/>
      <c r="AB83" s="22"/>
      <c r="AC83" s="22"/>
      <c r="AD83" s="22"/>
      <c r="AE83" s="22"/>
      <c r="AF83" s="22"/>
      <c r="AG83" s="258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58"/>
      <c r="BA83" s="22"/>
    </row>
    <row r="84" spans="1:53" ht="21.75" hidden="1" customHeight="1" thickTop="1" thickBot="1">
      <c r="A84" s="108"/>
      <c r="B84" s="109"/>
      <c r="C84" s="140"/>
      <c r="D84" s="294"/>
      <c r="E84" s="294"/>
      <c r="F84" s="294"/>
      <c r="G84" s="294"/>
      <c r="H84" s="140"/>
      <c r="I84" s="140"/>
      <c r="J84" s="140"/>
      <c r="R84" s="266" t="s">
        <v>285</v>
      </c>
      <c r="S84" s="267"/>
      <c r="T84" s="267"/>
      <c r="U84" s="268"/>
    </row>
    <row r="85" spans="1:53" ht="14.25" customHeight="1">
      <c r="A85" s="108"/>
      <c r="B85" s="109"/>
      <c r="C85" s="1694"/>
      <c r="D85" s="1694"/>
      <c r="E85" s="1694"/>
      <c r="F85" s="1694"/>
      <c r="G85" s="808"/>
      <c r="H85" s="1694"/>
      <c r="I85" s="1694"/>
      <c r="J85" s="1694"/>
      <c r="K85" s="1694"/>
      <c r="S85" s="252"/>
      <c r="T85" s="252"/>
      <c r="U85" s="252"/>
    </row>
    <row r="86" spans="1:53" ht="13.5" hidden="1" customHeight="1">
      <c r="A86" s="108"/>
      <c r="B86" s="109"/>
      <c r="C86" s="808"/>
      <c r="D86" s="808"/>
      <c r="E86" s="808"/>
      <c r="F86" s="808"/>
      <c r="G86" s="808"/>
      <c r="H86" s="140"/>
      <c r="I86" s="140"/>
      <c r="J86" s="140"/>
      <c r="S86" s="252"/>
      <c r="T86" s="252"/>
      <c r="U86" s="252"/>
      <c r="Z86" s="620" t="s">
        <v>741</v>
      </c>
    </row>
    <row r="87" spans="1:53" ht="13.5" hidden="1" customHeight="1" thickBot="1">
      <c r="A87" s="108"/>
      <c r="B87" s="109"/>
      <c r="C87" s="172"/>
      <c r="D87" s="140"/>
      <c r="E87" s="294"/>
      <c r="F87" s="294"/>
      <c r="G87" s="294"/>
      <c r="H87" s="140"/>
      <c r="I87" s="140"/>
      <c r="J87" s="140"/>
      <c r="S87" s="252"/>
      <c r="T87" s="252"/>
      <c r="U87" s="252"/>
      <c r="Z87" s="987">
        <v>758118</v>
      </c>
      <c r="AG87" s="6">
        <f>AE77+U77</f>
        <v>2782760371.696918</v>
      </c>
      <c r="AI87" s="23">
        <f>'Table 4 Level 3'!O75</f>
        <v>145116239</v>
      </c>
      <c r="AJ87" s="2"/>
      <c r="AK87" s="426">
        <f>AI77+AG77</f>
        <v>2927876610.6969171</v>
      </c>
      <c r="AL87" s="426"/>
      <c r="AM87" s="426">
        <f>'Table 4 Level 3'!R75</f>
        <v>622165098.84266102</v>
      </c>
      <c r="AN87" s="426"/>
      <c r="AO87" s="424">
        <f>AG77+AM77</f>
        <v>3404925470.539578</v>
      </c>
      <c r="AP87" s="426"/>
      <c r="AQ87" s="426"/>
      <c r="AR87" s="426"/>
      <c r="AS87" s="2"/>
      <c r="AT87" s="426"/>
      <c r="AU87" s="426"/>
      <c r="AV87" s="426"/>
      <c r="AW87" s="422">
        <f>AS77+AO77</f>
        <v>5778200888.8395786</v>
      </c>
    </row>
    <row r="88" spans="1:53" ht="13.5" hidden="1" customHeight="1" thickTop="1">
      <c r="A88" s="108"/>
      <c r="B88" s="109"/>
      <c r="C88" s="109"/>
      <c r="D88" s="109"/>
      <c r="E88" s="109"/>
      <c r="F88" s="109"/>
      <c r="G88" s="109"/>
      <c r="H88" s="109"/>
      <c r="I88" s="109"/>
      <c r="J88" s="109"/>
      <c r="S88" s="252"/>
      <c r="T88" s="252"/>
      <c r="U88" s="252"/>
      <c r="Z88" s="620" t="s">
        <v>742</v>
      </c>
    </row>
    <row r="89" spans="1:53" ht="13.5" hidden="1" customHeight="1">
      <c r="A89" s="298"/>
      <c r="B89" s="140"/>
      <c r="C89" s="488"/>
      <c r="D89" s="140"/>
      <c r="E89" s="140"/>
      <c r="F89" s="140"/>
      <c r="G89" s="140"/>
      <c r="H89" s="140"/>
      <c r="I89" s="140"/>
      <c r="J89" s="140"/>
      <c r="K89" s="64"/>
      <c r="L89" s="64"/>
      <c r="M89" s="487"/>
      <c r="N89" s="64"/>
      <c r="O89" s="64"/>
      <c r="P89" s="64"/>
      <c r="Q89" s="64"/>
      <c r="R89" s="599"/>
      <c r="S89" s="252"/>
      <c r="T89" s="252"/>
      <c r="U89" s="252"/>
      <c r="Z89" s="988" t="s">
        <v>743</v>
      </c>
    </row>
    <row r="90" spans="1:53" ht="13.5" hidden="1" customHeight="1">
      <c r="A90" s="298"/>
      <c r="B90" s="140"/>
      <c r="C90" s="172"/>
      <c r="D90" s="140"/>
      <c r="E90" s="140"/>
      <c r="F90" s="140"/>
      <c r="G90" s="140"/>
      <c r="H90" s="140"/>
      <c r="I90" s="140"/>
      <c r="J90" s="140"/>
      <c r="K90" s="64"/>
      <c r="L90" s="64"/>
      <c r="M90" s="487"/>
      <c r="N90" s="64"/>
      <c r="O90" s="64"/>
      <c r="P90" s="64"/>
      <c r="Q90" s="64"/>
      <c r="R90" s="64"/>
      <c r="S90" s="252"/>
      <c r="T90" s="252"/>
      <c r="U90" s="252"/>
      <c r="AO90" s="237"/>
    </row>
    <row r="91" spans="1:53" ht="13.5" customHeight="1">
      <c r="A91" s="298"/>
      <c r="B91" s="140"/>
      <c r="C91" s="172"/>
      <c r="D91" s="140"/>
      <c r="E91" s="140"/>
      <c r="F91" s="140"/>
      <c r="G91" s="140"/>
      <c r="H91" s="140"/>
      <c r="I91" s="140"/>
      <c r="J91" s="140"/>
      <c r="K91" s="64"/>
      <c r="L91" s="64"/>
      <c r="M91" s="487"/>
      <c r="N91" s="64"/>
      <c r="O91" s="64"/>
      <c r="P91" s="64"/>
      <c r="Q91" s="64"/>
      <c r="R91" s="487"/>
      <c r="S91" s="252"/>
      <c r="T91" s="252"/>
      <c r="U91" s="252"/>
    </row>
    <row r="92" spans="1:53">
      <c r="A92" s="298"/>
      <c r="B92" s="140"/>
      <c r="C92" s="140"/>
      <c r="D92" s="140"/>
      <c r="E92" s="140"/>
      <c r="F92" s="140"/>
      <c r="G92" s="140"/>
      <c r="H92" s="140"/>
      <c r="I92" s="140"/>
      <c r="J92" s="140"/>
      <c r="K92" s="64"/>
      <c r="L92" s="64"/>
      <c r="M92" s="487"/>
      <c r="N92" s="64"/>
      <c r="O92" s="64"/>
      <c r="P92" s="64"/>
      <c r="Q92" s="64"/>
      <c r="R92" s="64"/>
      <c r="S92" s="252"/>
      <c r="T92" s="252"/>
      <c r="U92" s="252"/>
      <c r="Z92" s="7"/>
    </row>
    <row r="93" spans="1:53">
      <c r="A93" s="298"/>
      <c r="B93" s="140"/>
      <c r="C93" s="140"/>
      <c r="D93" s="140"/>
      <c r="E93" s="140"/>
      <c r="F93" s="140"/>
      <c r="G93" s="140"/>
      <c r="H93" s="140"/>
      <c r="I93" s="140"/>
      <c r="J93" s="140"/>
      <c r="K93" s="64"/>
      <c r="L93" s="64"/>
      <c r="M93" s="487"/>
      <c r="N93" s="64"/>
      <c r="O93" s="64"/>
      <c r="P93" s="64"/>
      <c r="Q93" s="64"/>
      <c r="R93" s="64"/>
      <c r="S93" s="252"/>
      <c r="T93" s="252"/>
      <c r="U93" s="252"/>
      <c r="Z93" s="298"/>
    </row>
    <row r="94" spans="1:53">
      <c r="A94" s="298"/>
      <c r="B94" s="172"/>
      <c r="C94" s="140"/>
      <c r="D94" s="140"/>
      <c r="E94" s="140"/>
      <c r="F94" s="140"/>
      <c r="G94" s="140"/>
      <c r="H94" s="140"/>
      <c r="I94" s="140"/>
      <c r="J94" s="140"/>
      <c r="K94" s="64"/>
      <c r="L94" s="64"/>
      <c r="M94" s="487"/>
      <c r="N94" s="64"/>
      <c r="O94" s="64"/>
      <c r="P94" s="64"/>
      <c r="Q94" s="64"/>
      <c r="R94" s="64"/>
      <c r="S94" s="252"/>
      <c r="T94" s="252"/>
      <c r="U94" s="252"/>
      <c r="Z94" s="299"/>
    </row>
    <row r="95" spans="1:53">
      <c r="A95" s="298"/>
      <c r="B95" s="140"/>
      <c r="C95" s="140"/>
      <c r="D95" s="140"/>
      <c r="E95" s="140"/>
      <c r="F95" s="140"/>
      <c r="G95" s="140"/>
      <c r="H95" s="140"/>
      <c r="I95" s="140"/>
      <c r="J95" s="140"/>
      <c r="K95" s="64"/>
      <c r="L95" s="64"/>
      <c r="M95" s="487"/>
      <c r="N95" s="64"/>
      <c r="O95" s="64"/>
      <c r="P95" s="64"/>
      <c r="Q95" s="64"/>
      <c r="R95" s="64"/>
      <c r="S95" s="252"/>
      <c r="T95" s="252"/>
      <c r="U95" s="252"/>
      <c r="Z95" s="299"/>
    </row>
    <row r="96" spans="1:53">
      <c r="A96" s="298"/>
      <c r="B96" s="140"/>
      <c r="C96" s="140"/>
      <c r="D96" s="140"/>
      <c r="E96" s="140"/>
      <c r="F96" s="140"/>
      <c r="G96" s="140"/>
      <c r="H96" s="140"/>
      <c r="I96" s="140"/>
      <c r="J96" s="140"/>
      <c r="K96" s="64"/>
      <c r="L96" s="64"/>
      <c r="M96" s="487"/>
      <c r="N96" s="64"/>
      <c r="O96" s="64"/>
      <c r="P96" s="64"/>
      <c r="Q96" s="64"/>
      <c r="R96" s="64"/>
      <c r="S96" s="252"/>
      <c r="T96" s="252"/>
      <c r="U96" s="252"/>
    </row>
    <row r="97" spans="1:148" s="64" customFormat="1">
      <c r="A97" s="298"/>
      <c r="B97" s="140"/>
      <c r="C97" s="140"/>
      <c r="D97" s="140"/>
      <c r="E97" s="140"/>
      <c r="F97" s="140"/>
      <c r="G97" s="140"/>
      <c r="H97" s="140"/>
      <c r="I97" s="140"/>
      <c r="J97" s="140"/>
      <c r="M97" s="487"/>
      <c r="S97" s="252"/>
      <c r="T97" s="252"/>
      <c r="U97" s="252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80"/>
      <c r="BC97" s="180"/>
      <c r="BD97" s="180"/>
      <c r="BE97" s="180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</row>
    <row r="98" spans="1:148" s="489" customFormat="1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M98" s="490"/>
      <c r="S98" s="491"/>
      <c r="T98" s="491"/>
      <c r="U98" s="491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  <c r="AI98" s="298"/>
      <c r="AJ98" s="298"/>
      <c r="AK98" s="298"/>
      <c r="AL98" s="298"/>
      <c r="AM98" s="298"/>
      <c r="AN98" s="298"/>
      <c r="AO98" s="298"/>
      <c r="AP98" s="298"/>
      <c r="AQ98" s="298"/>
      <c r="AR98" s="298"/>
      <c r="AS98" s="298"/>
      <c r="AT98" s="298"/>
      <c r="AU98" s="298"/>
      <c r="AV98" s="298"/>
      <c r="AW98" s="298"/>
      <c r="AX98" s="298"/>
      <c r="AY98" s="298"/>
      <c r="AZ98" s="298"/>
      <c r="BA98" s="298"/>
      <c r="BB98" s="1193"/>
      <c r="BC98" s="1193"/>
      <c r="BD98" s="1193"/>
      <c r="BE98" s="1193"/>
      <c r="BF98" s="1611"/>
      <c r="BG98" s="1611"/>
      <c r="BH98" s="1611"/>
      <c r="BI98" s="1611"/>
      <c r="BJ98" s="1611"/>
      <c r="BK98" s="1611"/>
      <c r="BL98" s="1611"/>
      <c r="BM98" s="1611"/>
      <c r="BN98" s="1611"/>
      <c r="BO98" s="1611"/>
      <c r="BP98" s="1611"/>
      <c r="BQ98" s="1611"/>
      <c r="BR98" s="1611"/>
      <c r="BS98" s="1611"/>
      <c r="BT98" s="1611"/>
      <c r="BU98" s="1611"/>
      <c r="BV98" s="1611"/>
      <c r="BW98" s="1611"/>
      <c r="BX98" s="1611"/>
      <c r="BY98" s="1611"/>
      <c r="BZ98" s="1611"/>
      <c r="CA98" s="1611"/>
      <c r="CB98" s="1611"/>
      <c r="CC98" s="1611"/>
      <c r="CD98" s="1611"/>
      <c r="CE98" s="1611"/>
      <c r="CF98" s="1611"/>
      <c r="CG98" s="1611"/>
      <c r="CH98" s="1611"/>
      <c r="CI98" s="1611"/>
      <c r="CJ98" s="1611"/>
      <c r="CK98" s="1611"/>
      <c r="CL98" s="1611"/>
      <c r="CM98" s="1611"/>
      <c r="CN98" s="1611"/>
      <c r="CO98" s="1611"/>
      <c r="CP98" s="1611"/>
      <c r="CQ98" s="1611"/>
      <c r="CR98" s="1611"/>
      <c r="CS98" s="1611"/>
      <c r="CT98" s="1611"/>
      <c r="CU98" s="1611"/>
      <c r="CV98" s="1611"/>
      <c r="CW98" s="1611"/>
      <c r="CX98" s="1611"/>
      <c r="CY98" s="1611"/>
      <c r="CZ98" s="1611"/>
      <c r="DA98" s="1611"/>
      <c r="DB98" s="1611"/>
      <c r="DC98" s="1611"/>
      <c r="DD98" s="1611"/>
      <c r="DE98" s="1611"/>
      <c r="DF98" s="1611"/>
      <c r="DG98" s="1611"/>
      <c r="DH98" s="1611"/>
      <c r="DI98" s="1611"/>
      <c r="DJ98" s="1611"/>
      <c r="DK98" s="1611"/>
      <c r="DL98" s="1611"/>
      <c r="DM98" s="1611"/>
      <c r="DN98" s="1611"/>
      <c r="DO98" s="1611"/>
      <c r="DP98" s="1611"/>
      <c r="DQ98" s="1611"/>
      <c r="DR98" s="1611"/>
      <c r="DS98" s="1611"/>
      <c r="DT98" s="1611"/>
      <c r="DU98" s="1611"/>
      <c r="DV98" s="1611"/>
      <c r="DW98" s="1611"/>
      <c r="DX98" s="1611"/>
      <c r="DY98" s="1611"/>
      <c r="DZ98" s="1611"/>
      <c r="EA98" s="1611"/>
      <c r="EB98" s="1611"/>
      <c r="EC98" s="1611"/>
      <c r="ED98" s="1611"/>
      <c r="EE98" s="1611"/>
      <c r="EF98" s="1611"/>
      <c r="EG98" s="1611"/>
      <c r="EH98" s="1611"/>
      <c r="EI98" s="1611"/>
      <c r="EJ98" s="1611"/>
      <c r="EK98" s="1611"/>
      <c r="EL98" s="1611"/>
      <c r="EM98" s="1611"/>
      <c r="EN98" s="1611"/>
      <c r="EO98" s="1611"/>
      <c r="EP98" s="1611"/>
      <c r="EQ98" s="1611"/>
      <c r="ER98" s="1611"/>
    </row>
    <row r="99" spans="1:148" s="64" customFormat="1">
      <c r="A99" s="298"/>
      <c r="B99" s="140"/>
      <c r="C99" s="140"/>
      <c r="D99" s="140"/>
      <c r="E99" s="140"/>
      <c r="F99" s="140"/>
      <c r="G99" s="140"/>
      <c r="H99" s="140"/>
      <c r="I99" s="140"/>
      <c r="J99" s="140"/>
      <c r="M99" s="487"/>
      <c r="S99" s="252"/>
      <c r="T99" s="252"/>
      <c r="U99" s="252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80"/>
      <c r="BC99" s="180"/>
      <c r="BD99" s="180"/>
      <c r="BE99" s="180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</row>
    <row r="100" spans="1:148" s="64" customFormat="1">
      <c r="A100" s="298"/>
      <c r="B100" s="172"/>
      <c r="C100" s="140"/>
      <c r="D100" s="140"/>
      <c r="E100" s="140"/>
      <c r="F100" s="140"/>
      <c r="G100" s="140"/>
      <c r="H100" s="140"/>
      <c r="I100" s="140"/>
      <c r="J100" s="140"/>
      <c r="M100" s="487"/>
      <c r="S100" s="252"/>
      <c r="T100" s="252"/>
      <c r="U100" s="252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80"/>
      <c r="BC100" s="180"/>
      <c r="BD100" s="180"/>
      <c r="BE100" s="180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</row>
    <row r="101" spans="1:148" s="64" customFormat="1" ht="13.5" customHeight="1">
      <c r="A101" s="298"/>
      <c r="B101" s="140"/>
      <c r="C101" s="140"/>
      <c r="D101" s="140"/>
      <c r="E101" s="140"/>
      <c r="F101" s="140"/>
      <c r="G101" s="140"/>
      <c r="H101" s="140"/>
      <c r="I101" s="140"/>
      <c r="J101" s="140"/>
      <c r="M101" s="487"/>
      <c r="S101" s="252"/>
      <c r="T101" s="252"/>
      <c r="U101" s="252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80"/>
      <c r="BC101" s="180"/>
      <c r="BD101" s="180"/>
      <c r="BE101" s="180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</row>
    <row r="102" spans="1:148" s="64" customFormat="1">
      <c r="A102" s="298"/>
      <c r="B102" s="172"/>
      <c r="C102" s="140"/>
      <c r="D102" s="140"/>
      <c r="E102" s="140"/>
      <c r="F102" s="140"/>
      <c r="G102" s="140"/>
      <c r="H102" s="140"/>
      <c r="I102" s="140"/>
      <c r="J102" s="140"/>
      <c r="M102" s="487"/>
      <c r="S102" s="252"/>
      <c r="T102" s="252"/>
      <c r="U102" s="252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80"/>
      <c r="BC102" s="180"/>
      <c r="BD102" s="180"/>
      <c r="BE102" s="180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</row>
    <row r="103" spans="1:148" s="64" customFormat="1">
      <c r="A103" s="298"/>
      <c r="B103" s="140"/>
      <c r="C103" s="140"/>
      <c r="D103" s="140"/>
      <c r="E103" s="140"/>
      <c r="F103" s="140"/>
      <c r="G103" s="140"/>
      <c r="H103" s="140"/>
      <c r="I103" s="140"/>
      <c r="J103" s="140"/>
      <c r="M103" s="487"/>
      <c r="S103" s="252"/>
      <c r="T103" s="252"/>
      <c r="U103" s="252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80"/>
      <c r="BC103" s="180"/>
      <c r="BD103" s="180"/>
      <c r="BE103" s="180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</row>
    <row r="104" spans="1:148" s="64" customFormat="1">
      <c r="A104" s="298"/>
      <c r="B104" s="172"/>
      <c r="C104" s="140"/>
      <c r="D104" s="140"/>
      <c r="E104" s="140"/>
      <c r="F104" s="140"/>
      <c r="G104" s="140"/>
      <c r="H104" s="140"/>
      <c r="I104" s="140"/>
      <c r="J104" s="140"/>
      <c r="M104" s="487"/>
      <c r="S104" s="252"/>
      <c r="T104" s="252"/>
      <c r="U104" s="252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80"/>
      <c r="BC104" s="180"/>
      <c r="BD104" s="180"/>
      <c r="BE104" s="180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</row>
    <row r="105" spans="1:148" s="64" customFormat="1">
      <c r="A105" s="298"/>
      <c r="B105" s="140"/>
      <c r="C105" s="140"/>
      <c r="D105" s="140"/>
      <c r="E105" s="140"/>
      <c r="F105" s="140"/>
      <c r="G105" s="140"/>
      <c r="H105" s="140"/>
      <c r="I105" s="140"/>
      <c r="J105" s="140"/>
      <c r="M105" s="487"/>
      <c r="S105" s="252"/>
      <c r="T105" s="252"/>
      <c r="U105" s="252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80"/>
      <c r="BC105" s="180"/>
      <c r="BD105" s="180"/>
      <c r="BE105" s="180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</row>
    <row r="106" spans="1:148" s="64" customFormat="1">
      <c r="A106" s="298"/>
      <c r="B106" s="172"/>
      <c r="C106" s="140"/>
      <c r="D106" s="140"/>
      <c r="E106" s="140"/>
      <c r="F106" s="140"/>
      <c r="G106" s="140"/>
      <c r="H106" s="140"/>
      <c r="I106" s="140"/>
      <c r="J106" s="140"/>
      <c r="M106" s="487"/>
      <c r="S106" s="252"/>
      <c r="T106" s="252"/>
      <c r="U106" s="252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80"/>
      <c r="BC106" s="180"/>
      <c r="BD106" s="180"/>
      <c r="BE106" s="180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</row>
    <row r="107" spans="1:148" s="64" customFormat="1">
      <c r="A107" s="298"/>
      <c r="B107" s="140"/>
      <c r="C107" s="140"/>
      <c r="D107" s="140"/>
      <c r="E107" s="140"/>
      <c r="F107" s="140"/>
      <c r="G107" s="140"/>
      <c r="H107" s="140"/>
      <c r="I107" s="140"/>
      <c r="J107" s="140"/>
      <c r="M107" s="487"/>
      <c r="S107" s="252"/>
      <c r="T107" s="252"/>
      <c r="U107" s="252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80"/>
      <c r="BC107" s="180"/>
      <c r="BD107" s="180"/>
      <c r="BE107" s="180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</row>
    <row r="108" spans="1:148" s="64" customFormat="1">
      <c r="A108" s="298"/>
      <c r="B108" s="172"/>
      <c r="C108" s="140"/>
      <c r="D108" s="140"/>
      <c r="E108" s="140"/>
      <c r="F108" s="140"/>
      <c r="G108" s="140"/>
      <c r="H108" s="140"/>
      <c r="I108" s="140"/>
      <c r="J108" s="140"/>
      <c r="M108" s="487"/>
      <c r="S108" s="252"/>
      <c r="T108" s="252"/>
      <c r="U108" s="252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80"/>
      <c r="BC108" s="180"/>
      <c r="BD108" s="180"/>
      <c r="BE108" s="180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</row>
    <row r="109" spans="1:148" s="64" customFormat="1">
      <c r="A109" s="298"/>
      <c r="B109" s="140"/>
      <c r="C109" s="140"/>
      <c r="D109" s="140"/>
      <c r="E109" s="140"/>
      <c r="F109" s="140"/>
      <c r="G109" s="140"/>
      <c r="H109" s="140"/>
      <c r="I109" s="140"/>
      <c r="J109" s="140"/>
      <c r="M109" s="487"/>
      <c r="S109" s="252"/>
      <c r="T109" s="252"/>
      <c r="U109" s="252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80"/>
      <c r="BC109" s="180"/>
      <c r="BD109" s="180"/>
      <c r="BE109" s="180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</row>
    <row r="110" spans="1:148" s="64" customFormat="1">
      <c r="A110" s="298"/>
      <c r="B110" s="140"/>
      <c r="C110" s="140"/>
      <c r="D110" s="140"/>
      <c r="E110" s="140"/>
      <c r="F110" s="140"/>
      <c r="G110" s="140"/>
      <c r="H110" s="140"/>
      <c r="I110" s="140"/>
      <c r="J110" s="140"/>
      <c r="M110" s="487"/>
      <c r="S110" s="252"/>
      <c r="T110" s="252"/>
      <c r="U110" s="252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80"/>
      <c r="BC110" s="180"/>
      <c r="BD110" s="180"/>
      <c r="BE110" s="180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</row>
    <row r="111" spans="1:148" s="64" customFormat="1">
      <c r="A111" s="298"/>
      <c r="B111" s="140"/>
      <c r="C111" s="140"/>
      <c r="D111" s="140"/>
      <c r="E111" s="140"/>
      <c r="F111" s="140"/>
      <c r="G111" s="140"/>
      <c r="H111" s="140"/>
      <c r="I111" s="140"/>
      <c r="J111" s="140"/>
      <c r="M111" s="487"/>
      <c r="S111" s="252"/>
      <c r="T111" s="252"/>
      <c r="U111" s="252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80"/>
      <c r="BC111" s="180"/>
      <c r="BD111" s="180"/>
      <c r="BE111" s="180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</row>
    <row r="112" spans="1:148" s="64" customFormat="1">
      <c r="A112" s="298"/>
      <c r="B112" s="140"/>
      <c r="C112" s="140"/>
      <c r="D112" s="140"/>
      <c r="E112" s="140"/>
      <c r="F112" s="140"/>
      <c r="G112" s="140"/>
      <c r="H112" s="140"/>
      <c r="I112" s="140"/>
      <c r="J112" s="140"/>
      <c r="M112" s="487"/>
      <c r="S112" s="252"/>
      <c r="T112" s="252"/>
      <c r="U112" s="252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80"/>
      <c r="BC112" s="180"/>
      <c r="BD112" s="180"/>
      <c r="BE112" s="180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</row>
    <row r="113" spans="1:148" s="64" customFormat="1">
      <c r="A113" s="298"/>
      <c r="B113" s="140"/>
      <c r="C113" s="140"/>
      <c r="D113" s="140"/>
      <c r="E113" s="140"/>
      <c r="F113" s="140"/>
      <c r="G113" s="140"/>
      <c r="H113" s="140"/>
      <c r="I113" s="140"/>
      <c r="J113" s="140"/>
      <c r="M113" s="487"/>
      <c r="S113" s="252"/>
      <c r="T113" s="252"/>
      <c r="U113" s="252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80"/>
      <c r="BC113" s="180"/>
      <c r="BD113" s="180"/>
      <c r="BE113" s="180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</row>
    <row r="114" spans="1:148" s="64" customFormat="1">
      <c r="A114" s="298"/>
      <c r="B114" s="140"/>
      <c r="C114" s="140"/>
      <c r="D114" s="140"/>
      <c r="E114" s="140"/>
      <c r="F114" s="140"/>
      <c r="G114" s="140"/>
      <c r="H114" s="140"/>
      <c r="I114" s="140"/>
      <c r="J114" s="140"/>
      <c r="M114" s="487"/>
      <c r="S114" s="252"/>
      <c r="T114" s="252"/>
      <c r="U114" s="252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80"/>
      <c r="BC114" s="180"/>
      <c r="BD114" s="180"/>
      <c r="BE114" s="180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</row>
    <row r="115" spans="1:148" s="64" customFormat="1">
      <c r="A115" s="298"/>
      <c r="B115" s="140"/>
      <c r="C115" s="140"/>
      <c r="D115" s="140"/>
      <c r="E115" s="140"/>
      <c r="F115" s="140"/>
      <c r="G115" s="140"/>
      <c r="H115" s="140"/>
      <c r="I115" s="140"/>
      <c r="J115" s="140"/>
      <c r="M115" s="487"/>
      <c r="S115" s="252"/>
      <c r="T115" s="252"/>
      <c r="U115" s="252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80"/>
      <c r="BC115" s="180"/>
      <c r="BD115" s="180"/>
      <c r="BE115" s="180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</row>
    <row r="116" spans="1:148" s="64" customFormat="1">
      <c r="A116" s="298"/>
      <c r="B116" s="140"/>
      <c r="C116" s="140"/>
      <c r="D116" s="140"/>
      <c r="E116" s="140"/>
      <c r="F116" s="140"/>
      <c r="G116" s="140"/>
      <c r="H116" s="140"/>
      <c r="I116" s="140"/>
      <c r="J116" s="140"/>
      <c r="M116" s="487"/>
      <c r="S116" s="252"/>
      <c r="T116" s="252"/>
      <c r="U116" s="252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80"/>
      <c r="BC116" s="180"/>
      <c r="BD116" s="180"/>
      <c r="BE116" s="180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</row>
    <row r="117" spans="1:148" s="64" customFormat="1">
      <c r="A117" s="298"/>
      <c r="B117" s="140"/>
      <c r="C117" s="140"/>
      <c r="D117" s="140"/>
      <c r="E117" s="140"/>
      <c r="F117" s="140"/>
      <c r="G117" s="140"/>
      <c r="H117" s="140"/>
      <c r="I117" s="140"/>
      <c r="J117" s="140"/>
      <c r="M117" s="487"/>
      <c r="S117" s="252"/>
      <c r="T117" s="252"/>
      <c r="U117" s="252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80"/>
      <c r="BC117" s="180"/>
      <c r="BD117" s="180"/>
      <c r="BE117" s="180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</row>
    <row r="118" spans="1:148" s="64" customFormat="1">
      <c r="A118" s="298"/>
      <c r="B118" s="140"/>
      <c r="C118" s="140"/>
      <c r="D118" s="140"/>
      <c r="E118" s="140"/>
      <c r="F118" s="140"/>
      <c r="G118" s="140"/>
      <c r="H118" s="140"/>
      <c r="I118" s="140"/>
      <c r="J118" s="140"/>
      <c r="M118" s="487"/>
      <c r="S118" s="252"/>
      <c r="T118" s="252"/>
      <c r="U118" s="252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80"/>
      <c r="BC118" s="180"/>
      <c r="BD118" s="180"/>
      <c r="BE118" s="180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</row>
    <row r="119" spans="1:148" s="64" customFormat="1">
      <c r="A119" s="298"/>
      <c r="B119" s="140"/>
      <c r="C119" s="140"/>
      <c r="D119" s="140"/>
      <c r="E119" s="140"/>
      <c r="F119" s="140"/>
      <c r="G119" s="140"/>
      <c r="H119" s="140"/>
      <c r="I119" s="140"/>
      <c r="J119" s="140"/>
      <c r="M119" s="487"/>
      <c r="S119" s="252"/>
      <c r="T119" s="252"/>
      <c r="U119" s="252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80"/>
      <c r="BC119" s="180"/>
      <c r="BD119" s="180"/>
      <c r="BE119" s="180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</row>
    <row r="120" spans="1:148" s="64" customFormat="1">
      <c r="A120" s="298"/>
      <c r="B120" s="140"/>
      <c r="C120" s="140"/>
      <c r="D120" s="140"/>
      <c r="E120" s="140"/>
      <c r="F120" s="140"/>
      <c r="G120" s="140"/>
      <c r="H120" s="140"/>
      <c r="I120" s="140"/>
      <c r="J120" s="140"/>
      <c r="M120" s="487"/>
      <c r="S120" s="252"/>
      <c r="T120" s="252"/>
      <c r="U120" s="252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80"/>
      <c r="BC120" s="180"/>
      <c r="BD120" s="180"/>
      <c r="BE120" s="180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</row>
    <row r="121" spans="1:148" s="64" customFormat="1">
      <c r="A121" s="298"/>
      <c r="B121" s="140"/>
      <c r="C121" s="140"/>
      <c r="D121" s="140"/>
      <c r="E121" s="140"/>
      <c r="F121" s="140"/>
      <c r="G121" s="140"/>
      <c r="H121" s="140"/>
      <c r="I121" s="140"/>
      <c r="J121" s="140"/>
      <c r="M121" s="487"/>
      <c r="S121" s="252"/>
      <c r="T121" s="252"/>
      <c r="U121" s="252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80"/>
      <c r="BC121" s="180"/>
      <c r="BD121" s="180"/>
      <c r="BE121" s="180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</row>
    <row r="122" spans="1:148" s="64" customFormat="1">
      <c r="A122" s="298"/>
      <c r="B122" s="140"/>
      <c r="C122" s="140"/>
      <c r="D122" s="140"/>
      <c r="E122" s="140"/>
      <c r="F122" s="140"/>
      <c r="G122" s="140"/>
      <c r="H122" s="140"/>
      <c r="I122" s="140"/>
      <c r="J122" s="140"/>
      <c r="M122" s="487"/>
      <c r="S122" s="252"/>
      <c r="T122" s="252"/>
      <c r="U122" s="252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80"/>
      <c r="BC122" s="180"/>
      <c r="BD122" s="180"/>
      <c r="BE122" s="180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</row>
    <row r="123" spans="1:148" s="64" customFormat="1">
      <c r="A123" s="298"/>
      <c r="B123" s="140"/>
      <c r="C123" s="140"/>
      <c r="D123" s="140"/>
      <c r="E123" s="140"/>
      <c r="F123" s="140"/>
      <c r="G123" s="140"/>
      <c r="H123" s="140"/>
      <c r="I123" s="140"/>
      <c r="J123" s="140"/>
      <c r="M123" s="487"/>
      <c r="S123" s="252"/>
      <c r="T123" s="252"/>
      <c r="U123" s="252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80"/>
      <c r="BC123" s="180"/>
      <c r="BD123" s="180"/>
      <c r="BE123" s="180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</row>
    <row r="124" spans="1:148" s="64" customFormat="1">
      <c r="A124" s="298"/>
      <c r="B124" s="140"/>
      <c r="C124" s="140"/>
      <c r="D124" s="140"/>
      <c r="E124" s="140"/>
      <c r="F124" s="140"/>
      <c r="G124" s="140"/>
      <c r="H124" s="140"/>
      <c r="I124" s="140"/>
      <c r="J124" s="140"/>
      <c r="M124" s="487"/>
      <c r="S124" s="252"/>
      <c r="T124" s="252"/>
      <c r="U124" s="252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80"/>
      <c r="BC124" s="180"/>
      <c r="BD124" s="180"/>
      <c r="BE124" s="180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</row>
    <row r="125" spans="1:148" s="64" customFormat="1">
      <c r="A125" s="298"/>
      <c r="B125" s="140"/>
      <c r="C125" s="140"/>
      <c r="D125" s="140"/>
      <c r="E125" s="140"/>
      <c r="F125" s="140"/>
      <c r="G125" s="140"/>
      <c r="H125" s="140"/>
      <c r="I125" s="140"/>
      <c r="J125" s="140"/>
      <c r="M125" s="487"/>
      <c r="S125" s="252"/>
      <c r="T125" s="252"/>
      <c r="U125" s="252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80"/>
      <c r="BC125" s="180"/>
      <c r="BD125" s="180"/>
      <c r="BE125" s="180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</row>
    <row r="126" spans="1:148" s="64" customFormat="1">
      <c r="A126" s="298"/>
      <c r="B126" s="140"/>
      <c r="C126" s="140"/>
      <c r="D126" s="140"/>
      <c r="E126" s="140"/>
      <c r="F126" s="140"/>
      <c r="G126" s="140"/>
      <c r="H126" s="140"/>
      <c r="I126" s="140"/>
      <c r="J126" s="140"/>
      <c r="M126" s="487"/>
      <c r="S126" s="252"/>
      <c r="T126" s="252"/>
      <c r="U126" s="252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80"/>
      <c r="BC126" s="180"/>
      <c r="BD126" s="180"/>
      <c r="BE126" s="180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</row>
    <row r="127" spans="1:148" s="64" customFormat="1">
      <c r="A127" s="298"/>
      <c r="B127" s="140"/>
      <c r="C127" s="140"/>
      <c r="D127" s="140"/>
      <c r="E127" s="140"/>
      <c r="F127" s="140"/>
      <c r="G127" s="140"/>
      <c r="H127" s="140"/>
      <c r="I127" s="140"/>
      <c r="J127" s="140"/>
      <c r="M127" s="487"/>
      <c r="S127" s="252"/>
      <c r="T127" s="252"/>
      <c r="U127" s="252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80"/>
      <c r="BC127" s="180"/>
      <c r="BD127" s="180"/>
      <c r="BE127" s="180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</row>
    <row r="128" spans="1:148" s="64" customFormat="1">
      <c r="A128" s="298"/>
      <c r="B128" s="140"/>
      <c r="C128" s="140"/>
      <c r="D128" s="140"/>
      <c r="E128" s="140"/>
      <c r="F128" s="140"/>
      <c r="G128" s="140"/>
      <c r="H128" s="140"/>
      <c r="I128" s="140"/>
      <c r="J128" s="140"/>
      <c r="M128" s="487"/>
      <c r="S128" s="252"/>
      <c r="T128" s="252"/>
      <c r="U128" s="252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80"/>
      <c r="BC128" s="180"/>
      <c r="BD128" s="180"/>
      <c r="BE128" s="180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</row>
    <row r="129" spans="1:148" s="64" customFormat="1">
      <c r="A129" s="298"/>
      <c r="B129" s="140"/>
      <c r="C129" s="140"/>
      <c r="D129" s="140"/>
      <c r="E129" s="140"/>
      <c r="F129" s="140"/>
      <c r="G129" s="140"/>
      <c r="H129" s="140"/>
      <c r="I129" s="140"/>
      <c r="J129" s="140"/>
      <c r="M129" s="487"/>
      <c r="S129" s="252"/>
      <c r="T129" s="252"/>
      <c r="U129" s="252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80"/>
      <c r="BC129" s="180"/>
      <c r="BD129" s="180"/>
      <c r="BE129" s="180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</row>
    <row r="130" spans="1:148" s="64" customFormat="1">
      <c r="A130" s="298"/>
      <c r="B130" s="140"/>
      <c r="C130" s="140"/>
      <c r="D130" s="140"/>
      <c r="E130" s="140"/>
      <c r="F130" s="140"/>
      <c r="G130" s="140"/>
      <c r="H130" s="140"/>
      <c r="I130" s="140"/>
      <c r="J130" s="140"/>
      <c r="M130" s="487"/>
      <c r="S130" s="252"/>
      <c r="T130" s="252"/>
      <c r="U130" s="252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80"/>
      <c r="BC130" s="180"/>
      <c r="BD130" s="180"/>
      <c r="BE130" s="180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</row>
    <row r="131" spans="1:148" s="64" customFormat="1">
      <c r="A131" s="298"/>
      <c r="B131" s="140"/>
      <c r="C131" s="140"/>
      <c r="D131" s="140"/>
      <c r="E131" s="140"/>
      <c r="F131" s="140"/>
      <c r="G131" s="140"/>
      <c r="H131" s="140"/>
      <c r="I131" s="140"/>
      <c r="J131" s="140"/>
      <c r="M131" s="487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80"/>
      <c r="BC131" s="180"/>
      <c r="BD131" s="180"/>
      <c r="BE131" s="180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</row>
    <row r="132" spans="1:148" s="64" customFormat="1">
      <c r="A132" s="298"/>
      <c r="B132" s="140"/>
      <c r="C132" s="140"/>
      <c r="D132" s="140"/>
      <c r="E132" s="140"/>
      <c r="F132" s="140"/>
      <c r="G132" s="140"/>
      <c r="H132" s="140"/>
      <c r="I132" s="140"/>
      <c r="J132" s="140"/>
      <c r="M132" s="487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80"/>
      <c r="BC132" s="180"/>
      <c r="BD132" s="180"/>
      <c r="BE132" s="180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</row>
    <row r="133" spans="1:148" s="64" customFormat="1">
      <c r="A133" s="298"/>
      <c r="B133" s="140"/>
      <c r="C133" s="140"/>
      <c r="D133" s="140"/>
      <c r="E133" s="140"/>
      <c r="F133" s="140"/>
      <c r="G133" s="140"/>
      <c r="H133" s="140"/>
      <c r="I133" s="140"/>
      <c r="J133" s="140"/>
      <c r="M133" s="487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80"/>
      <c r="BC133" s="180"/>
      <c r="BD133" s="180"/>
      <c r="BE133" s="180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</row>
    <row r="134" spans="1:148" s="64" customFormat="1">
      <c r="A134" s="298"/>
      <c r="B134" s="140"/>
      <c r="C134" s="140"/>
      <c r="D134" s="140"/>
      <c r="E134" s="140"/>
      <c r="F134" s="140"/>
      <c r="G134" s="140"/>
      <c r="H134" s="140"/>
      <c r="I134" s="140"/>
      <c r="J134" s="140"/>
      <c r="M134" s="487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80"/>
      <c r="BC134" s="180"/>
      <c r="BD134" s="180"/>
      <c r="BE134" s="180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</row>
    <row r="135" spans="1:148" s="64" customFormat="1">
      <c r="A135" s="298"/>
      <c r="B135" s="140"/>
      <c r="C135" s="140"/>
      <c r="D135" s="140"/>
      <c r="E135" s="140"/>
      <c r="F135" s="140"/>
      <c r="G135" s="140"/>
      <c r="H135" s="140"/>
      <c r="I135" s="140"/>
      <c r="J135" s="140"/>
      <c r="M135" s="487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80"/>
      <c r="BC135" s="180"/>
      <c r="BD135" s="180"/>
      <c r="BE135" s="180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</row>
    <row r="136" spans="1:148" s="64" customFormat="1">
      <c r="A136" s="298"/>
      <c r="B136" s="140"/>
      <c r="C136" s="140"/>
      <c r="D136" s="140"/>
      <c r="E136" s="140"/>
      <c r="F136" s="140"/>
      <c r="G136" s="140"/>
      <c r="H136" s="140"/>
      <c r="I136" s="140"/>
      <c r="J136" s="140"/>
      <c r="M136" s="487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  <c r="BA136" s="140"/>
      <c r="BB136" s="180"/>
      <c r="BC136" s="180"/>
      <c r="BD136" s="180"/>
      <c r="BE136" s="180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</row>
    <row r="137" spans="1:148" s="64" customFormat="1">
      <c r="A137" s="298"/>
      <c r="B137" s="140"/>
      <c r="C137" s="140"/>
      <c r="D137" s="140"/>
      <c r="E137" s="140"/>
      <c r="F137" s="140"/>
      <c r="G137" s="140"/>
      <c r="H137" s="140"/>
      <c r="I137" s="140"/>
      <c r="J137" s="140"/>
      <c r="M137" s="487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  <c r="BA137" s="140"/>
      <c r="BB137" s="180"/>
      <c r="BC137" s="180"/>
      <c r="BD137" s="180"/>
      <c r="BE137" s="180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</row>
    <row r="138" spans="1:148" s="64" customFormat="1">
      <c r="A138" s="298"/>
      <c r="B138" s="140"/>
      <c r="C138" s="140"/>
      <c r="D138" s="140"/>
      <c r="E138" s="140"/>
      <c r="F138" s="140"/>
      <c r="G138" s="140"/>
      <c r="H138" s="140"/>
      <c r="I138" s="140"/>
      <c r="J138" s="140"/>
      <c r="M138" s="487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  <c r="BA138" s="140"/>
      <c r="BB138" s="180"/>
      <c r="BC138" s="180"/>
      <c r="BD138" s="180"/>
      <c r="BE138" s="180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</row>
    <row r="139" spans="1:148" s="64" customFormat="1">
      <c r="A139" s="298"/>
      <c r="B139" s="140"/>
      <c r="C139" s="140"/>
      <c r="D139" s="140"/>
      <c r="E139" s="140"/>
      <c r="F139" s="140"/>
      <c r="G139" s="140"/>
      <c r="H139" s="140"/>
      <c r="I139" s="140"/>
      <c r="J139" s="140"/>
      <c r="M139" s="487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80"/>
      <c r="BC139" s="180"/>
      <c r="BD139" s="180"/>
      <c r="BE139" s="180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</row>
    <row r="140" spans="1:148">
      <c r="A140" s="108"/>
      <c r="B140" s="109"/>
      <c r="C140" s="109"/>
      <c r="D140" s="109"/>
      <c r="E140" s="109"/>
      <c r="F140" s="109"/>
      <c r="G140" s="109"/>
      <c r="H140" s="109"/>
      <c r="I140" s="109"/>
      <c r="J140" s="109"/>
    </row>
    <row r="141" spans="1:148">
      <c r="A141" s="108"/>
      <c r="B141" s="109"/>
      <c r="C141" s="109"/>
      <c r="D141" s="109"/>
      <c r="E141" s="109"/>
      <c r="F141" s="109"/>
      <c r="G141" s="109"/>
      <c r="H141" s="109"/>
      <c r="I141" s="109"/>
      <c r="J141" s="109"/>
    </row>
    <row r="142" spans="1:148">
      <c r="A142" s="108"/>
      <c r="B142" s="109"/>
      <c r="C142" s="109"/>
      <c r="D142" s="109"/>
      <c r="E142" s="109"/>
      <c r="F142" s="109"/>
      <c r="G142" s="109"/>
      <c r="H142" s="109"/>
      <c r="I142" s="109"/>
      <c r="J142" s="109"/>
    </row>
    <row r="143" spans="1:148">
      <c r="A143" s="108"/>
      <c r="B143" s="109"/>
      <c r="C143" s="109"/>
      <c r="D143" s="109"/>
      <c r="E143" s="109"/>
      <c r="F143" s="109"/>
      <c r="G143" s="109"/>
      <c r="H143" s="109"/>
      <c r="I143" s="109"/>
      <c r="J143" s="109"/>
    </row>
    <row r="144" spans="1:148">
      <c r="A144" s="108"/>
      <c r="B144" s="109"/>
      <c r="C144" s="109"/>
      <c r="D144" s="109"/>
      <c r="E144" s="109"/>
      <c r="F144" s="109"/>
      <c r="G144" s="109"/>
      <c r="H144" s="109"/>
      <c r="I144" s="109"/>
      <c r="J144" s="109"/>
    </row>
    <row r="145" spans="1:10">
      <c r="A145" s="108"/>
      <c r="B145" s="109"/>
      <c r="C145" s="109"/>
      <c r="D145" s="109"/>
      <c r="E145" s="109"/>
      <c r="F145" s="109"/>
      <c r="G145" s="109"/>
      <c r="H145" s="109"/>
      <c r="I145" s="109"/>
      <c r="J145" s="109"/>
    </row>
    <row r="146" spans="1:10">
      <c r="A146" s="108"/>
      <c r="B146" s="109"/>
      <c r="C146" s="109"/>
      <c r="D146" s="109"/>
      <c r="E146" s="109"/>
      <c r="F146" s="109"/>
      <c r="G146" s="109"/>
      <c r="H146" s="109"/>
      <c r="I146" s="109"/>
      <c r="J146" s="109"/>
    </row>
    <row r="147" spans="1:10">
      <c r="A147" s="108"/>
      <c r="B147" s="109"/>
      <c r="C147" s="109"/>
      <c r="D147" s="109"/>
      <c r="E147" s="109"/>
      <c r="F147" s="109"/>
      <c r="G147" s="109"/>
      <c r="H147" s="109"/>
      <c r="I147" s="109"/>
      <c r="J147" s="109"/>
    </row>
    <row r="148" spans="1:10">
      <c r="A148" s="108"/>
      <c r="B148" s="109"/>
      <c r="C148" s="109"/>
      <c r="D148" s="109"/>
      <c r="E148" s="109"/>
      <c r="F148" s="109"/>
      <c r="G148" s="109"/>
      <c r="H148" s="109"/>
      <c r="I148" s="109"/>
      <c r="J148" s="109"/>
    </row>
    <row r="149" spans="1:10">
      <c r="A149" s="108"/>
      <c r="B149" s="109"/>
      <c r="C149" s="109"/>
      <c r="D149" s="109"/>
      <c r="E149" s="109"/>
      <c r="F149" s="109"/>
      <c r="G149" s="109"/>
      <c r="H149" s="109"/>
      <c r="I149" s="109"/>
      <c r="J149" s="109"/>
    </row>
    <row r="150" spans="1:10">
      <c r="A150" s="108"/>
      <c r="B150" s="109"/>
      <c r="C150" s="109"/>
      <c r="D150" s="109"/>
      <c r="E150" s="109"/>
      <c r="F150" s="109"/>
      <c r="G150" s="109"/>
      <c r="H150" s="109"/>
      <c r="I150" s="109"/>
      <c r="J150" s="109"/>
    </row>
    <row r="151" spans="1:10">
      <c r="A151" s="108"/>
      <c r="B151" s="109"/>
      <c r="C151" s="109"/>
      <c r="D151" s="109"/>
      <c r="E151" s="109"/>
      <c r="F151" s="109"/>
      <c r="G151" s="109"/>
      <c r="H151" s="109"/>
      <c r="I151" s="109"/>
      <c r="J151" s="109"/>
    </row>
    <row r="152" spans="1:10">
      <c r="A152" s="108"/>
      <c r="B152" s="109"/>
      <c r="C152" s="109"/>
      <c r="D152" s="109"/>
      <c r="E152" s="109"/>
      <c r="F152" s="109"/>
      <c r="G152" s="109"/>
      <c r="H152" s="109"/>
      <c r="I152" s="109"/>
      <c r="J152" s="109"/>
    </row>
    <row r="153" spans="1:10">
      <c r="A153" s="108"/>
      <c r="B153" s="109"/>
      <c r="C153" s="109"/>
      <c r="D153" s="109"/>
      <c r="E153" s="109"/>
      <c r="F153" s="109"/>
      <c r="G153" s="109"/>
      <c r="H153" s="109"/>
      <c r="I153" s="109"/>
      <c r="J153" s="109"/>
    </row>
    <row r="154" spans="1:10">
      <c r="A154" s="108"/>
      <c r="B154" s="109"/>
      <c r="C154" s="109"/>
      <c r="D154" s="109"/>
      <c r="E154" s="109"/>
      <c r="F154" s="109"/>
      <c r="G154" s="109"/>
      <c r="H154" s="109"/>
      <c r="I154" s="109"/>
      <c r="J154" s="109"/>
    </row>
    <row r="155" spans="1:10">
      <c r="A155" s="108"/>
      <c r="B155" s="109"/>
      <c r="C155" s="109"/>
      <c r="D155" s="109"/>
      <c r="E155" s="109"/>
      <c r="F155" s="109"/>
      <c r="G155" s="109"/>
      <c r="H155" s="109"/>
      <c r="I155" s="109"/>
      <c r="J155" s="109"/>
    </row>
    <row r="156" spans="1:10">
      <c r="A156" s="108"/>
      <c r="B156" s="109"/>
      <c r="C156" s="109"/>
      <c r="D156" s="109"/>
      <c r="E156" s="109"/>
      <c r="F156" s="109"/>
      <c r="G156" s="109"/>
      <c r="H156" s="109"/>
      <c r="I156" s="109"/>
      <c r="J156" s="109"/>
    </row>
    <row r="157" spans="1:10">
      <c r="A157" s="108"/>
      <c r="B157" s="109"/>
      <c r="C157" s="109"/>
      <c r="D157" s="109"/>
      <c r="E157" s="109"/>
      <c r="F157" s="109"/>
      <c r="G157" s="109"/>
      <c r="H157" s="109"/>
      <c r="I157" s="109"/>
      <c r="J157" s="109"/>
    </row>
    <row r="158" spans="1:10">
      <c r="A158" s="108"/>
      <c r="B158" s="109"/>
      <c r="C158" s="109"/>
      <c r="D158" s="109"/>
      <c r="E158" s="109"/>
      <c r="F158" s="109"/>
      <c r="G158" s="109"/>
      <c r="H158" s="109"/>
      <c r="I158" s="109"/>
      <c r="J158" s="109"/>
    </row>
    <row r="159" spans="1:10">
      <c r="A159" s="108"/>
      <c r="B159" s="109"/>
      <c r="C159" s="109"/>
      <c r="D159" s="109"/>
      <c r="E159" s="109"/>
      <c r="F159" s="109"/>
      <c r="G159" s="109"/>
      <c r="H159" s="109"/>
      <c r="I159" s="109"/>
      <c r="J159" s="109"/>
    </row>
    <row r="160" spans="1:10">
      <c r="A160" s="108"/>
      <c r="B160" s="109"/>
      <c r="C160" s="109"/>
      <c r="D160" s="109"/>
      <c r="E160" s="109"/>
      <c r="F160" s="109"/>
      <c r="G160" s="109"/>
      <c r="H160" s="109"/>
      <c r="I160" s="109"/>
      <c r="J160" s="109"/>
    </row>
    <row r="161" spans="1:10">
      <c r="A161" s="108"/>
      <c r="B161" s="109"/>
      <c r="C161" s="109"/>
      <c r="D161" s="109"/>
      <c r="E161" s="109"/>
      <c r="F161" s="109"/>
      <c r="G161" s="109"/>
      <c r="H161" s="109"/>
      <c r="I161" s="109"/>
      <c r="J161" s="109"/>
    </row>
    <row r="162" spans="1:10">
      <c r="A162" s="108"/>
      <c r="B162" s="109"/>
      <c r="C162" s="109"/>
      <c r="D162" s="109"/>
      <c r="E162" s="109"/>
      <c r="F162" s="109"/>
      <c r="G162" s="109"/>
      <c r="H162" s="109"/>
      <c r="I162" s="109"/>
      <c r="J162" s="109"/>
    </row>
    <row r="163" spans="1:10">
      <c r="A163" s="108"/>
      <c r="B163" s="109"/>
      <c r="C163" s="109"/>
      <c r="D163" s="109"/>
      <c r="E163" s="109"/>
      <c r="F163" s="109"/>
      <c r="G163" s="109"/>
      <c r="H163" s="109"/>
      <c r="I163" s="109"/>
      <c r="J163" s="109"/>
    </row>
    <row r="164" spans="1:10">
      <c r="A164" s="108"/>
      <c r="B164" s="109"/>
      <c r="C164" s="109"/>
      <c r="D164" s="109"/>
      <c r="E164" s="109"/>
      <c r="F164" s="109"/>
      <c r="G164" s="109"/>
      <c r="H164" s="109"/>
      <c r="I164" s="109"/>
      <c r="J164" s="109"/>
    </row>
    <row r="165" spans="1:10">
      <c r="A165" s="108"/>
      <c r="B165" s="109"/>
      <c r="C165" s="109"/>
      <c r="D165" s="109"/>
      <c r="E165" s="109"/>
      <c r="F165" s="109"/>
      <c r="G165" s="109"/>
      <c r="H165" s="109"/>
      <c r="I165" s="109"/>
      <c r="J165" s="109"/>
    </row>
    <row r="166" spans="1:10">
      <c r="A166" s="108"/>
      <c r="B166" s="109"/>
      <c r="C166" s="109"/>
      <c r="D166" s="109"/>
      <c r="E166" s="109"/>
      <c r="F166" s="109"/>
      <c r="G166" s="109"/>
      <c r="H166" s="109"/>
      <c r="I166" s="109"/>
      <c r="J166" s="109"/>
    </row>
    <row r="167" spans="1:10">
      <c r="A167" s="108"/>
      <c r="B167" s="109"/>
      <c r="C167" s="109"/>
      <c r="D167" s="109"/>
      <c r="E167" s="109"/>
      <c r="F167" s="109"/>
      <c r="G167" s="109"/>
      <c r="H167" s="109"/>
      <c r="I167" s="109"/>
      <c r="J167" s="109"/>
    </row>
    <row r="168" spans="1:10">
      <c r="A168" s="108"/>
      <c r="B168" s="109"/>
      <c r="C168" s="109"/>
      <c r="D168" s="109"/>
      <c r="E168" s="109"/>
      <c r="F168" s="109"/>
      <c r="G168" s="109"/>
      <c r="H168" s="109"/>
      <c r="I168" s="109"/>
      <c r="J168" s="109"/>
    </row>
    <row r="169" spans="1:10">
      <c r="A169" s="108"/>
      <c r="B169" s="109"/>
      <c r="C169" s="109"/>
      <c r="D169" s="109"/>
      <c r="E169" s="109"/>
      <c r="F169" s="109"/>
      <c r="G169" s="109"/>
      <c r="H169" s="109"/>
      <c r="I169" s="109"/>
      <c r="J169" s="109"/>
    </row>
    <row r="170" spans="1:10">
      <c r="A170" s="108"/>
      <c r="B170" s="109"/>
      <c r="C170" s="109"/>
      <c r="D170" s="109"/>
      <c r="E170" s="109"/>
      <c r="F170" s="109"/>
      <c r="G170" s="109"/>
      <c r="H170" s="109"/>
      <c r="I170" s="109"/>
      <c r="J170" s="109"/>
    </row>
    <row r="171" spans="1:10">
      <c r="A171" s="108"/>
      <c r="B171" s="109"/>
      <c r="C171" s="109"/>
      <c r="D171" s="109"/>
      <c r="E171" s="109"/>
      <c r="F171" s="109"/>
      <c r="G171" s="109"/>
      <c r="H171" s="109"/>
      <c r="I171" s="109"/>
      <c r="J171" s="109"/>
    </row>
    <row r="172" spans="1:10">
      <c r="A172" s="108"/>
      <c r="B172" s="109"/>
      <c r="C172" s="109"/>
      <c r="D172" s="109"/>
      <c r="E172" s="109"/>
      <c r="F172" s="109"/>
      <c r="G172" s="109"/>
      <c r="H172" s="109"/>
      <c r="I172" s="109"/>
      <c r="J172" s="109"/>
    </row>
    <row r="173" spans="1:10">
      <c r="A173" s="108"/>
      <c r="B173" s="109"/>
      <c r="C173" s="109"/>
      <c r="D173" s="109"/>
      <c r="E173" s="109"/>
      <c r="F173" s="109"/>
      <c r="G173" s="109"/>
      <c r="H173" s="109"/>
      <c r="I173" s="109"/>
      <c r="J173" s="109"/>
    </row>
    <row r="174" spans="1:10">
      <c r="A174" s="108"/>
      <c r="B174" s="109"/>
      <c r="C174" s="109"/>
      <c r="D174" s="109"/>
      <c r="E174" s="109"/>
      <c r="F174" s="109"/>
      <c r="G174" s="109"/>
      <c r="H174" s="109"/>
      <c r="I174" s="109"/>
      <c r="J174" s="109"/>
    </row>
    <row r="175" spans="1:10">
      <c r="A175" s="108"/>
      <c r="B175" s="109"/>
      <c r="C175" s="109"/>
      <c r="D175" s="109"/>
      <c r="E175" s="109"/>
      <c r="F175" s="109"/>
      <c r="G175" s="109"/>
      <c r="H175" s="109"/>
      <c r="I175" s="109"/>
      <c r="J175" s="109"/>
    </row>
    <row r="176" spans="1:10">
      <c r="A176" s="108"/>
      <c r="B176" s="109"/>
      <c r="C176" s="109"/>
      <c r="D176" s="109"/>
      <c r="E176" s="109"/>
      <c r="F176" s="109"/>
      <c r="G176" s="109"/>
      <c r="H176" s="109"/>
      <c r="I176" s="109"/>
      <c r="J176" s="109"/>
    </row>
    <row r="177" spans="1:25">
      <c r="A177" s="108"/>
      <c r="B177" s="109"/>
      <c r="C177" s="109"/>
      <c r="D177" s="109"/>
      <c r="E177" s="109"/>
      <c r="F177" s="109"/>
      <c r="G177" s="109"/>
      <c r="H177" s="109"/>
      <c r="I177" s="109"/>
      <c r="J177" s="109"/>
    </row>
    <row r="178" spans="1:25">
      <c r="A178" s="108"/>
      <c r="B178" s="109"/>
      <c r="C178" s="109"/>
      <c r="D178" s="109"/>
      <c r="E178" s="109"/>
      <c r="F178" s="109"/>
      <c r="G178" s="109"/>
      <c r="H178" s="109"/>
      <c r="I178" s="109"/>
      <c r="J178" s="109"/>
    </row>
    <row r="179" spans="1:25">
      <c r="A179" s="108"/>
      <c r="B179" s="109"/>
      <c r="C179" s="109"/>
      <c r="D179" s="109"/>
      <c r="E179" s="109"/>
      <c r="F179" s="109"/>
      <c r="G179" s="109"/>
      <c r="H179" s="109"/>
      <c r="I179" s="109"/>
      <c r="J179" s="109"/>
    </row>
    <row r="180" spans="1:25">
      <c r="A180" s="108"/>
      <c r="B180" s="109"/>
      <c r="C180" s="109"/>
      <c r="D180" s="109"/>
      <c r="E180" s="109"/>
      <c r="F180" s="109"/>
      <c r="G180" s="109"/>
      <c r="H180" s="109"/>
      <c r="I180" s="109"/>
      <c r="J180" s="109"/>
    </row>
    <row r="181" spans="1:25">
      <c r="A181" s="108"/>
      <c r="B181" s="109"/>
      <c r="C181" s="109"/>
      <c r="D181" s="109"/>
      <c r="E181" s="109"/>
      <c r="F181" s="109"/>
      <c r="G181" s="109"/>
      <c r="H181" s="109"/>
      <c r="I181" s="109"/>
      <c r="J181" s="109"/>
    </row>
    <row r="182" spans="1:25">
      <c r="A182" s="108"/>
      <c r="B182" s="109"/>
      <c r="C182" s="109"/>
      <c r="D182" s="109"/>
      <c r="E182" s="109"/>
      <c r="F182" s="109"/>
      <c r="G182" s="109"/>
      <c r="H182" s="109"/>
      <c r="I182" s="109"/>
      <c r="J182" s="109"/>
    </row>
    <row r="183" spans="1:25">
      <c r="A183" s="108"/>
      <c r="B183" s="109"/>
      <c r="C183" s="109"/>
      <c r="D183" s="109"/>
      <c r="E183" s="109"/>
      <c r="F183" s="109"/>
      <c r="G183" s="109"/>
      <c r="H183" s="109"/>
      <c r="I183" s="109"/>
      <c r="J183" s="109"/>
    </row>
    <row r="184" spans="1:25">
      <c r="A184" s="108"/>
      <c r="B184" s="109"/>
      <c r="C184" s="109"/>
      <c r="D184" s="109"/>
      <c r="E184" s="109"/>
      <c r="F184" s="109"/>
      <c r="G184" s="109"/>
      <c r="H184" s="109"/>
      <c r="I184" s="109"/>
      <c r="J184" s="109"/>
    </row>
    <row r="185" spans="1:25">
      <c r="A185" s="108"/>
      <c r="B185" s="109"/>
      <c r="C185" s="109"/>
      <c r="D185" s="109"/>
      <c r="E185" s="109"/>
      <c r="F185" s="109"/>
      <c r="G185" s="109"/>
      <c r="H185" s="109"/>
      <c r="I185" s="109"/>
      <c r="J185" s="109"/>
    </row>
    <row r="186" spans="1:25">
      <c r="A186" s="108"/>
      <c r="B186" s="109"/>
      <c r="C186" s="109"/>
      <c r="D186" s="109"/>
      <c r="E186" s="109"/>
      <c r="F186" s="109"/>
      <c r="G186" s="109"/>
      <c r="H186" s="109"/>
      <c r="I186" s="109"/>
      <c r="J186" s="109"/>
    </row>
    <row r="187" spans="1:25">
      <c r="A187" s="108"/>
      <c r="B187" s="109"/>
      <c r="C187" s="109"/>
      <c r="D187" s="109"/>
      <c r="E187" s="109"/>
      <c r="F187" s="109"/>
      <c r="G187" s="109"/>
      <c r="H187" s="109"/>
      <c r="I187" s="109"/>
      <c r="J187" s="109"/>
      <c r="Y187" s="172"/>
    </row>
    <row r="188" spans="1:25">
      <c r="A188" s="108"/>
      <c r="B188" s="109"/>
      <c r="C188" s="109"/>
      <c r="D188" s="109"/>
      <c r="E188" s="109"/>
      <c r="F188" s="109"/>
      <c r="G188" s="109"/>
      <c r="H188" s="109"/>
      <c r="I188" s="109"/>
      <c r="J188" s="109"/>
    </row>
    <row r="189" spans="1:25">
      <c r="A189" s="108"/>
      <c r="B189" s="109"/>
      <c r="C189" s="109"/>
      <c r="D189" s="109"/>
      <c r="E189" s="109"/>
      <c r="F189" s="109"/>
      <c r="G189" s="109"/>
      <c r="H189" s="109"/>
      <c r="I189" s="109"/>
      <c r="J189" s="109"/>
    </row>
    <row r="190" spans="1:25">
      <c r="A190" s="108"/>
      <c r="B190" s="109"/>
      <c r="C190" s="109"/>
      <c r="D190" s="109"/>
      <c r="E190" s="109"/>
      <c r="F190" s="109"/>
      <c r="G190" s="109"/>
      <c r="H190" s="109"/>
      <c r="I190" s="109"/>
      <c r="J190" s="109"/>
    </row>
    <row r="191" spans="1:25">
      <c r="A191" s="108"/>
      <c r="B191" s="109"/>
      <c r="C191" s="109"/>
      <c r="D191" s="109"/>
      <c r="E191" s="109"/>
      <c r="F191" s="109"/>
      <c r="G191" s="109"/>
      <c r="H191" s="109"/>
      <c r="I191" s="109"/>
      <c r="J191" s="109"/>
    </row>
    <row r="192" spans="1:25">
      <c r="A192" s="108"/>
      <c r="B192" s="109"/>
      <c r="C192" s="109"/>
      <c r="D192" s="109"/>
      <c r="E192" s="109"/>
      <c r="F192" s="109"/>
      <c r="G192" s="109"/>
      <c r="H192" s="109"/>
      <c r="I192" s="109"/>
      <c r="J192" s="109"/>
    </row>
    <row r="193" spans="1:25">
      <c r="A193" s="108"/>
      <c r="B193" s="109"/>
      <c r="C193" s="109"/>
      <c r="D193" s="109"/>
      <c r="E193" s="109"/>
      <c r="F193" s="109"/>
      <c r="G193" s="109"/>
      <c r="H193" s="109"/>
      <c r="I193" s="109"/>
      <c r="J193" s="109"/>
    </row>
    <row r="194" spans="1:25">
      <c r="A194" s="108"/>
      <c r="B194" s="109"/>
      <c r="C194" s="109"/>
      <c r="D194" s="109"/>
      <c r="E194" s="109"/>
      <c r="F194" s="109"/>
      <c r="G194" s="109"/>
      <c r="H194" s="109"/>
      <c r="I194" s="109"/>
      <c r="J194" s="109"/>
    </row>
    <row r="195" spans="1:25">
      <c r="A195" s="108"/>
      <c r="B195" s="109"/>
      <c r="C195" s="109"/>
      <c r="D195" s="109"/>
      <c r="E195" s="109"/>
      <c r="F195" s="109"/>
      <c r="G195" s="109"/>
      <c r="H195" s="109"/>
      <c r="I195" s="109"/>
      <c r="J195" s="109"/>
    </row>
    <row r="196" spans="1:25">
      <c r="A196" s="108"/>
      <c r="B196" s="109"/>
      <c r="C196" s="109"/>
      <c r="D196" s="109"/>
      <c r="E196" s="109"/>
      <c r="F196" s="109"/>
      <c r="G196" s="109"/>
      <c r="H196" s="109"/>
      <c r="I196" s="109"/>
      <c r="J196" s="109"/>
    </row>
    <row r="197" spans="1:25">
      <c r="A197" s="108"/>
      <c r="B197" s="109"/>
      <c r="C197" s="109"/>
      <c r="D197" s="109"/>
      <c r="E197" s="109"/>
      <c r="F197" s="109"/>
      <c r="G197" s="109"/>
      <c r="H197" s="109"/>
      <c r="I197" s="109"/>
      <c r="J197" s="109"/>
      <c r="Y197" s="172"/>
    </row>
    <row r="198" spans="1:25">
      <c r="A198" s="108"/>
      <c r="B198" s="109"/>
      <c r="C198" s="109"/>
      <c r="D198" s="109"/>
      <c r="E198" s="109"/>
      <c r="F198" s="109"/>
      <c r="G198" s="109"/>
      <c r="H198" s="109"/>
      <c r="I198" s="109"/>
      <c r="J198" s="109"/>
    </row>
    <row r="199" spans="1:25">
      <c r="A199" s="108"/>
      <c r="B199" s="109"/>
      <c r="C199" s="109"/>
      <c r="D199" s="109"/>
      <c r="E199" s="109"/>
      <c r="F199" s="109"/>
      <c r="G199" s="109"/>
      <c r="H199" s="109"/>
      <c r="I199" s="109"/>
      <c r="J199" s="109"/>
    </row>
    <row r="200" spans="1:25">
      <c r="A200" s="108"/>
      <c r="B200" s="109"/>
      <c r="C200" s="109"/>
      <c r="D200" s="109"/>
      <c r="E200" s="109"/>
      <c r="F200" s="109"/>
      <c r="G200" s="109"/>
      <c r="H200" s="109"/>
      <c r="I200" s="109"/>
      <c r="J200" s="109"/>
    </row>
    <row r="201" spans="1:25">
      <c r="A201" s="108"/>
      <c r="B201" s="109"/>
      <c r="C201" s="109"/>
      <c r="D201" s="109"/>
      <c r="E201" s="109"/>
      <c r="F201" s="109"/>
      <c r="G201" s="109"/>
      <c r="H201" s="109"/>
      <c r="I201" s="109"/>
      <c r="J201" s="109"/>
    </row>
    <row r="202" spans="1:25">
      <c r="A202" s="108"/>
      <c r="B202" s="109"/>
      <c r="C202" s="109"/>
      <c r="D202" s="109"/>
      <c r="E202" s="109"/>
      <c r="F202" s="109"/>
      <c r="G202" s="109"/>
      <c r="H202" s="109"/>
      <c r="I202" s="109"/>
      <c r="J202" s="109"/>
    </row>
    <row r="203" spans="1:25">
      <c r="A203" s="108"/>
      <c r="B203" s="109"/>
      <c r="C203" s="109"/>
      <c r="D203" s="109"/>
      <c r="E203" s="109"/>
      <c r="F203" s="109"/>
      <c r="G203" s="109"/>
      <c r="H203" s="109"/>
      <c r="I203" s="109"/>
      <c r="J203" s="109"/>
    </row>
    <row r="204" spans="1:25">
      <c r="A204" s="108"/>
      <c r="B204" s="109"/>
      <c r="C204" s="109"/>
      <c r="D204" s="109"/>
      <c r="E204" s="109"/>
      <c r="F204" s="109"/>
      <c r="G204" s="109"/>
      <c r="H204" s="109"/>
      <c r="I204" s="109"/>
      <c r="J204" s="109"/>
    </row>
    <row r="205" spans="1:25">
      <c r="A205" s="108"/>
      <c r="B205" s="109"/>
      <c r="C205" s="109"/>
      <c r="D205" s="109"/>
      <c r="E205" s="109"/>
      <c r="F205" s="109"/>
      <c r="G205" s="109"/>
      <c r="H205" s="109"/>
      <c r="I205" s="109"/>
      <c r="J205" s="109"/>
    </row>
    <row r="206" spans="1:25">
      <c r="A206" s="108"/>
      <c r="B206" s="109"/>
      <c r="C206" s="109"/>
      <c r="D206" s="109"/>
      <c r="E206" s="109"/>
      <c r="F206" s="109"/>
      <c r="G206" s="109"/>
      <c r="H206" s="109"/>
      <c r="I206" s="109"/>
      <c r="J206" s="109"/>
    </row>
    <row r="207" spans="1:25">
      <c r="A207" s="108"/>
      <c r="B207" s="109"/>
      <c r="C207" s="109"/>
      <c r="D207" s="109"/>
      <c r="E207" s="109"/>
      <c r="F207" s="109"/>
      <c r="G207" s="109"/>
      <c r="H207" s="109"/>
      <c r="I207" s="109"/>
      <c r="J207" s="109"/>
    </row>
    <row r="208" spans="1:25">
      <c r="A208" s="108"/>
      <c r="B208" s="109"/>
      <c r="C208" s="109"/>
      <c r="D208" s="109"/>
      <c r="E208" s="109"/>
      <c r="F208" s="109"/>
      <c r="G208" s="109"/>
      <c r="H208" s="109"/>
      <c r="I208" s="109"/>
      <c r="J208" s="109"/>
    </row>
    <row r="209" spans="1:25">
      <c r="A209" s="108"/>
      <c r="B209" s="109"/>
      <c r="C209" s="109"/>
      <c r="D209" s="109"/>
      <c r="E209" s="109"/>
      <c r="F209" s="109"/>
      <c r="G209" s="109"/>
      <c r="H209" s="109"/>
      <c r="I209" s="109"/>
      <c r="J209" s="109"/>
    </row>
    <row r="210" spans="1:25">
      <c r="A210" s="108"/>
      <c r="B210" s="109"/>
      <c r="C210" s="109"/>
      <c r="D210" s="109"/>
      <c r="E210" s="109"/>
      <c r="F210" s="109"/>
      <c r="G210" s="109"/>
      <c r="H210" s="109"/>
      <c r="I210" s="109"/>
      <c r="J210" s="109"/>
    </row>
    <row r="211" spans="1:25">
      <c r="A211" s="108"/>
      <c r="B211" s="109"/>
      <c r="C211" s="109"/>
      <c r="D211" s="109"/>
      <c r="E211" s="109"/>
      <c r="F211" s="109"/>
      <c r="G211" s="109"/>
      <c r="H211" s="109"/>
      <c r="I211" s="109"/>
      <c r="J211" s="109"/>
    </row>
    <row r="212" spans="1:25">
      <c r="A212" s="108"/>
      <c r="B212" s="109"/>
      <c r="C212" s="109"/>
      <c r="D212" s="109"/>
      <c r="E212" s="109"/>
      <c r="F212" s="109"/>
      <c r="G212" s="109"/>
      <c r="H212" s="109"/>
      <c r="I212" s="109"/>
      <c r="J212" s="109"/>
    </row>
    <row r="213" spans="1:25">
      <c r="A213" s="108"/>
      <c r="B213" s="109"/>
      <c r="C213" s="109"/>
      <c r="D213" s="109"/>
      <c r="E213" s="109"/>
      <c r="F213" s="109"/>
      <c r="G213" s="109"/>
      <c r="H213" s="109"/>
      <c r="I213" s="109"/>
      <c r="J213" s="109"/>
      <c r="Y213" s="172"/>
    </row>
    <row r="214" spans="1:25">
      <c r="A214" s="108"/>
      <c r="B214" s="109"/>
      <c r="C214" s="109"/>
      <c r="D214" s="109"/>
      <c r="E214" s="109"/>
      <c r="F214" s="109"/>
      <c r="G214" s="109"/>
      <c r="H214" s="109"/>
      <c r="I214" s="109"/>
      <c r="J214" s="109"/>
    </row>
    <row r="215" spans="1:25">
      <c r="A215" s="108"/>
      <c r="B215" s="109"/>
      <c r="C215" s="109"/>
      <c r="D215" s="109"/>
      <c r="E215" s="109"/>
      <c r="F215" s="109"/>
      <c r="G215" s="109"/>
      <c r="H215" s="109"/>
      <c r="I215" s="109"/>
      <c r="J215" s="109"/>
    </row>
    <row r="216" spans="1:25">
      <c r="A216" s="108"/>
      <c r="B216" s="109"/>
      <c r="C216" s="109"/>
      <c r="D216" s="109"/>
      <c r="E216" s="109"/>
      <c r="F216" s="109"/>
      <c r="G216" s="109"/>
      <c r="H216" s="109"/>
      <c r="I216" s="109"/>
      <c r="J216" s="109"/>
    </row>
    <row r="217" spans="1:25">
      <c r="A217" s="108"/>
      <c r="B217" s="109"/>
      <c r="C217" s="109"/>
      <c r="D217" s="109"/>
      <c r="E217" s="109"/>
      <c r="F217" s="109"/>
      <c r="G217" s="109"/>
      <c r="H217" s="109"/>
      <c r="I217" s="109"/>
      <c r="J217" s="109"/>
    </row>
    <row r="218" spans="1:25">
      <c r="A218" s="108"/>
      <c r="B218" s="109"/>
      <c r="C218" s="109"/>
      <c r="D218" s="109"/>
      <c r="E218" s="109"/>
      <c r="F218" s="109"/>
      <c r="G218" s="109"/>
      <c r="H218" s="109"/>
      <c r="I218" s="109"/>
      <c r="J218" s="109"/>
    </row>
    <row r="219" spans="1:25">
      <c r="A219" s="108"/>
      <c r="B219" s="109"/>
      <c r="C219" s="109"/>
      <c r="D219" s="109"/>
      <c r="E219" s="109"/>
      <c r="F219" s="109"/>
      <c r="G219" s="109"/>
      <c r="H219" s="109"/>
      <c r="I219" s="109"/>
      <c r="J219" s="109"/>
    </row>
    <row r="220" spans="1:25">
      <c r="A220" s="108"/>
      <c r="B220" s="109"/>
      <c r="C220" s="109"/>
      <c r="D220" s="109"/>
      <c r="E220" s="109"/>
      <c r="F220" s="109"/>
      <c r="G220" s="109"/>
      <c r="H220" s="109"/>
      <c r="I220" s="109"/>
      <c r="J220" s="109"/>
    </row>
    <row r="221" spans="1:25">
      <c r="A221" s="108"/>
      <c r="B221" s="109"/>
      <c r="C221" s="109"/>
      <c r="D221" s="109"/>
      <c r="E221" s="109"/>
      <c r="F221" s="109"/>
      <c r="G221" s="109"/>
      <c r="H221" s="109"/>
      <c r="I221" s="109"/>
      <c r="J221" s="109"/>
    </row>
    <row r="222" spans="1:25">
      <c r="A222" s="108"/>
      <c r="B222" s="109"/>
      <c r="C222" s="109"/>
      <c r="D222" s="109"/>
      <c r="E222" s="109"/>
      <c r="F222" s="109"/>
      <c r="G222" s="109"/>
      <c r="H222" s="109"/>
      <c r="I222" s="109"/>
      <c r="J222" s="109"/>
    </row>
    <row r="223" spans="1:25">
      <c r="A223" s="108"/>
      <c r="B223" s="109"/>
      <c r="C223" s="109"/>
      <c r="D223" s="109"/>
      <c r="E223" s="109"/>
      <c r="F223" s="109"/>
      <c r="G223" s="109"/>
      <c r="H223" s="109"/>
      <c r="I223" s="109"/>
      <c r="J223" s="109"/>
    </row>
    <row r="224" spans="1:25">
      <c r="A224" s="108"/>
      <c r="B224" s="109"/>
      <c r="C224" s="109"/>
      <c r="D224" s="109"/>
      <c r="E224" s="109"/>
      <c r="F224" s="109"/>
      <c r="G224" s="109"/>
      <c r="H224" s="109"/>
      <c r="I224" s="109"/>
      <c r="J224" s="109"/>
    </row>
    <row r="225" spans="1:29">
      <c r="A225" s="108"/>
      <c r="B225" s="109"/>
      <c r="C225" s="109"/>
      <c r="D225" s="109"/>
      <c r="E225" s="109"/>
      <c r="F225" s="109"/>
      <c r="G225" s="109"/>
      <c r="H225" s="109"/>
      <c r="I225" s="109"/>
      <c r="J225" s="109"/>
    </row>
    <row r="226" spans="1:29">
      <c r="A226" s="108"/>
      <c r="B226" s="109"/>
      <c r="C226" s="109"/>
      <c r="D226" s="109"/>
      <c r="E226" s="109"/>
      <c r="F226" s="109"/>
      <c r="G226" s="109"/>
      <c r="H226" s="109"/>
      <c r="I226" s="109"/>
      <c r="J226" s="109"/>
    </row>
    <row r="227" spans="1:29">
      <c r="A227" s="108"/>
      <c r="B227" s="109"/>
      <c r="C227" s="109"/>
      <c r="D227" s="109"/>
      <c r="E227" s="109"/>
      <c r="F227" s="109"/>
      <c r="G227" s="109"/>
      <c r="H227" s="109"/>
      <c r="I227" s="109"/>
      <c r="J227" s="109"/>
    </row>
    <row r="228" spans="1:29">
      <c r="A228" s="108"/>
      <c r="B228" s="109"/>
      <c r="C228" s="109"/>
      <c r="D228" s="109"/>
      <c r="E228" s="109"/>
      <c r="F228" s="109"/>
      <c r="G228" s="109"/>
      <c r="H228" s="109"/>
      <c r="I228" s="109"/>
      <c r="J228" s="109"/>
    </row>
    <row r="229" spans="1:29">
      <c r="A229" s="108"/>
      <c r="B229" s="109"/>
      <c r="C229" s="109"/>
      <c r="D229" s="109"/>
      <c r="E229" s="109"/>
      <c r="F229" s="109"/>
      <c r="G229" s="109"/>
      <c r="H229" s="109"/>
      <c r="I229" s="109"/>
      <c r="J229" s="109"/>
      <c r="W229" s="172"/>
      <c r="X229" s="172"/>
      <c r="Y229" s="172"/>
      <c r="AC229" s="172"/>
    </row>
    <row r="230" spans="1:29">
      <c r="A230" s="108"/>
      <c r="B230" s="109"/>
      <c r="C230" s="109"/>
      <c r="D230" s="109"/>
      <c r="E230" s="109"/>
      <c r="F230" s="109"/>
      <c r="G230" s="109"/>
      <c r="H230" s="109"/>
      <c r="I230" s="109"/>
      <c r="J230" s="109"/>
    </row>
    <row r="231" spans="1:29">
      <c r="A231" s="108"/>
      <c r="B231" s="109"/>
      <c r="C231" s="109"/>
      <c r="D231" s="109"/>
      <c r="E231" s="109"/>
      <c r="F231" s="109"/>
      <c r="G231" s="109"/>
      <c r="H231" s="109"/>
      <c r="I231" s="109"/>
      <c r="J231" s="109"/>
    </row>
    <row r="232" spans="1:29">
      <c r="A232" s="108"/>
      <c r="B232" s="109"/>
      <c r="C232" s="109"/>
      <c r="D232" s="109"/>
      <c r="E232" s="109"/>
      <c r="F232" s="109"/>
      <c r="G232" s="109"/>
      <c r="H232" s="109"/>
      <c r="I232" s="109"/>
      <c r="J232" s="109"/>
    </row>
    <row r="233" spans="1:29">
      <c r="A233" s="108"/>
      <c r="B233" s="109"/>
      <c r="C233" s="109"/>
      <c r="D233" s="109"/>
      <c r="E233" s="109"/>
      <c r="F233" s="109"/>
      <c r="G233" s="109"/>
      <c r="H233" s="109"/>
      <c r="I233" s="109"/>
      <c r="J233" s="109"/>
    </row>
    <row r="234" spans="1:29">
      <c r="A234" s="108"/>
      <c r="B234" s="109"/>
      <c r="C234" s="109"/>
      <c r="D234" s="109"/>
      <c r="E234" s="109"/>
      <c r="F234" s="109"/>
      <c r="G234" s="109"/>
      <c r="H234" s="109"/>
      <c r="I234" s="109"/>
      <c r="J234" s="109"/>
    </row>
    <row r="235" spans="1:29">
      <c r="A235" s="108"/>
      <c r="B235" s="109"/>
      <c r="C235" s="109"/>
      <c r="D235" s="109"/>
      <c r="E235" s="109"/>
      <c r="F235" s="109"/>
      <c r="G235" s="109"/>
      <c r="H235" s="109"/>
      <c r="I235" s="109"/>
      <c r="J235" s="109"/>
    </row>
    <row r="236" spans="1:29">
      <c r="A236" s="108"/>
      <c r="B236" s="109"/>
      <c r="C236" s="109"/>
      <c r="D236" s="109"/>
      <c r="E236" s="109"/>
      <c r="F236" s="109"/>
      <c r="G236" s="109"/>
      <c r="H236" s="109"/>
      <c r="I236" s="109"/>
      <c r="J236" s="109"/>
    </row>
    <row r="237" spans="1:29">
      <c r="A237" s="108"/>
      <c r="B237" s="109"/>
      <c r="C237" s="109"/>
      <c r="D237" s="109"/>
      <c r="E237" s="109"/>
      <c r="F237" s="109"/>
      <c r="G237" s="109"/>
      <c r="H237" s="109"/>
      <c r="I237" s="109"/>
      <c r="J237" s="109"/>
    </row>
    <row r="238" spans="1:29">
      <c r="A238" s="108"/>
      <c r="B238" s="109"/>
      <c r="C238" s="109"/>
      <c r="D238" s="109"/>
      <c r="E238" s="109"/>
      <c r="F238" s="109"/>
      <c r="G238" s="109"/>
      <c r="H238" s="109"/>
      <c r="I238" s="109"/>
      <c r="J238" s="109"/>
    </row>
    <row r="239" spans="1:29">
      <c r="A239" s="108"/>
      <c r="B239" s="109"/>
      <c r="C239" s="109"/>
      <c r="D239" s="109"/>
      <c r="E239" s="109"/>
      <c r="F239" s="109"/>
      <c r="G239" s="109"/>
      <c r="H239" s="109"/>
      <c r="I239" s="109"/>
      <c r="J239" s="109"/>
    </row>
    <row r="240" spans="1:29">
      <c r="A240" s="108"/>
      <c r="B240" s="109"/>
      <c r="C240" s="109"/>
      <c r="D240" s="109"/>
      <c r="E240" s="109"/>
      <c r="F240" s="109"/>
      <c r="G240" s="109"/>
      <c r="H240" s="109"/>
      <c r="I240" s="109"/>
      <c r="J240" s="109"/>
    </row>
    <row r="241" spans="1:10">
      <c r="A241" s="108"/>
      <c r="B241" s="109"/>
      <c r="C241" s="109"/>
      <c r="D241" s="109"/>
      <c r="E241" s="109"/>
      <c r="F241" s="109"/>
      <c r="G241" s="109"/>
      <c r="H241" s="109"/>
      <c r="I241" s="109"/>
      <c r="J241" s="109"/>
    </row>
    <row r="242" spans="1:10">
      <c r="A242" s="108"/>
      <c r="B242" s="109"/>
      <c r="C242" s="109"/>
      <c r="D242" s="109"/>
      <c r="E242" s="109"/>
      <c r="F242" s="109"/>
      <c r="G242" s="109"/>
      <c r="H242" s="109"/>
      <c r="I242" s="109"/>
      <c r="J242" s="109"/>
    </row>
    <row r="243" spans="1:10">
      <c r="A243" s="108"/>
      <c r="B243" s="109"/>
      <c r="C243" s="109"/>
      <c r="D243" s="109"/>
      <c r="E243" s="109"/>
      <c r="F243" s="109"/>
      <c r="G243" s="109"/>
      <c r="H243" s="109"/>
      <c r="I243" s="109"/>
      <c r="J243" s="109"/>
    </row>
    <row r="244" spans="1:10">
      <c r="A244" s="108"/>
      <c r="B244" s="109"/>
      <c r="C244" s="109"/>
      <c r="D244" s="109"/>
      <c r="E244" s="109"/>
      <c r="F244" s="109"/>
      <c r="G244" s="109"/>
      <c r="H244" s="109"/>
      <c r="I244" s="109"/>
      <c r="J244" s="109"/>
    </row>
    <row r="245" spans="1:10">
      <c r="A245" s="108"/>
      <c r="B245" s="109"/>
      <c r="C245" s="109"/>
      <c r="D245" s="109"/>
      <c r="E245" s="109"/>
      <c r="F245" s="109"/>
      <c r="G245" s="109"/>
      <c r="H245" s="109"/>
      <c r="I245" s="109"/>
      <c r="J245" s="109"/>
    </row>
    <row r="246" spans="1:10">
      <c r="A246" s="108"/>
      <c r="B246" s="109"/>
      <c r="C246" s="109"/>
      <c r="D246" s="109"/>
      <c r="E246" s="109"/>
      <c r="F246" s="109"/>
      <c r="G246" s="109"/>
      <c r="H246" s="109"/>
      <c r="I246" s="109"/>
      <c r="J246" s="109"/>
    </row>
    <row r="247" spans="1:10">
      <c r="A247" s="108"/>
      <c r="B247" s="109"/>
      <c r="C247" s="109"/>
      <c r="D247" s="109"/>
      <c r="E247" s="109"/>
      <c r="F247" s="109"/>
      <c r="G247" s="109"/>
      <c r="H247" s="109"/>
      <c r="I247" s="109"/>
      <c r="J247" s="109"/>
    </row>
    <row r="248" spans="1:10">
      <c r="A248" s="108"/>
      <c r="B248" s="109"/>
      <c r="C248" s="109"/>
      <c r="D248" s="109"/>
      <c r="E248" s="109"/>
      <c r="F248" s="109"/>
      <c r="G248" s="109"/>
      <c r="H248" s="109"/>
      <c r="I248" s="109"/>
      <c r="J248" s="109"/>
    </row>
    <row r="249" spans="1:10">
      <c r="A249" s="108"/>
      <c r="B249" s="109"/>
      <c r="C249" s="109"/>
      <c r="D249" s="109"/>
      <c r="E249" s="109"/>
      <c r="F249" s="109"/>
      <c r="G249" s="109"/>
      <c r="H249" s="109"/>
      <c r="I249" s="109"/>
      <c r="J249" s="109"/>
    </row>
    <row r="250" spans="1:10">
      <c r="A250" s="108"/>
      <c r="B250" s="109"/>
      <c r="C250" s="109"/>
      <c r="D250" s="109"/>
      <c r="E250" s="109"/>
      <c r="F250" s="109"/>
      <c r="G250" s="109"/>
      <c r="H250" s="109"/>
      <c r="I250" s="109"/>
      <c r="J250" s="109"/>
    </row>
    <row r="251" spans="1:10">
      <c r="A251" s="108"/>
      <c r="B251" s="109"/>
      <c r="C251" s="109"/>
      <c r="D251" s="109"/>
      <c r="E251" s="109"/>
      <c r="F251" s="109"/>
      <c r="G251" s="109"/>
      <c r="H251" s="109"/>
      <c r="I251" s="109"/>
      <c r="J251" s="109"/>
    </row>
    <row r="252" spans="1:10">
      <c r="A252" s="108"/>
      <c r="B252" s="109"/>
      <c r="C252" s="109"/>
      <c r="D252" s="109"/>
      <c r="E252" s="109"/>
      <c r="F252" s="109"/>
      <c r="G252" s="109"/>
      <c r="H252" s="109"/>
      <c r="I252" s="109"/>
      <c r="J252" s="109"/>
    </row>
    <row r="253" spans="1:10">
      <c r="A253" s="108"/>
      <c r="B253" s="109"/>
      <c r="C253" s="109"/>
      <c r="D253" s="109"/>
      <c r="E253" s="109"/>
      <c r="F253" s="109"/>
      <c r="G253" s="109"/>
      <c r="H253" s="109"/>
      <c r="I253" s="109"/>
      <c r="J253" s="109"/>
    </row>
    <row r="254" spans="1:10">
      <c r="A254" s="108"/>
      <c r="B254" s="109"/>
      <c r="C254" s="109"/>
      <c r="D254" s="109"/>
      <c r="E254" s="109"/>
      <c r="F254" s="109"/>
      <c r="G254" s="109"/>
      <c r="H254" s="109"/>
      <c r="I254" s="109"/>
      <c r="J254" s="109"/>
    </row>
    <row r="255" spans="1:10">
      <c r="A255" s="108"/>
      <c r="B255" s="109"/>
      <c r="C255" s="109"/>
      <c r="D255" s="109"/>
      <c r="E255" s="109"/>
      <c r="F255" s="109"/>
      <c r="G255" s="109"/>
      <c r="H255" s="109"/>
      <c r="I255" s="109"/>
      <c r="J255" s="109"/>
    </row>
    <row r="256" spans="1:10">
      <c r="A256" s="108"/>
      <c r="B256" s="109"/>
      <c r="C256" s="109"/>
      <c r="D256" s="109"/>
      <c r="E256" s="109"/>
      <c r="F256" s="109"/>
      <c r="G256" s="109"/>
      <c r="H256" s="109"/>
      <c r="I256" s="109"/>
      <c r="J256" s="109"/>
    </row>
    <row r="257" spans="1:10">
      <c r="A257" s="108"/>
      <c r="B257" s="109"/>
      <c r="C257" s="109"/>
      <c r="D257" s="109"/>
      <c r="E257" s="109"/>
      <c r="F257" s="109"/>
      <c r="G257" s="109"/>
      <c r="H257" s="109"/>
      <c r="I257" s="109"/>
      <c r="J257" s="109"/>
    </row>
    <row r="258" spans="1:10">
      <c r="A258" s="108"/>
      <c r="B258" s="109"/>
      <c r="C258" s="109"/>
      <c r="D258" s="109"/>
      <c r="E258" s="109"/>
      <c r="F258" s="109"/>
      <c r="G258" s="109"/>
      <c r="H258" s="109"/>
      <c r="I258" s="109"/>
      <c r="J258" s="109"/>
    </row>
    <row r="259" spans="1:10">
      <c r="A259" s="108"/>
      <c r="B259" s="109"/>
      <c r="C259" s="109"/>
      <c r="D259" s="109"/>
      <c r="E259" s="109"/>
      <c r="F259" s="109"/>
      <c r="G259" s="109"/>
      <c r="H259" s="109"/>
      <c r="I259" s="109"/>
      <c r="J259" s="109"/>
    </row>
    <row r="260" spans="1:10">
      <c r="A260" s="108"/>
      <c r="B260" s="109"/>
      <c r="C260" s="109"/>
      <c r="D260" s="109"/>
      <c r="E260" s="109"/>
      <c r="F260" s="109"/>
      <c r="G260" s="109"/>
      <c r="H260" s="109"/>
      <c r="I260" s="109"/>
      <c r="J260" s="109"/>
    </row>
    <row r="261" spans="1:10">
      <c r="A261" s="108"/>
      <c r="B261" s="109"/>
      <c r="C261" s="109"/>
      <c r="D261" s="109"/>
      <c r="E261" s="109"/>
      <c r="F261" s="109"/>
      <c r="G261" s="109"/>
      <c r="H261" s="109"/>
      <c r="I261" s="109"/>
      <c r="J261" s="109"/>
    </row>
    <row r="262" spans="1:10">
      <c r="A262" s="108"/>
      <c r="B262" s="109"/>
      <c r="C262" s="109"/>
      <c r="D262" s="109"/>
      <c r="E262" s="109"/>
      <c r="F262" s="109"/>
      <c r="G262" s="109"/>
      <c r="H262" s="109"/>
      <c r="I262" s="109"/>
      <c r="J262" s="109"/>
    </row>
    <row r="263" spans="1:10">
      <c r="A263" s="108"/>
      <c r="B263" s="109"/>
      <c r="C263" s="109"/>
      <c r="D263" s="109"/>
      <c r="E263" s="109"/>
      <c r="F263" s="109"/>
      <c r="G263" s="109"/>
      <c r="H263" s="109"/>
      <c r="I263" s="109"/>
      <c r="J263" s="109"/>
    </row>
    <row r="264" spans="1:10">
      <c r="A264" s="108"/>
      <c r="B264" s="109"/>
      <c r="C264" s="109"/>
      <c r="D264" s="109"/>
      <c r="E264" s="109"/>
      <c r="F264" s="109"/>
      <c r="G264" s="109"/>
      <c r="H264" s="109"/>
      <c r="I264" s="109"/>
      <c r="J264" s="109"/>
    </row>
    <row r="265" spans="1:10">
      <c r="A265" s="108"/>
      <c r="B265" s="109"/>
      <c r="C265" s="109"/>
      <c r="D265" s="109"/>
      <c r="E265" s="109"/>
      <c r="F265" s="109"/>
      <c r="G265" s="109"/>
      <c r="H265" s="109"/>
      <c r="I265" s="109"/>
      <c r="J265" s="109"/>
    </row>
    <row r="266" spans="1:10">
      <c r="A266" s="108"/>
      <c r="B266" s="109"/>
      <c r="C266" s="109"/>
      <c r="D266" s="109"/>
      <c r="E266" s="109"/>
      <c r="F266" s="109"/>
      <c r="G266" s="109"/>
      <c r="H266" s="109"/>
      <c r="I266" s="109"/>
      <c r="J266" s="109"/>
    </row>
    <row r="267" spans="1:10">
      <c r="A267" s="108"/>
      <c r="B267" s="109"/>
      <c r="C267" s="109"/>
      <c r="D267" s="109"/>
      <c r="E267" s="109"/>
      <c r="F267" s="109"/>
      <c r="G267" s="109"/>
      <c r="H267" s="109"/>
      <c r="I267" s="109"/>
      <c r="J267" s="109"/>
    </row>
    <row r="268" spans="1:10">
      <c r="A268" s="108"/>
      <c r="B268" s="109"/>
      <c r="C268" s="109"/>
      <c r="D268" s="109"/>
      <c r="E268" s="109"/>
      <c r="F268" s="109"/>
      <c r="G268" s="109"/>
      <c r="H268" s="109"/>
      <c r="I268" s="109"/>
      <c r="J268" s="109"/>
    </row>
    <row r="269" spans="1:10">
      <c r="A269" s="108"/>
      <c r="B269" s="109"/>
      <c r="C269" s="109"/>
      <c r="D269" s="109"/>
      <c r="E269" s="109"/>
      <c r="F269" s="109"/>
      <c r="G269" s="109"/>
      <c r="H269" s="109"/>
      <c r="I269" s="109"/>
      <c r="J269" s="109"/>
    </row>
    <row r="270" spans="1:10">
      <c r="A270" s="108"/>
      <c r="B270" s="109"/>
      <c r="C270" s="109"/>
      <c r="D270" s="109"/>
      <c r="E270" s="109"/>
      <c r="F270" s="109"/>
      <c r="G270" s="109"/>
      <c r="H270" s="109"/>
      <c r="I270" s="109"/>
      <c r="J270" s="109"/>
    </row>
    <row r="271" spans="1:10">
      <c r="A271" s="108"/>
      <c r="B271" s="109"/>
      <c r="C271" s="109"/>
      <c r="D271" s="109"/>
      <c r="E271" s="109"/>
      <c r="F271" s="109"/>
      <c r="G271" s="109"/>
      <c r="H271" s="109"/>
      <c r="I271" s="109"/>
      <c r="J271" s="109"/>
    </row>
    <row r="272" spans="1:10">
      <c r="A272" s="108"/>
      <c r="B272" s="109"/>
      <c r="C272" s="109"/>
      <c r="D272" s="109"/>
      <c r="E272" s="109"/>
      <c r="F272" s="109"/>
      <c r="G272" s="109"/>
      <c r="H272" s="109"/>
      <c r="I272" s="109"/>
      <c r="J272" s="109"/>
    </row>
    <row r="273" spans="1:10">
      <c r="A273" s="108"/>
      <c r="B273" s="109"/>
      <c r="C273" s="109"/>
      <c r="D273" s="109"/>
      <c r="E273" s="109"/>
      <c r="F273" s="109"/>
      <c r="G273" s="109"/>
      <c r="H273" s="109"/>
      <c r="I273" s="109"/>
      <c r="J273" s="109"/>
    </row>
    <row r="274" spans="1:10">
      <c r="A274" s="108"/>
      <c r="B274" s="109"/>
      <c r="C274" s="109"/>
      <c r="D274" s="109"/>
      <c r="E274" s="109"/>
      <c r="F274" s="109"/>
      <c r="G274" s="109"/>
      <c r="H274" s="109"/>
      <c r="I274" s="109"/>
      <c r="J274" s="109"/>
    </row>
    <row r="275" spans="1:10">
      <c r="A275" s="108"/>
      <c r="B275" s="109"/>
      <c r="C275" s="109"/>
      <c r="D275" s="109"/>
      <c r="E275" s="109"/>
      <c r="F275" s="109"/>
      <c r="G275" s="109"/>
      <c r="H275" s="109"/>
      <c r="I275" s="109"/>
      <c r="J275" s="109"/>
    </row>
    <row r="276" spans="1:10">
      <c r="A276" s="108"/>
      <c r="B276" s="109"/>
      <c r="C276" s="109"/>
      <c r="D276" s="109"/>
      <c r="E276" s="109"/>
      <c r="F276" s="109"/>
      <c r="G276" s="109"/>
      <c r="H276" s="109"/>
      <c r="I276" s="109"/>
      <c r="J276" s="109"/>
    </row>
    <row r="277" spans="1:10">
      <c r="A277" s="108"/>
      <c r="B277" s="109"/>
      <c r="C277" s="109"/>
      <c r="D277" s="109"/>
      <c r="E277" s="109"/>
      <c r="F277" s="109"/>
      <c r="G277" s="109"/>
      <c r="H277" s="109"/>
      <c r="I277" s="109"/>
      <c r="J277" s="109"/>
    </row>
    <row r="278" spans="1:10">
      <c r="A278" s="108"/>
      <c r="B278" s="109"/>
      <c r="C278" s="109"/>
      <c r="D278" s="109"/>
      <c r="E278" s="109"/>
      <c r="F278" s="109"/>
      <c r="G278" s="109"/>
      <c r="H278" s="109"/>
      <c r="I278" s="109"/>
      <c r="J278" s="109"/>
    </row>
    <row r="279" spans="1:10">
      <c r="A279" s="108"/>
      <c r="B279" s="109"/>
      <c r="C279" s="109"/>
      <c r="D279" s="109"/>
      <c r="E279" s="109"/>
      <c r="F279" s="109"/>
      <c r="G279" s="109"/>
      <c r="H279" s="109"/>
      <c r="I279" s="109"/>
      <c r="J279" s="109"/>
    </row>
    <row r="280" spans="1:10">
      <c r="A280" s="108"/>
      <c r="B280" s="109"/>
      <c r="C280" s="109"/>
      <c r="D280" s="109"/>
      <c r="E280" s="109"/>
      <c r="F280" s="109"/>
      <c r="G280" s="109"/>
      <c r="H280" s="109"/>
      <c r="I280" s="109"/>
      <c r="J280" s="109"/>
    </row>
    <row r="281" spans="1:10">
      <c r="A281" s="108"/>
      <c r="B281" s="109"/>
      <c r="C281" s="109"/>
      <c r="D281" s="109"/>
      <c r="E281" s="109"/>
      <c r="F281" s="109"/>
      <c r="G281" s="109"/>
      <c r="H281" s="109"/>
      <c r="I281" s="109"/>
      <c r="J281" s="109"/>
    </row>
    <row r="282" spans="1:10">
      <c r="A282" s="108"/>
      <c r="B282" s="109"/>
      <c r="C282" s="109"/>
      <c r="D282" s="109"/>
      <c r="E282" s="109"/>
      <c r="F282" s="109"/>
      <c r="G282" s="109"/>
      <c r="H282" s="109"/>
      <c r="I282" s="109"/>
      <c r="J282" s="109"/>
    </row>
    <row r="283" spans="1:10">
      <c r="A283" s="108"/>
      <c r="B283" s="109"/>
      <c r="C283" s="109"/>
      <c r="D283" s="109"/>
      <c r="E283" s="109"/>
      <c r="F283" s="109"/>
      <c r="G283" s="109"/>
      <c r="H283" s="109"/>
      <c r="I283" s="109"/>
      <c r="J283" s="109"/>
    </row>
    <row r="284" spans="1:10">
      <c r="A284" s="108"/>
      <c r="B284" s="109"/>
      <c r="C284" s="109"/>
      <c r="D284" s="109"/>
      <c r="E284" s="109"/>
      <c r="F284" s="109"/>
      <c r="G284" s="109"/>
      <c r="H284" s="109"/>
      <c r="I284" s="109"/>
      <c r="J284" s="109"/>
    </row>
    <row r="285" spans="1:10">
      <c r="A285" s="108"/>
      <c r="B285" s="109"/>
      <c r="C285" s="109"/>
      <c r="D285" s="109"/>
      <c r="E285" s="109"/>
      <c r="F285" s="109"/>
      <c r="G285" s="109"/>
      <c r="H285" s="109"/>
      <c r="I285" s="109"/>
      <c r="J285" s="109"/>
    </row>
    <row r="286" spans="1:10">
      <c r="A286" s="108"/>
      <c r="B286" s="109"/>
      <c r="C286" s="109"/>
      <c r="D286" s="109"/>
      <c r="E286" s="109"/>
      <c r="F286" s="109"/>
      <c r="G286" s="109"/>
      <c r="H286" s="109"/>
      <c r="I286" s="109"/>
      <c r="J286" s="109"/>
    </row>
    <row r="287" spans="1:10">
      <c r="A287" s="108"/>
      <c r="B287" s="109"/>
      <c r="C287" s="109"/>
      <c r="D287" s="109"/>
      <c r="E287" s="109"/>
      <c r="F287" s="109"/>
      <c r="G287" s="109"/>
      <c r="H287" s="109"/>
      <c r="I287" s="109"/>
      <c r="J287" s="109"/>
    </row>
    <row r="288" spans="1:10">
      <c r="A288" s="108"/>
      <c r="B288" s="109"/>
      <c r="C288" s="109"/>
      <c r="D288" s="109"/>
      <c r="E288" s="109"/>
      <c r="F288" s="109"/>
      <c r="G288" s="109"/>
      <c r="H288" s="109"/>
      <c r="I288" s="109"/>
      <c r="J288" s="109"/>
    </row>
    <row r="289" spans="1:10">
      <c r="A289" s="108"/>
      <c r="B289" s="109"/>
      <c r="C289" s="109"/>
      <c r="D289" s="109"/>
      <c r="E289" s="109"/>
      <c r="F289" s="109"/>
      <c r="G289" s="109"/>
      <c r="H289" s="109"/>
      <c r="I289" s="109"/>
      <c r="J289" s="109"/>
    </row>
    <row r="290" spans="1:10">
      <c r="A290" s="108"/>
      <c r="B290" s="109"/>
      <c r="C290" s="109"/>
      <c r="D290" s="109"/>
      <c r="E290" s="109"/>
      <c r="F290" s="109"/>
      <c r="G290" s="109"/>
      <c r="H290" s="109"/>
      <c r="I290" s="109"/>
      <c r="J290" s="109"/>
    </row>
    <row r="291" spans="1:10">
      <c r="A291" s="108"/>
      <c r="B291" s="109"/>
      <c r="C291" s="109"/>
      <c r="D291" s="109"/>
      <c r="E291" s="109"/>
      <c r="F291" s="109"/>
      <c r="G291" s="109"/>
      <c r="H291" s="109"/>
      <c r="I291" s="109"/>
      <c r="J291" s="109"/>
    </row>
    <row r="292" spans="1:10">
      <c r="A292" s="108"/>
      <c r="B292" s="109"/>
      <c r="C292" s="109"/>
      <c r="D292" s="109"/>
      <c r="E292" s="109"/>
      <c r="F292" s="109"/>
      <c r="G292" s="109"/>
      <c r="H292" s="109"/>
      <c r="I292" s="109"/>
      <c r="J292" s="109"/>
    </row>
    <row r="293" spans="1:10">
      <c r="A293" s="108"/>
      <c r="B293" s="109"/>
      <c r="C293" s="109"/>
      <c r="D293" s="109"/>
      <c r="E293" s="109"/>
      <c r="F293" s="109"/>
      <c r="G293" s="109"/>
      <c r="H293" s="109"/>
      <c r="I293" s="109"/>
      <c r="J293" s="109"/>
    </row>
    <row r="294" spans="1:10">
      <c r="A294" s="108"/>
      <c r="B294" s="109"/>
      <c r="C294" s="109"/>
      <c r="D294" s="109"/>
      <c r="E294" s="109"/>
      <c r="F294" s="109"/>
      <c r="G294" s="109"/>
      <c r="H294" s="109"/>
      <c r="I294" s="109"/>
      <c r="J294" s="109"/>
    </row>
    <row r="295" spans="1:10">
      <c r="A295" s="108"/>
      <c r="B295" s="109"/>
      <c r="C295" s="109"/>
      <c r="D295" s="109"/>
      <c r="E295" s="109"/>
      <c r="F295" s="109"/>
      <c r="G295" s="109"/>
      <c r="H295" s="109"/>
      <c r="I295" s="109"/>
      <c r="J295" s="109"/>
    </row>
    <row r="296" spans="1:10">
      <c r="A296" s="108"/>
      <c r="B296" s="109"/>
      <c r="C296" s="109"/>
      <c r="D296" s="109"/>
      <c r="E296" s="109"/>
      <c r="F296" s="109"/>
      <c r="G296" s="109"/>
      <c r="H296" s="109"/>
      <c r="I296" s="109"/>
      <c r="J296" s="109"/>
    </row>
    <row r="297" spans="1:10">
      <c r="A297" s="108"/>
      <c r="B297" s="109"/>
      <c r="C297" s="109"/>
      <c r="D297" s="109"/>
      <c r="E297" s="109"/>
      <c r="F297" s="109"/>
      <c r="G297" s="109"/>
      <c r="H297" s="109"/>
      <c r="I297" s="109"/>
      <c r="J297" s="109"/>
    </row>
    <row r="298" spans="1:10">
      <c r="A298" s="108"/>
      <c r="B298" s="109"/>
      <c r="C298" s="109"/>
      <c r="D298" s="109"/>
      <c r="E298" s="109"/>
      <c r="F298" s="109"/>
      <c r="G298" s="109"/>
      <c r="H298" s="109"/>
      <c r="I298" s="109"/>
      <c r="J298" s="109"/>
    </row>
    <row r="299" spans="1:10">
      <c r="A299" s="108"/>
      <c r="B299" s="109"/>
      <c r="C299" s="109"/>
      <c r="D299" s="109"/>
      <c r="E299" s="109"/>
      <c r="F299" s="109"/>
      <c r="G299" s="109"/>
      <c r="H299" s="109"/>
      <c r="I299" s="109"/>
      <c r="J299" s="109"/>
    </row>
    <row r="300" spans="1:10">
      <c r="A300" s="108"/>
      <c r="B300" s="109"/>
      <c r="C300" s="109"/>
      <c r="D300" s="109"/>
      <c r="E300" s="109"/>
      <c r="F300" s="109"/>
      <c r="G300" s="109"/>
      <c r="H300" s="109"/>
      <c r="I300" s="109"/>
      <c r="J300" s="109"/>
    </row>
    <row r="301" spans="1:10">
      <c r="A301" s="108"/>
      <c r="B301" s="109"/>
      <c r="C301" s="109"/>
      <c r="D301" s="109"/>
      <c r="E301" s="109"/>
      <c r="F301" s="109"/>
      <c r="G301" s="109"/>
      <c r="H301" s="109"/>
      <c r="I301" s="109"/>
      <c r="J301" s="109"/>
    </row>
    <row r="302" spans="1:10">
      <c r="A302" s="108"/>
      <c r="B302" s="109"/>
      <c r="C302" s="109"/>
      <c r="D302" s="109"/>
      <c r="E302" s="109"/>
      <c r="F302" s="109"/>
      <c r="G302" s="109"/>
      <c r="H302" s="109"/>
      <c r="I302" s="109"/>
      <c r="J302" s="109"/>
    </row>
    <row r="303" spans="1:10">
      <c r="A303" s="108"/>
      <c r="B303" s="109"/>
      <c r="C303" s="109"/>
      <c r="D303" s="109"/>
      <c r="E303" s="109"/>
      <c r="F303" s="109"/>
      <c r="G303" s="109"/>
      <c r="H303" s="109"/>
      <c r="I303" s="109"/>
      <c r="J303" s="109"/>
    </row>
    <row r="304" spans="1:10">
      <c r="A304" s="108"/>
      <c r="B304" s="109"/>
      <c r="C304" s="109"/>
      <c r="D304" s="109"/>
      <c r="E304" s="109"/>
      <c r="F304" s="109"/>
      <c r="G304" s="109"/>
      <c r="H304" s="109"/>
      <c r="I304" s="109"/>
      <c r="J304" s="109"/>
    </row>
    <row r="305" spans="1:10">
      <c r="A305" s="108"/>
      <c r="B305" s="109"/>
      <c r="C305" s="109"/>
      <c r="D305" s="109"/>
      <c r="E305" s="109"/>
      <c r="F305" s="109"/>
      <c r="G305" s="109"/>
      <c r="H305" s="109"/>
      <c r="I305" s="109"/>
      <c r="J305" s="109"/>
    </row>
    <row r="306" spans="1:10">
      <c r="A306" s="108"/>
      <c r="B306" s="109"/>
      <c r="C306" s="109"/>
      <c r="D306" s="109"/>
      <c r="E306" s="109"/>
      <c r="F306" s="109"/>
      <c r="G306" s="109"/>
      <c r="H306" s="109"/>
      <c r="I306" s="109"/>
      <c r="J306" s="109"/>
    </row>
    <row r="307" spans="1:10">
      <c r="A307" s="108"/>
      <c r="B307" s="109"/>
      <c r="C307" s="109"/>
      <c r="D307" s="109"/>
      <c r="E307" s="109"/>
      <c r="F307" s="109"/>
      <c r="G307" s="109"/>
      <c r="H307" s="109"/>
      <c r="I307" s="109"/>
      <c r="J307" s="109"/>
    </row>
    <row r="308" spans="1:10">
      <c r="A308" s="108"/>
      <c r="B308" s="109"/>
      <c r="C308" s="109"/>
      <c r="D308" s="109"/>
      <c r="E308" s="109"/>
      <c r="F308" s="109"/>
      <c r="G308" s="109"/>
      <c r="H308" s="109"/>
      <c r="I308" s="109"/>
      <c r="J308" s="109"/>
    </row>
    <row r="309" spans="1:10">
      <c r="A309" s="108"/>
      <c r="B309" s="109"/>
      <c r="C309" s="109"/>
      <c r="D309" s="109"/>
      <c r="E309" s="109"/>
      <c r="F309" s="109"/>
      <c r="G309" s="109"/>
      <c r="H309" s="109"/>
      <c r="I309" s="109"/>
      <c r="J309" s="109"/>
    </row>
    <row r="310" spans="1:10">
      <c r="A310" s="108"/>
      <c r="B310" s="109"/>
      <c r="C310" s="109"/>
      <c r="D310" s="109"/>
      <c r="E310" s="109"/>
      <c r="F310" s="109"/>
      <c r="G310" s="109"/>
      <c r="H310" s="109"/>
      <c r="I310" s="109"/>
      <c r="J310" s="109"/>
    </row>
    <row r="311" spans="1:10">
      <c r="A311" s="108"/>
      <c r="B311" s="109"/>
      <c r="C311" s="109"/>
      <c r="D311" s="109"/>
      <c r="E311" s="109"/>
      <c r="F311" s="109"/>
      <c r="G311" s="109"/>
      <c r="H311" s="109"/>
      <c r="I311" s="109"/>
      <c r="J311" s="109"/>
    </row>
    <row r="312" spans="1:10">
      <c r="A312" s="108"/>
      <c r="B312" s="109"/>
      <c r="C312" s="109"/>
      <c r="D312" s="109"/>
      <c r="E312" s="109"/>
      <c r="F312" s="109"/>
      <c r="G312" s="109"/>
      <c r="H312" s="109"/>
      <c r="I312" s="109"/>
      <c r="J312" s="109"/>
    </row>
    <row r="313" spans="1:10">
      <c r="A313" s="108"/>
      <c r="B313" s="109"/>
      <c r="C313" s="109"/>
      <c r="D313" s="109"/>
      <c r="E313" s="109"/>
      <c r="F313" s="109"/>
      <c r="G313" s="109"/>
      <c r="H313" s="109"/>
      <c r="I313" s="109"/>
      <c r="J313" s="109"/>
    </row>
    <row r="314" spans="1:10">
      <c r="A314" s="108"/>
      <c r="B314" s="109"/>
      <c r="C314" s="109"/>
      <c r="D314" s="109"/>
      <c r="E314" s="109"/>
      <c r="F314" s="109"/>
      <c r="G314" s="109"/>
      <c r="H314" s="109"/>
      <c r="I314" s="109"/>
      <c r="J314" s="109"/>
    </row>
    <row r="315" spans="1:10">
      <c r="A315" s="108"/>
      <c r="B315" s="109"/>
      <c r="C315" s="109"/>
      <c r="D315" s="109"/>
      <c r="E315" s="109"/>
      <c r="F315" s="109"/>
      <c r="G315" s="109"/>
      <c r="H315" s="109"/>
      <c r="I315" s="109"/>
      <c r="J315" s="109"/>
    </row>
    <row r="316" spans="1:10">
      <c r="A316" s="108"/>
      <c r="B316" s="109"/>
      <c r="C316" s="109"/>
      <c r="D316" s="109"/>
      <c r="E316" s="109"/>
      <c r="F316" s="109"/>
      <c r="G316" s="109"/>
      <c r="H316" s="109"/>
      <c r="I316" s="109"/>
      <c r="J316" s="109"/>
    </row>
    <row r="317" spans="1:10">
      <c r="A317" s="108"/>
      <c r="B317" s="109"/>
      <c r="C317" s="109"/>
      <c r="D317" s="109"/>
      <c r="E317" s="109"/>
      <c r="F317" s="109"/>
      <c r="G317" s="109"/>
      <c r="H317" s="109"/>
      <c r="I317" s="109"/>
      <c r="J317" s="109"/>
    </row>
    <row r="318" spans="1:10">
      <c r="A318" s="108"/>
      <c r="B318" s="109"/>
      <c r="C318" s="109"/>
      <c r="D318" s="109"/>
      <c r="E318" s="109"/>
      <c r="F318" s="109"/>
      <c r="G318" s="109"/>
      <c r="H318" s="109"/>
      <c r="I318" s="109"/>
      <c r="J318" s="109"/>
    </row>
    <row r="319" spans="1:10">
      <c r="A319" s="108"/>
      <c r="B319" s="109"/>
      <c r="C319" s="109"/>
      <c r="D319" s="109"/>
      <c r="E319" s="109"/>
      <c r="F319" s="109"/>
      <c r="G319" s="109"/>
      <c r="H319" s="109"/>
      <c r="I319" s="109"/>
      <c r="J319" s="109"/>
    </row>
    <row r="320" spans="1:10">
      <c r="A320" s="108"/>
      <c r="B320" s="109"/>
      <c r="C320" s="109"/>
      <c r="D320" s="109"/>
      <c r="E320" s="109"/>
      <c r="F320" s="109"/>
      <c r="G320" s="109"/>
      <c r="H320" s="109"/>
      <c r="I320" s="109"/>
      <c r="J320" s="109"/>
    </row>
    <row r="321" spans="1:10">
      <c r="A321" s="108"/>
      <c r="B321" s="109"/>
      <c r="C321" s="109"/>
      <c r="D321" s="109"/>
      <c r="E321" s="109"/>
      <c r="F321" s="109"/>
      <c r="G321" s="109"/>
      <c r="H321" s="109"/>
      <c r="I321" s="109"/>
      <c r="J321" s="109"/>
    </row>
    <row r="322" spans="1:10">
      <c r="A322" s="108"/>
      <c r="B322" s="109"/>
      <c r="C322" s="109"/>
      <c r="D322" s="109"/>
      <c r="E322" s="109"/>
      <c r="F322" s="109"/>
      <c r="G322" s="109"/>
      <c r="H322" s="109"/>
      <c r="I322" s="109"/>
      <c r="J322" s="109"/>
    </row>
    <row r="323" spans="1:10">
      <c r="A323" s="108"/>
      <c r="B323" s="109"/>
      <c r="C323" s="109"/>
      <c r="D323" s="109"/>
      <c r="E323" s="109"/>
      <c r="F323" s="109"/>
      <c r="G323" s="109"/>
      <c r="H323" s="109"/>
      <c r="I323" s="109"/>
      <c r="J323" s="109"/>
    </row>
    <row r="324" spans="1:10">
      <c r="A324" s="108"/>
      <c r="B324" s="109"/>
      <c r="C324" s="109"/>
      <c r="D324" s="109"/>
      <c r="E324" s="109"/>
      <c r="F324" s="109"/>
      <c r="G324" s="109"/>
      <c r="H324" s="109"/>
      <c r="I324" s="109"/>
      <c r="J324" s="109"/>
    </row>
    <row r="325" spans="1:10">
      <c r="A325" s="108"/>
      <c r="B325" s="109"/>
      <c r="C325" s="109"/>
      <c r="D325" s="109"/>
      <c r="E325" s="109"/>
      <c r="F325" s="109"/>
      <c r="G325" s="109"/>
      <c r="H325" s="109"/>
      <c r="I325" s="109"/>
      <c r="J325" s="109"/>
    </row>
    <row r="326" spans="1:10">
      <c r="A326" s="108"/>
      <c r="B326" s="109"/>
      <c r="C326" s="109"/>
      <c r="D326" s="109"/>
      <c r="E326" s="109"/>
      <c r="F326" s="109"/>
      <c r="G326" s="109"/>
      <c r="H326" s="109"/>
      <c r="I326" s="109"/>
      <c r="J326" s="109"/>
    </row>
    <row r="327" spans="1:10">
      <c r="A327" s="108"/>
      <c r="B327" s="109"/>
      <c r="C327" s="109"/>
      <c r="D327" s="109"/>
      <c r="E327" s="109"/>
      <c r="F327" s="109"/>
      <c r="G327" s="109"/>
      <c r="H327" s="109"/>
      <c r="I327" s="109"/>
      <c r="J327" s="109"/>
    </row>
    <row r="328" spans="1:10">
      <c r="A328" s="108"/>
      <c r="B328" s="109"/>
      <c r="C328" s="109"/>
      <c r="D328" s="109"/>
      <c r="E328" s="109"/>
      <c r="F328" s="109"/>
      <c r="G328" s="109"/>
      <c r="H328" s="109"/>
      <c r="I328" s="109"/>
      <c r="J328" s="109"/>
    </row>
    <row r="329" spans="1:10">
      <c r="A329" s="108"/>
      <c r="B329" s="109"/>
      <c r="C329" s="109"/>
      <c r="D329" s="109"/>
      <c r="E329" s="109"/>
      <c r="F329" s="109"/>
      <c r="G329" s="109"/>
      <c r="H329" s="109"/>
      <c r="I329" s="109"/>
      <c r="J329" s="109"/>
    </row>
    <row r="330" spans="1:10">
      <c r="A330" s="108"/>
      <c r="B330" s="109"/>
      <c r="C330" s="109"/>
      <c r="D330" s="109"/>
      <c r="E330" s="109"/>
      <c r="F330" s="109"/>
      <c r="G330" s="109"/>
      <c r="H330" s="109"/>
      <c r="I330" s="109"/>
      <c r="J330" s="109"/>
    </row>
    <row r="331" spans="1:10">
      <c r="A331" s="108"/>
      <c r="B331" s="109"/>
      <c r="C331" s="109"/>
      <c r="D331" s="109"/>
      <c r="E331" s="109"/>
      <c r="F331" s="109"/>
      <c r="G331" s="109"/>
      <c r="H331" s="109"/>
      <c r="I331" s="109"/>
      <c r="J331" s="109"/>
    </row>
    <row r="332" spans="1:10">
      <c r="A332" s="108"/>
      <c r="B332" s="109"/>
      <c r="C332" s="109"/>
      <c r="D332" s="109"/>
      <c r="E332" s="109"/>
      <c r="F332" s="109"/>
      <c r="G332" s="109"/>
      <c r="H332" s="109"/>
      <c r="I332" s="109"/>
      <c r="J332" s="109"/>
    </row>
    <row r="333" spans="1:10">
      <c r="A333" s="108"/>
      <c r="B333" s="109"/>
      <c r="C333" s="109"/>
      <c r="D333" s="109"/>
      <c r="E333" s="109"/>
      <c r="F333" s="109"/>
      <c r="G333" s="109"/>
      <c r="H333" s="109"/>
      <c r="I333" s="109"/>
      <c r="J333" s="109"/>
    </row>
    <row r="334" spans="1:10">
      <c r="A334" s="108"/>
      <c r="B334" s="109"/>
      <c r="C334" s="109"/>
      <c r="D334" s="109"/>
      <c r="E334" s="109"/>
      <c r="F334" s="109"/>
      <c r="G334" s="109"/>
      <c r="H334" s="109"/>
      <c r="I334" s="109"/>
      <c r="J334" s="109"/>
    </row>
    <row r="335" spans="1:10">
      <c r="A335" s="108"/>
      <c r="B335" s="109"/>
      <c r="C335" s="109"/>
      <c r="D335" s="109"/>
      <c r="E335" s="109"/>
      <c r="F335" s="109"/>
      <c r="G335" s="109"/>
      <c r="H335" s="109"/>
      <c r="I335" s="109"/>
      <c r="J335" s="109"/>
    </row>
    <row r="336" spans="1:10">
      <c r="A336" s="108"/>
      <c r="B336" s="109"/>
      <c r="C336" s="109"/>
      <c r="D336" s="109"/>
      <c r="E336" s="109"/>
      <c r="F336" s="109"/>
      <c r="G336" s="109"/>
      <c r="H336" s="109"/>
      <c r="I336" s="109"/>
      <c r="J336" s="109"/>
    </row>
    <row r="337" spans="1:10">
      <c r="A337" s="108"/>
      <c r="B337" s="109"/>
      <c r="C337" s="109"/>
      <c r="D337" s="109"/>
      <c r="E337" s="109"/>
      <c r="F337" s="109"/>
      <c r="G337" s="109"/>
      <c r="H337" s="109"/>
      <c r="I337" s="109"/>
      <c r="J337" s="109"/>
    </row>
    <row r="338" spans="1:10">
      <c r="A338" s="108"/>
      <c r="B338" s="109"/>
      <c r="C338" s="109"/>
      <c r="D338" s="109"/>
      <c r="E338" s="109"/>
      <c r="F338" s="109"/>
      <c r="G338" s="109"/>
      <c r="H338" s="109"/>
      <c r="I338" s="109"/>
      <c r="J338" s="109"/>
    </row>
    <row r="339" spans="1:10">
      <c r="A339" s="108"/>
      <c r="B339" s="109"/>
      <c r="C339" s="109"/>
      <c r="D339" s="109"/>
      <c r="E339" s="109"/>
      <c r="F339" s="109"/>
      <c r="G339" s="109"/>
      <c r="H339" s="109"/>
      <c r="I339" s="109"/>
      <c r="J339" s="109"/>
    </row>
    <row r="340" spans="1:10">
      <c r="A340" s="108"/>
      <c r="B340" s="109"/>
      <c r="C340" s="109"/>
      <c r="D340" s="109"/>
      <c r="E340" s="109"/>
      <c r="F340" s="109"/>
      <c r="G340" s="109"/>
      <c r="H340" s="109"/>
      <c r="I340" s="109"/>
      <c r="J340" s="109"/>
    </row>
    <row r="341" spans="1:10">
      <c r="A341" s="108"/>
      <c r="B341" s="109"/>
      <c r="C341" s="109"/>
      <c r="D341" s="109"/>
      <c r="E341" s="109"/>
      <c r="F341" s="109"/>
      <c r="G341" s="109"/>
      <c r="H341" s="109"/>
      <c r="I341" s="109"/>
      <c r="J341" s="109"/>
    </row>
    <row r="342" spans="1:10">
      <c r="A342" s="108"/>
      <c r="B342" s="109"/>
      <c r="C342" s="109"/>
      <c r="D342" s="109"/>
      <c r="E342" s="109"/>
      <c r="F342" s="109"/>
      <c r="G342" s="109"/>
      <c r="H342" s="109"/>
      <c r="I342" s="109"/>
      <c r="J342" s="109"/>
    </row>
    <row r="343" spans="1:10">
      <c r="A343" s="108"/>
      <c r="B343" s="109"/>
      <c r="C343" s="109"/>
      <c r="D343" s="109"/>
      <c r="E343" s="109"/>
      <c r="F343" s="109"/>
      <c r="G343" s="109"/>
      <c r="H343" s="109"/>
      <c r="I343" s="109"/>
      <c r="J343" s="109"/>
    </row>
    <row r="344" spans="1:10">
      <c r="A344" s="108"/>
      <c r="B344" s="109"/>
      <c r="C344" s="109"/>
      <c r="D344" s="109"/>
      <c r="E344" s="109"/>
      <c r="F344" s="109"/>
      <c r="G344" s="109"/>
      <c r="H344" s="109"/>
      <c r="I344" s="109"/>
      <c r="J344" s="109"/>
    </row>
    <row r="345" spans="1:10">
      <c r="A345" s="108"/>
      <c r="B345" s="109"/>
      <c r="C345" s="109"/>
      <c r="D345" s="109"/>
      <c r="E345" s="109"/>
      <c r="F345" s="109"/>
      <c r="G345" s="109"/>
      <c r="H345" s="109"/>
      <c r="I345" s="109"/>
      <c r="J345" s="109"/>
    </row>
    <row r="346" spans="1:10">
      <c r="A346" s="108"/>
      <c r="B346" s="109"/>
      <c r="C346" s="109"/>
      <c r="D346" s="109"/>
      <c r="E346" s="109"/>
      <c r="F346" s="109"/>
      <c r="G346" s="109"/>
      <c r="H346" s="109"/>
      <c r="I346" s="109"/>
      <c r="J346" s="109"/>
    </row>
    <row r="347" spans="1:10">
      <c r="A347" s="108"/>
      <c r="B347" s="109"/>
      <c r="C347" s="109"/>
      <c r="D347" s="109"/>
      <c r="E347" s="109"/>
      <c r="F347" s="109"/>
      <c r="G347" s="109"/>
      <c r="H347" s="109"/>
      <c r="I347" s="109"/>
      <c r="J347" s="109"/>
    </row>
    <row r="348" spans="1:10">
      <c r="A348" s="108"/>
      <c r="B348" s="109"/>
      <c r="C348" s="109"/>
      <c r="D348" s="109"/>
      <c r="E348" s="109"/>
      <c r="F348" s="109"/>
      <c r="G348" s="109"/>
      <c r="H348" s="109"/>
      <c r="I348" s="109"/>
      <c r="J348" s="109"/>
    </row>
    <row r="349" spans="1:10">
      <c r="A349" s="108"/>
      <c r="B349" s="109"/>
      <c r="C349" s="109"/>
      <c r="D349" s="109"/>
      <c r="E349" s="109"/>
      <c r="F349" s="109"/>
      <c r="G349" s="109"/>
      <c r="H349" s="109"/>
      <c r="I349" s="109"/>
      <c r="J349" s="109"/>
    </row>
    <row r="350" spans="1:10">
      <c r="A350" s="108"/>
      <c r="B350" s="109"/>
      <c r="C350" s="109"/>
      <c r="D350" s="109"/>
      <c r="E350" s="109"/>
      <c r="F350" s="109"/>
      <c r="G350" s="109"/>
      <c r="H350" s="109"/>
      <c r="I350" s="109"/>
      <c r="J350" s="109"/>
    </row>
    <row r="351" spans="1:10">
      <c r="A351" s="108"/>
      <c r="B351" s="109"/>
      <c r="C351" s="109"/>
      <c r="D351" s="109"/>
      <c r="E351" s="109"/>
      <c r="F351" s="109"/>
      <c r="G351" s="109"/>
      <c r="H351" s="109"/>
      <c r="I351" s="109"/>
      <c r="J351" s="109"/>
    </row>
    <row r="352" spans="1:10">
      <c r="A352" s="108"/>
      <c r="B352" s="109"/>
      <c r="C352" s="109"/>
      <c r="D352" s="109"/>
      <c r="E352" s="109"/>
      <c r="F352" s="109"/>
      <c r="G352" s="109"/>
      <c r="H352" s="109"/>
      <c r="I352" s="109"/>
      <c r="J352" s="109"/>
    </row>
    <row r="353" spans="1:10">
      <c r="A353" s="108"/>
      <c r="B353" s="109"/>
      <c r="C353" s="109"/>
      <c r="D353" s="109"/>
      <c r="E353" s="109"/>
      <c r="F353" s="109"/>
      <c r="G353" s="109"/>
      <c r="H353" s="109"/>
      <c r="I353" s="109"/>
      <c r="J353" s="109"/>
    </row>
    <row r="354" spans="1:10">
      <c r="A354" s="108"/>
      <c r="B354" s="109"/>
      <c r="C354" s="109"/>
      <c r="D354" s="109"/>
      <c r="E354" s="109"/>
      <c r="F354" s="109"/>
      <c r="G354" s="109"/>
      <c r="H354" s="109"/>
      <c r="I354" s="109"/>
      <c r="J354" s="109"/>
    </row>
    <row r="355" spans="1:10">
      <c r="A355" s="108"/>
      <c r="B355" s="109"/>
      <c r="C355" s="109"/>
      <c r="D355" s="109"/>
      <c r="E355" s="109"/>
      <c r="F355" s="109"/>
      <c r="G355" s="109"/>
      <c r="H355" s="109"/>
      <c r="I355" s="109"/>
      <c r="J355" s="109"/>
    </row>
    <row r="356" spans="1:10">
      <c r="A356" s="108"/>
      <c r="B356" s="109"/>
      <c r="C356" s="109"/>
      <c r="D356" s="109"/>
      <c r="E356" s="109"/>
      <c r="F356" s="109"/>
      <c r="G356" s="109"/>
      <c r="H356" s="109"/>
      <c r="I356" s="109"/>
      <c r="J356" s="109"/>
    </row>
    <row r="357" spans="1:10">
      <c r="A357" s="108"/>
      <c r="B357" s="109"/>
      <c r="C357" s="109"/>
      <c r="D357" s="109"/>
      <c r="E357" s="109"/>
      <c r="F357" s="109"/>
      <c r="G357" s="109"/>
      <c r="H357" s="109"/>
      <c r="I357" s="109"/>
      <c r="J357" s="109"/>
    </row>
    <row r="358" spans="1:10">
      <c r="A358" s="108"/>
      <c r="B358" s="109"/>
      <c r="C358" s="109"/>
      <c r="D358" s="109"/>
      <c r="E358" s="109"/>
      <c r="F358" s="109"/>
      <c r="G358" s="109"/>
      <c r="H358" s="109"/>
      <c r="I358" s="109"/>
      <c r="J358" s="109"/>
    </row>
    <row r="359" spans="1:10">
      <c r="A359" s="108"/>
      <c r="B359" s="109"/>
      <c r="C359" s="109"/>
      <c r="D359" s="109"/>
      <c r="E359" s="109"/>
      <c r="F359" s="109"/>
      <c r="G359" s="109"/>
      <c r="H359" s="109"/>
      <c r="I359" s="109"/>
      <c r="J359" s="109"/>
    </row>
    <row r="360" spans="1:10">
      <c r="A360" s="108"/>
      <c r="B360" s="109"/>
      <c r="C360" s="109"/>
      <c r="D360" s="109"/>
      <c r="E360" s="109"/>
      <c r="F360" s="109"/>
      <c r="G360" s="109"/>
      <c r="H360" s="109"/>
      <c r="I360" s="109"/>
      <c r="J360" s="109"/>
    </row>
    <row r="361" spans="1:10">
      <c r="A361" s="108"/>
      <c r="B361" s="109"/>
      <c r="C361" s="109"/>
      <c r="D361" s="109"/>
      <c r="E361" s="109"/>
      <c r="F361" s="109"/>
      <c r="G361" s="109"/>
      <c r="H361" s="109"/>
      <c r="I361" s="109"/>
      <c r="J361" s="109"/>
    </row>
    <row r="362" spans="1:10">
      <c r="A362" s="108"/>
      <c r="B362" s="109"/>
      <c r="C362" s="109"/>
      <c r="D362" s="109"/>
      <c r="E362" s="109"/>
      <c r="F362" s="109"/>
      <c r="G362" s="109"/>
      <c r="H362" s="109"/>
      <c r="I362" s="109"/>
      <c r="J362" s="109"/>
    </row>
    <row r="363" spans="1:10">
      <c r="A363" s="108"/>
      <c r="B363" s="109"/>
      <c r="C363" s="109"/>
      <c r="D363" s="109"/>
      <c r="E363" s="109"/>
      <c r="F363" s="109"/>
      <c r="G363" s="109"/>
      <c r="H363" s="109"/>
      <c r="I363" s="109"/>
      <c r="J363" s="109"/>
    </row>
    <row r="364" spans="1:10">
      <c r="A364" s="108"/>
      <c r="B364" s="109"/>
      <c r="C364" s="109"/>
      <c r="D364" s="109"/>
      <c r="E364" s="109"/>
      <c r="F364" s="109"/>
      <c r="G364" s="109"/>
      <c r="H364" s="109"/>
      <c r="I364" s="109"/>
      <c r="J364" s="109"/>
    </row>
    <row r="365" spans="1:10">
      <c r="A365" s="108"/>
      <c r="B365" s="109"/>
      <c r="C365" s="109"/>
      <c r="D365" s="109"/>
      <c r="E365" s="109"/>
      <c r="F365" s="109"/>
      <c r="G365" s="109"/>
      <c r="H365" s="109"/>
      <c r="I365" s="109"/>
      <c r="J365" s="109"/>
    </row>
    <row r="366" spans="1:10">
      <c r="A366" s="108"/>
      <c r="B366" s="109"/>
      <c r="C366" s="109"/>
      <c r="D366" s="109"/>
      <c r="E366" s="109"/>
      <c r="F366" s="109"/>
      <c r="G366" s="109"/>
      <c r="H366" s="109"/>
      <c r="I366" s="109"/>
      <c r="J366" s="109"/>
    </row>
    <row r="367" spans="1:10">
      <c r="A367" s="108"/>
      <c r="B367" s="109"/>
      <c r="C367" s="109"/>
      <c r="D367" s="109"/>
      <c r="E367" s="109"/>
      <c r="F367" s="109"/>
      <c r="G367" s="109"/>
      <c r="H367" s="109"/>
      <c r="I367" s="109"/>
      <c r="J367" s="109"/>
    </row>
    <row r="368" spans="1:10">
      <c r="A368" s="108"/>
      <c r="B368" s="109"/>
      <c r="C368" s="109"/>
      <c r="D368" s="109"/>
      <c r="E368" s="109"/>
      <c r="F368" s="109"/>
      <c r="G368" s="109"/>
      <c r="H368" s="109"/>
      <c r="I368" s="109"/>
      <c r="J368" s="109"/>
    </row>
    <row r="369" spans="1:10">
      <c r="A369" s="108"/>
      <c r="B369" s="109"/>
      <c r="C369" s="109"/>
      <c r="D369" s="109"/>
      <c r="E369" s="109"/>
      <c r="F369" s="109"/>
      <c r="G369" s="109"/>
      <c r="H369" s="109"/>
      <c r="I369" s="109"/>
      <c r="J369" s="109"/>
    </row>
    <row r="370" spans="1:10">
      <c r="A370" s="108"/>
      <c r="B370" s="109"/>
      <c r="C370" s="109"/>
      <c r="D370" s="109"/>
      <c r="E370" s="109"/>
      <c r="F370" s="109"/>
      <c r="G370" s="109"/>
      <c r="H370" s="109"/>
      <c r="I370" s="109"/>
      <c r="J370" s="109"/>
    </row>
    <row r="371" spans="1:10">
      <c r="A371" s="108"/>
      <c r="B371" s="109"/>
      <c r="C371" s="109"/>
      <c r="D371" s="109"/>
      <c r="E371" s="109"/>
      <c r="F371" s="109"/>
      <c r="G371" s="109"/>
      <c r="H371" s="109"/>
      <c r="I371" s="109"/>
      <c r="J371" s="109"/>
    </row>
    <row r="372" spans="1:10">
      <c r="A372" s="108"/>
      <c r="B372" s="109"/>
      <c r="C372" s="109"/>
      <c r="D372" s="109"/>
      <c r="E372" s="109"/>
      <c r="F372" s="109"/>
      <c r="G372" s="109"/>
      <c r="H372" s="109"/>
      <c r="I372" s="109"/>
      <c r="J372" s="109"/>
    </row>
    <row r="373" spans="1:10">
      <c r="A373" s="108"/>
      <c r="B373" s="109"/>
      <c r="C373" s="109"/>
      <c r="D373" s="109"/>
      <c r="E373" s="109"/>
      <c r="F373" s="109"/>
      <c r="G373" s="109"/>
      <c r="H373" s="109"/>
      <c r="I373" s="109"/>
      <c r="J373" s="109"/>
    </row>
    <row r="374" spans="1:10">
      <c r="A374" s="108"/>
      <c r="B374" s="109"/>
      <c r="C374" s="109"/>
      <c r="D374" s="109"/>
      <c r="E374" s="109"/>
      <c r="F374" s="109"/>
      <c r="G374" s="109"/>
      <c r="H374" s="109"/>
      <c r="I374" s="109"/>
      <c r="J374" s="109"/>
    </row>
    <row r="375" spans="1:10">
      <c r="A375" s="108"/>
      <c r="B375" s="109"/>
      <c r="C375" s="109"/>
      <c r="D375" s="109"/>
      <c r="E375" s="109"/>
      <c r="F375" s="109"/>
      <c r="G375" s="109"/>
      <c r="H375" s="109"/>
      <c r="I375" s="109"/>
      <c r="J375" s="109"/>
    </row>
    <row r="376" spans="1:10">
      <c r="A376" s="108"/>
      <c r="B376" s="109"/>
      <c r="C376" s="109"/>
      <c r="D376" s="109"/>
      <c r="E376" s="109"/>
      <c r="F376" s="109"/>
      <c r="G376" s="109"/>
      <c r="H376" s="109"/>
      <c r="I376" s="109"/>
      <c r="J376" s="109"/>
    </row>
    <row r="377" spans="1:10">
      <c r="A377" s="108"/>
      <c r="B377" s="109"/>
      <c r="C377" s="109"/>
      <c r="D377" s="109"/>
      <c r="E377" s="109"/>
      <c r="F377" s="109"/>
      <c r="G377" s="109"/>
      <c r="H377" s="109"/>
      <c r="I377" s="109"/>
      <c r="J377" s="109"/>
    </row>
    <row r="378" spans="1:10">
      <c r="A378" s="108"/>
      <c r="B378" s="109"/>
      <c r="C378" s="109"/>
      <c r="D378" s="109"/>
      <c r="E378" s="109"/>
      <c r="F378" s="109"/>
      <c r="G378" s="109"/>
      <c r="H378" s="109"/>
      <c r="I378" s="109"/>
      <c r="J378" s="109"/>
    </row>
    <row r="379" spans="1:10">
      <c r="A379" s="108"/>
      <c r="B379" s="109"/>
      <c r="C379" s="109"/>
      <c r="D379" s="109"/>
      <c r="E379" s="109"/>
      <c r="F379" s="109"/>
      <c r="G379" s="109"/>
      <c r="H379" s="109"/>
      <c r="I379" s="109"/>
      <c r="J379" s="109"/>
    </row>
    <row r="380" spans="1:10">
      <c r="A380" s="108"/>
      <c r="B380" s="109"/>
      <c r="C380" s="109"/>
      <c r="D380" s="109"/>
      <c r="E380" s="109"/>
      <c r="F380" s="109"/>
      <c r="G380" s="109"/>
      <c r="H380" s="109"/>
      <c r="I380" s="109"/>
      <c r="J380" s="109"/>
    </row>
    <row r="381" spans="1:10">
      <c r="A381" s="108"/>
      <c r="B381" s="109"/>
      <c r="C381" s="109"/>
      <c r="D381" s="109"/>
      <c r="E381" s="109"/>
      <c r="F381" s="109"/>
      <c r="G381" s="109"/>
      <c r="H381" s="109"/>
      <c r="I381" s="109"/>
      <c r="J381" s="109"/>
    </row>
    <row r="382" spans="1:10">
      <c r="A382" s="108"/>
      <c r="B382" s="109"/>
      <c r="C382" s="109"/>
      <c r="D382" s="109"/>
      <c r="E382" s="109"/>
      <c r="F382" s="109"/>
      <c r="G382" s="109"/>
      <c r="H382" s="109"/>
      <c r="I382" s="109"/>
      <c r="J382" s="109"/>
    </row>
    <row r="383" spans="1:10">
      <c r="A383" s="108"/>
      <c r="B383" s="109"/>
      <c r="C383" s="109"/>
      <c r="D383" s="109"/>
      <c r="E383" s="109"/>
      <c r="F383" s="109"/>
      <c r="G383" s="109"/>
      <c r="H383" s="109"/>
      <c r="I383" s="109"/>
      <c r="J383" s="109"/>
    </row>
    <row r="384" spans="1:10">
      <c r="A384" s="108"/>
      <c r="B384" s="109"/>
      <c r="C384" s="109"/>
      <c r="D384" s="109"/>
      <c r="E384" s="109"/>
      <c r="F384" s="109"/>
      <c r="G384" s="109"/>
      <c r="H384" s="109"/>
      <c r="I384" s="109"/>
      <c r="J384" s="109"/>
    </row>
    <row r="385" spans="1:10">
      <c r="A385" s="108"/>
      <c r="B385" s="109"/>
      <c r="C385" s="109"/>
      <c r="D385" s="109"/>
      <c r="E385" s="109"/>
      <c r="F385" s="109"/>
      <c r="G385" s="109"/>
      <c r="H385" s="109"/>
      <c r="I385" s="109"/>
      <c r="J385" s="109"/>
    </row>
    <row r="386" spans="1:10">
      <c r="A386" s="108"/>
      <c r="B386" s="109"/>
      <c r="C386" s="109"/>
      <c r="D386" s="109"/>
      <c r="E386" s="109"/>
      <c r="F386" s="109"/>
      <c r="G386" s="109"/>
      <c r="H386" s="109"/>
      <c r="I386" s="109"/>
      <c r="J386" s="109"/>
    </row>
    <row r="387" spans="1:10">
      <c r="A387" s="108"/>
      <c r="B387" s="109"/>
      <c r="C387" s="109"/>
      <c r="D387" s="109"/>
      <c r="E387" s="109"/>
      <c r="F387" s="109"/>
      <c r="G387" s="109"/>
      <c r="H387" s="109"/>
      <c r="I387" s="109"/>
      <c r="J387" s="109"/>
    </row>
    <row r="388" spans="1:10">
      <c r="A388" s="108"/>
      <c r="B388" s="109"/>
      <c r="C388" s="109"/>
      <c r="D388" s="109"/>
      <c r="E388" s="109"/>
      <c r="F388" s="109"/>
      <c r="G388" s="109"/>
      <c r="H388" s="109"/>
      <c r="I388" s="109"/>
      <c r="J388" s="109"/>
    </row>
    <row r="389" spans="1:10">
      <c r="A389" s="108"/>
      <c r="B389" s="109"/>
      <c r="C389" s="109"/>
      <c r="D389" s="109"/>
      <c r="E389" s="109"/>
      <c r="F389" s="109"/>
      <c r="G389" s="109"/>
      <c r="H389" s="109"/>
      <c r="I389" s="109"/>
      <c r="J389" s="109"/>
    </row>
    <row r="390" spans="1:10">
      <c r="A390" s="108"/>
      <c r="B390" s="109"/>
      <c r="C390" s="109"/>
      <c r="D390" s="109"/>
      <c r="E390" s="109"/>
      <c r="F390" s="109"/>
      <c r="G390" s="109"/>
      <c r="H390" s="109"/>
      <c r="I390" s="109"/>
      <c r="J390" s="109"/>
    </row>
    <row r="391" spans="1:10">
      <c r="A391" s="108"/>
      <c r="B391" s="109"/>
      <c r="C391" s="109"/>
      <c r="D391" s="109"/>
      <c r="E391" s="109"/>
      <c r="F391" s="109"/>
      <c r="G391" s="109"/>
      <c r="H391" s="109"/>
      <c r="I391" s="109"/>
      <c r="J391" s="109"/>
    </row>
    <row r="392" spans="1:10">
      <c r="A392" s="108"/>
      <c r="B392" s="109"/>
      <c r="C392" s="109"/>
      <c r="D392" s="109"/>
      <c r="E392" s="109"/>
      <c r="F392" s="109"/>
      <c r="G392" s="109"/>
      <c r="H392" s="109"/>
      <c r="I392" s="109"/>
      <c r="J392" s="109"/>
    </row>
    <row r="393" spans="1:10">
      <c r="A393" s="108"/>
      <c r="B393" s="109"/>
      <c r="C393" s="109"/>
      <c r="D393" s="109"/>
      <c r="E393" s="109"/>
      <c r="F393" s="109"/>
      <c r="G393" s="109"/>
      <c r="H393" s="109"/>
      <c r="I393" s="109"/>
      <c r="J393" s="109"/>
    </row>
    <row r="394" spans="1:10">
      <c r="A394" s="108"/>
      <c r="B394" s="109"/>
      <c r="C394" s="109"/>
      <c r="D394" s="109"/>
      <c r="E394" s="109"/>
      <c r="F394" s="109"/>
      <c r="G394" s="109"/>
      <c r="H394" s="109"/>
      <c r="I394" s="109"/>
      <c r="J394" s="109"/>
    </row>
    <row r="395" spans="1:10">
      <c r="A395" s="108"/>
      <c r="B395" s="109"/>
      <c r="C395" s="109"/>
      <c r="D395" s="109"/>
      <c r="E395" s="109"/>
      <c r="F395" s="109"/>
      <c r="G395" s="109"/>
      <c r="H395" s="109"/>
      <c r="I395" s="109"/>
      <c r="J395" s="109"/>
    </row>
    <row r="396" spans="1:10">
      <c r="A396" s="108"/>
      <c r="B396" s="109"/>
      <c r="C396" s="109"/>
      <c r="D396" s="109"/>
      <c r="E396" s="109"/>
      <c r="F396" s="109"/>
      <c r="G396" s="109"/>
      <c r="H396" s="109"/>
      <c r="I396" s="109"/>
      <c r="J396" s="109"/>
    </row>
    <row r="397" spans="1:10">
      <c r="A397" s="108"/>
      <c r="B397" s="109"/>
      <c r="C397" s="109"/>
      <c r="D397" s="109"/>
      <c r="E397" s="109"/>
      <c r="F397" s="109"/>
      <c r="G397" s="109"/>
      <c r="H397" s="109"/>
      <c r="I397" s="109"/>
      <c r="J397" s="109"/>
    </row>
    <row r="398" spans="1:10">
      <c r="A398" s="108"/>
      <c r="B398" s="109"/>
      <c r="C398" s="109"/>
      <c r="D398" s="109"/>
      <c r="E398" s="109"/>
      <c r="F398" s="109"/>
      <c r="G398" s="109"/>
      <c r="H398" s="109"/>
      <c r="I398" s="109"/>
      <c r="J398" s="109"/>
    </row>
    <row r="399" spans="1:10">
      <c r="A399" s="108"/>
      <c r="B399" s="109"/>
      <c r="C399" s="109"/>
      <c r="D399" s="109"/>
      <c r="E399" s="109"/>
      <c r="F399" s="109"/>
      <c r="G399" s="109"/>
      <c r="H399" s="109"/>
      <c r="I399" s="109"/>
      <c r="J399" s="109"/>
    </row>
    <row r="400" spans="1:10">
      <c r="A400" s="108"/>
      <c r="B400" s="109"/>
      <c r="C400" s="109"/>
      <c r="D400" s="109"/>
      <c r="E400" s="109"/>
      <c r="F400" s="109"/>
      <c r="G400" s="109"/>
      <c r="H400" s="109"/>
      <c r="I400" s="109"/>
      <c r="J400" s="109"/>
    </row>
    <row r="401" spans="1:10">
      <c r="A401" s="108"/>
      <c r="B401" s="109"/>
      <c r="C401" s="109"/>
      <c r="D401" s="109"/>
      <c r="E401" s="109"/>
      <c r="F401" s="109"/>
      <c r="G401" s="109"/>
      <c r="H401" s="109"/>
      <c r="I401" s="109"/>
      <c r="J401" s="109"/>
    </row>
    <row r="402" spans="1:10">
      <c r="A402" s="108"/>
      <c r="B402" s="109"/>
      <c r="C402" s="109"/>
      <c r="D402" s="109"/>
      <c r="E402" s="109"/>
      <c r="F402" s="109"/>
      <c r="G402" s="109"/>
      <c r="H402" s="109"/>
      <c r="I402" s="109"/>
      <c r="J402" s="109"/>
    </row>
    <row r="403" spans="1:10">
      <c r="A403" s="108"/>
      <c r="B403" s="109"/>
      <c r="C403" s="109"/>
      <c r="D403" s="109"/>
      <c r="E403" s="109"/>
      <c r="F403" s="109"/>
      <c r="G403" s="109"/>
      <c r="H403" s="109"/>
      <c r="I403" s="109"/>
      <c r="J403" s="109"/>
    </row>
    <row r="404" spans="1:10">
      <c r="A404" s="108"/>
      <c r="B404" s="109"/>
      <c r="C404" s="109"/>
      <c r="D404" s="109"/>
      <c r="E404" s="109"/>
      <c r="F404" s="109"/>
      <c r="G404" s="109"/>
      <c r="H404" s="109"/>
      <c r="I404" s="109"/>
      <c r="J404" s="109"/>
    </row>
    <row r="405" spans="1:10">
      <c r="A405" s="108"/>
      <c r="B405" s="109"/>
      <c r="C405" s="109"/>
      <c r="D405" s="109"/>
      <c r="E405" s="109"/>
      <c r="F405" s="109"/>
      <c r="G405" s="109"/>
      <c r="H405" s="109"/>
      <c r="I405" s="109"/>
      <c r="J405" s="109"/>
    </row>
    <row r="406" spans="1:10">
      <c r="A406" s="108"/>
      <c r="B406" s="109"/>
      <c r="C406" s="109"/>
      <c r="D406" s="109"/>
      <c r="E406" s="109"/>
      <c r="F406" s="109"/>
      <c r="G406" s="109"/>
      <c r="H406" s="109"/>
      <c r="I406" s="109"/>
      <c r="J406" s="109"/>
    </row>
    <row r="407" spans="1:10">
      <c r="A407" s="108"/>
      <c r="B407" s="109"/>
      <c r="C407" s="109"/>
      <c r="D407" s="109"/>
      <c r="E407" s="109"/>
      <c r="F407" s="109"/>
      <c r="G407" s="109"/>
      <c r="H407" s="109"/>
      <c r="I407" s="109"/>
      <c r="J407" s="109"/>
    </row>
    <row r="408" spans="1:10">
      <c r="A408" s="108"/>
      <c r="B408" s="109"/>
      <c r="C408" s="109"/>
      <c r="D408" s="109"/>
      <c r="E408" s="109"/>
      <c r="F408" s="109"/>
      <c r="G408" s="109"/>
      <c r="H408" s="109"/>
      <c r="I408" s="109"/>
      <c r="J408" s="109"/>
    </row>
    <row r="409" spans="1:10">
      <c r="A409" s="108"/>
      <c r="B409" s="109"/>
      <c r="C409" s="109"/>
      <c r="D409" s="109"/>
      <c r="E409" s="109"/>
      <c r="F409" s="109"/>
      <c r="G409" s="109"/>
      <c r="H409" s="109"/>
      <c r="I409" s="109"/>
      <c r="J409" s="109"/>
    </row>
    <row r="410" spans="1:10">
      <c r="A410" s="108"/>
      <c r="B410" s="109"/>
      <c r="C410" s="109"/>
      <c r="D410" s="109"/>
      <c r="E410" s="109"/>
      <c r="F410" s="109"/>
      <c r="G410" s="109"/>
      <c r="H410" s="109"/>
      <c r="I410" s="109"/>
      <c r="J410" s="109"/>
    </row>
    <row r="411" spans="1:10">
      <c r="A411" s="108"/>
      <c r="B411" s="109"/>
      <c r="C411" s="109"/>
      <c r="D411" s="109"/>
      <c r="E411" s="109"/>
      <c r="F411" s="109"/>
      <c r="G411" s="109"/>
      <c r="H411" s="109"/>
      <c r="I411" s="109"/>
      <c r="J411" s="109"/>
    </row>
    <row r="412" spans="1:10">
      <c r="A412" s="108"/>
      <c r="B412" s="109"/>
      <c r="C412" s="109"/>
      <c r="D412" s="109"/>
      <c r="E412" s="109"/>
      <c r="F412" s="109"/>
      <c r="G412" s="109"/>
      <c r="H412" s="109"/>
      <c r="I412" s="109"/>
      <c r="J412" s="109"/>
    </row>
    <row r="413" spans="1:10">
      <c r="A413" s="108"/>
      <c r="B413" s="109"/>
      <c r="C413" s="109"/>
      <c r="D413" s="109"/>
      <c r="E413" s="109"/>
      <c r="F413" s="109"/>
      <c r="G413" s="109"/>
      <c r="H413" s="109"/>
      <c r="I413" s="109"/>
      <c r="J413" s="109"/>
    </row>
    <row r="414" spans="1:10">
      <c r="A414" s="108"/>
      <c r="B414" s="109"/>
      <c r="C414" s="109"/>
      <c r="D414" s="109"/>
      <c r="E414" s="109"/>
      <c r="F414" s="109"/>
      <c r="G414" s="109"/>
      <c r="H414" s="109"/>
      <c r="I414" s="109"/>
      <c r="J414" s="109"/>
    </row>
    <row r="415" spans="1:10">
      <c r="A415" s="108"/>
      <c r="B415" s="109"/>
      <c r="C415" s="109"/>
      <c r="D415" s="109"/>
      <c r="E415" s="109"/>
      <c r="F415" s="109"/>
      <c r="G415" s="109"/>
      <c r="H415" s="109"/>
      <c r="I415" s="109"/>
      <c r="J415" s="109"/>
    </row>
    <row r="416" spans="1:10">
      <c r="A416" s="108"/>
      <c r="B416" s="109"/>
      <c r="C416" s="109"/>
      <c r="D416" s="109"/>
      <c r="E416" s="109"/>
      <c r="F416" s="109"/>
      <c r="G416" s="109"/>
      <c r="H416" s="109"/>
      <c r="I416" s="109"/>
      <c r="J416" s="109"/>
    </row>
    <row r="417" spans="1:10">
      <c r="A417" s="108"/>
      <c r="B417" s="109"/>
      <c r="C417" s="109"/>
      <c r="D417" s="109"/>
      <c r="E417" s="109"/>
      <c r="F417" s="109"/>
      <c r="G417" s="109"/>
      <c r="H417" s="109"/>
      <c r="I417" s="109"/>
      <c r="J417" s="109"/>
    </row>
    <row r="418" spans="1:10">
      <c r="A418" s="108"/>
      <c r="B418" s="109"/>
      <c r="C418" s="109"/>
      <c r="D418" s="109"/>
      <c r="E418" s="109"/>
      <c r="F418" s="109"/>
      <c r="G418" s="109"/>
      <c r="H418" s="109"/>
      <c r="I418" s="109"/>
      <c r="J418" s="109"/>
    </row>
    <row r="419" spans="1:10">
      <c r="A419" s="108"/>
      <c r="B419" s="109"/>
      <c r="C419" s="109"/>
      <c r="D419" s="109"/>
      <c r="E419" s="109"/>
      <c r="F419" s="109"/>
      <c r="G419" s="109"/>
      <c r="H419" s="109"/>
      <c r="I419" s="109"/>
      <c r="J419" s="109"/>
    </row>
    <row r="420" spans="1:10">
      <c r="A420" s="108"/>
      <c r="B420" s="109"/>
      <c r="C420" s="109"/>
      <c r="D420" s="109"/>
      <c r="E420" s="109"/>
      <c r="F420" s="109"/>
      <c r="G420" s="109"/>
      <c r="H420" s="109"/>
      <c r="I420" s="109"/>
      <c r="J420" s="109"/>
    </row>
    <row r="421" spans="1:10">
      <c r="A421" s="108"/>
      <c r="B421" s="109"/>
      <c r="C421" s="109"/>
      <c r="D421" s="109"/>
      <c r="E421" s="109"/>
      <c r="F421" s="109"/>
      <c r="G421" s="109"/>
      <c r="H421" s="109"/>
      <c r="I421" s="109"/>
      <c r="J421" s="109"/>
    </row>
    <row r="422" spans="1:10">
      <c r="A422" s="108"/>
      <c r="B422" s="109"/>
      <c r="C422" s="109"/>
      <c r="D422" s="109"/>
      <c r="E422" s="109"/>
      <c r="F422" s="109"/>
      <c r="G422" s="109"/>
      <c r="H422" s="109"/>
      <c r="I422" s="109"/>
      <c r="J422" s="109"/>
    </row>
    <row r="423" spans="1:10">
      <c r="A423" s="108"/>
      <c r="B423" s="109"/>
      <c r="C423" s="109"/>
      <c r="D423" s="109"/>
      <c r="E423" s="109"/>
      <c r="F423" s="109"/>
      <c r="G423" s="109"/>
      <c r="H423" s="109"/>
      <c r="I423" s="109"/>
      <c r="J423" s="109"/>
    </row>
    <row r="424" spans="1:10">
      <c r="A424" s="108"/>
      <c r="B424" s="109"/>
      <c r="C424" s="109"/>
      <c r="D424" s="109"/>
      <c r="E424" s="109"/>
      <c r="F424" s="109"/>
      <c r="G424" s="109"/>
      <c r="H424" s="109"/>
      <c r="I424" s="109"/>
      <c r="J424" s="109"/>
    </row>
    <row r="425" spans="1:10">
      <c r="A425" s="108"/>
      <c r="B425" s="109"/>
      <c r="C425" s="109"/>
      <c r="D425" s="109"/>
      <c r="E425" s="109"/>
      <c r="F425" s="109"/>
      <c r="G425" s="109"/>
      <c r="H425" s="109"/>
      <c r="I425" s="109"/>
      <c r="J425" s="109"/>
    </row>
    <row r="426" spans="1:10">
      <c r="A426" s="108"/>
      <c r="B426" s="109"/>
      <c r="C426" s="109"/>
      <c r="D426" s="109"/>
      <c r="E426" s="109"/>
      <c r="F426" s="109"/>
      <c r="G426" s="109"/>
      <c r="H426" s="109"/>
      <c r="I426" s="109"/>
      <c r="J426" s="109"/>
    </row>
    <row r="427" spans="1:10">
      <c r="A427" s="108"/>
      <c r="B427" s="109"/>
      <c r="C427" s="109"/>
      <c r="D427" s="109"/>
      <c r="E427" s="109"/>
      <c r="F427" s="109"/>
      <c r="G427" s="109"/>
      <c r="H427" s="109"/>
      <c r="I427" s="109"/>
      <c r="J427" s="109"/>
    </row>
    <row r="428" spans="1:10">
      <c r="A428" s="108"/>
      <c r="B428" s="109"/>
      <c r="C428" s="109"/>
      <c r="D428" s="109"/>
      <c r="E428" s="109"/>
      <c r="F428" s="109"/>
      <c r="G428" s="109"/>
      <c r="H428" s="109"/>
      <c r="I428" s="109"/>
      <c r="J428" s="109"/>
    </row>
    <row r="429" spans="1:10">
      <c r="A429" s="108"/>
      <c r="B429" s="109"/>
      <c r="C429" s="109"/>
      <c r="D429" s="109"/>
      <c r="E429" s="109"/>
      <c r="F429" s="109"/>
      <c r="G429" s="109"/>
      <c r="H429" s="109"/>
      <c r="I429" s="109"/>
      <c r="J429" s="109"/>
    </row>
    <row r="430" spans="1:10">
      <c r="A430" s="108"/>
      <c r="B430" s="109"/>
      <c r="C430" s="109"/>
      <c r="D430" s="109"/>
      <c r="E430" s="109"/>
      <c r="F430" s="109"/>
      <c r="G430" s="109"/>
      <c r="H430" s="109"/>
      <c r="I430" s="109"/>
      <c r="J430" s="109"/>
    </row>
    <row r="431" spans="1:10">
      <c r="A431" s="108"/>
      <c r="B431" s="109"/>
      <c r="C431" s="109"/>
      <c r="D431" s="109"/>
      <c r="E431" s="109"/>
      <c r="F431" s="109"/>
      <c r="G431" s="109"/>
      <c r="H431" s="109"/>
      <c r="I431" s="109"/>
      <c r="J431" s="109"/>
    </row>
    <row r="432" spans="1:10">
      <c r="A432" s="108"/>
      <c r="B432" s="109"/>
      <c r="C432" s="109"/>
      <c r="D432" s="109"/>
      <c r="E432" s="109"/>
      <c r="F432" s="109"/>
      <c r="G432" s="109"/>
      <c r="H432" s="109"/>
      <c r="I432" s="109"/>
      <c r="J432" s="109"/>
    </row>
    <row r="433" spans="1:10">
      <c r="A433" s="108"/>
      <c r="B433" s="109"/>
      <c r="C433" s="109"/>
      <c r="D433" s="109"/>
      <c r="E433" s="109"/>
      <c r="F433" s="109"/>
      <c r="G433" s="109"/>
      <c r="H433" s="109"/>
      <c r="I433" s="109"/>
      <c r="J433" s="109"/>
    </row>
    <row r="434" spans="1:10">
      <c r="A434" s="108"/>
      <c r="B434" s="109"/>
      <c r="C434" s="109"/>
      <c r="D434" s="109"/>
      <c r="E434" s="109"/>
      <c r="F434" s="109"/>
      <c r="G434" s="109"/>
      <c r="H434" s="109"/>
      <c r="I434" s="109"/>
      <c r="J434" s="109"/>
    </row>
    <row r="435" spans="1:10">
      <c r="A435" s="108"/>
      <c r="B435" s="109"/>
      <c r="C435" s="109"/>
      <c r="D435" s="109"/>
      <c r="E435" s="109"/>
      <c r="F435" s="109"/>
      <c r="G435" s="109"/>
      <c r="H435" s="109"/>
      <c r="I435" s="109"/>
      <c r="J435" s="109"/>
    </row>
    <row r="436" spans="1:10">
      <c r="A436" s="108"/>
      <c r="B436" s="109"/>
      <c r="C436" s="109"/>
      <c r="D436" s="109"/>
      <c r="E436" s="109"/>
      <c r="F436" s="109"/>
      <c r="G436" s="109"/>
      <c r="H436" s="109"/>
      <c r="I436" s="109"/>
      <c r="J436" s="109"/>
    </row>
    <row r="437" spans="1:10">
      <c r="A437" s="108"/>
      <c r="B437" s="109"/>
      <c r="C437" s="109"/>
      <c r="D437" s="109"/>
      <c r="E437" s="109"/>
      <c r="F437" s="109"/>
      <c r="G437" s="109"/>
      <c r="H437" s="109"/>
      <c r="I437" s="109"/>
      <c r="J437" s="109"/>
    </row>
    <row r="438" spans="1:10">
      <c r="A438" s="108"/>
      <c r="B438" s="109"/>
      <c r="C438" s="109"/>
      <c r="D438" s="109"/>
      <c r="E438" s="109"/>
      <c r="F438" s="109"/>
      <c r="G438" s="109"/>
      <c r="H438" s="109"/>
      <c r="I438" s="109"/>
      <c r="J438" s="109"/>
    </row>
    <row r="439" spans="1:10">
      <c r="A439" s="108"/>
      <c r="B439" s="109"/>
      <c r="C439" s="109"/>
      <c r="D439" s="109"/>
      <c r="E439" s="109"/>
      <c r="F439" s="109"/>
      <c r="G439" s="109"/>
      <c r="H439" s="109"/>
      <c r="I439" s="109"/>
      <c r="J439" s="109"/>
    </row>
    <row r="440" spans="1:10">
      <c r="A440" s="108"/>
      <c r="B440" s="109"/>
      <c r="C440" s="109"/>
      <c r="D440" s="109"/>
      <c r="E440" s="109"/>
      <c r="F440" s="109"/>
      <c r="G440" s="109"/>
      <c r="H440" s="109"/>
      <c r="I440" s="109"/>
      <c r="J440" s="109"/>
    </row>
    <row r="441" spans="1:10">
      <c r="A441" s="108"/>
      <c r="B441" s="109"/>
      <c r="C441" s="109"/>
      <c r="D441" s="109"/>
      <c r="E441" s="109"/>
      <c r="F441" s="109"/>
      <c r="G441" s="109"/>
      <c r="H441" s="109"/>
      <c r="I441" s="109"/>
      <c r="J441" s="109"/>
    </row>
    <row r="442" spans="1:10">
      <c r="A442" s="108"/>
      <c r="B442" s="109"/>
      <c r="C442" s="109"/>
      <c r="D442" s="109"/>
      <c r="E442" s="109"/>
      <c r="F442" s="109"/>
      <c r="G442" s="109"/>
      <c r="H442" s="109"/>
      <c r="I442" s="109"/>
      <c r="J442" s="109"/>
    </row>
    <row r="443" spans="1:10">
      <c r="A443" s="108"/>
      <c r="B443" s="109"/>
      <c r="C443" s="109"/>
      <c r="D443" s="109"/>
      <c r="E443" s="109"/>
      <c r="F443" s="109"/>
      <c r="G443" s="109"/>
      <c r="H443" s="109"/>
      <c r="I443" s="109"/>
      <c r="J443" s="109"/>
    </row>
    <row r="444" spans="1:10">
      <c r="A444" s="108"/>
      <c r="B444" s="109"/>
      <c r="C444" s="109"/>
      <c r="D444" s="109"/>
      <c r="E444" s="109"/>
      <c r="F444" s="109"/>
      <c r="G444" s="109"/>
      <c r="H444" s="109"/>
      <c r="I444" s="109"/>
      <c r="J444" s="109"/>
    </row>
    <row r="445" spans="1:10">
      <c r="A445" s="108"/>
      <c r="B445" s="109"/>
      <c r="C445" s="109"/>
      <c r="D445" s="109"/>
      <c r="E445" s="109"/>
      <c r="F445" s="109"/>
      <c r="G445" s="109"/>
      <c r="H445" s="109"/>
      <c r="I445" s="109"/>
      <c r="J445" s="109"/>
    </row>
    <row r="446" spans="1:10">
      <c r="A446" s="108"/>
      <c r="B446" s="109"/>
      <c r="C446" s="109"/>
      <c r="D446" s="109"/>
      <c r="E446" s="109"/>
      <c r="F446" s="109"/>
      <c r="G446" s="109"/>
      <c r="H446" s="109"/>
      <c r="I446" s="109"/>
      <c r="J446" s="109"/>
    </row>
    <row r="447" spans="1:10">
      <c r="A447" s="108"/>
      <c r="B447" s="109"/>
      <c r="C447" s="109"/>
      <c r="D447" s="109"/>
      <c r="E447" s="109"/>
      <c r="F447" s="109"/>
      <c r="G447" s="109"/>
      <c r="H447" s="109"/>
      <c r="I447" s="109"/>
      <c r="J447" s="109"/>
    </row>
    <row r="448" spans="1:10">
      <c r="A448" s="108"/>
      <c r="B448" s="109"/>
      <c r="C448" s="109"/>
      <c r="D448" s="109"/>
      <c r="E448" s="109"/>
      <c r="F448" s="109"/>
      <c r="G448" s="109"/>
      <c r="H448" s="109"/>
      <c r="I448" s="109"/>
      <c r="J448" s="109"/>
    </row>
    <row r="449" spans="1:10">
      <c r="A449" s="108"/>
      <c r="B449" s="109"/>
      <c r="C449" s="109"/>
      <c r="D449" s="109"/>
      <c r="E449" s="109"/>
      <c r="F449" s="109"/>
      <c r="G449" s="109"/>
      <c r="H449" s="109"/>
      <c r="I449" s="109"/>
      <c r="J449" s="109"/>
    </row>
    <row r="450" spans="1:10">
      <c r="A450" s="108"/>
      <c r="B450" s="109"/>
      <c r="C450" s="109"/>
      <c r="D450" s="109"/>
      <c r="E450" s="109"/>
      <c r="F450" s="109"/>
      <c r="G450" s="109"/>
      <c r="H450" s="109"/>
      <c r="I450" s="109"/>
      <c r="J450" s="109"/>
    </row>
    <row r="451" spans="1:10">
      <c r="A451" s="108"/>
      <c r="B451" s="109"/>
      <c r="C451" s="109"/>
      <c r="D451" s="109"/>
      <c r="E451" s="109"/>
      <c r="F451" s="109"/>
      <c r="G451" s="109"/>
      <c r="H451" s="109"/>
      <c r="I451" s="109"/>
      <c r="J451" s="109"/>
    </row>
    <row r="452" spans="1:10">
      <c r="A452" s="108"/>
      <c r="B452" s="109"/>
      <c r="C452" s="109"/>
      <c r="D452" s="109"/>
      <c r="E452" s="109"/>
      <c r="F452" s="109"/>
      <c r="G452" s="109"/>
      <c r="H452" s="109"/>
      <c r="I452" s="109"/>
      <c r="J452" s="109"/>
    </row>
    <row r="453" spans="1:10">
      <c r="A453" s="108"/>
      <c r="B453" s="109"/>
      <c r="C453" s="109"/>
      <c r="D453" s="109"/>
      <c r="E453" s="109"/>
      <c r="F453" s="109"/>
      <c r="G453" s="109"/>
      <c r="H453" s="109"/>
      <c r="I453" s="109"/>
      <c r="J453" s="109"/>
    </row>
    <row r="454" spans="1:10">
      <c r="A454" s="108"/>
      <c r="B454" s="109"/>
      <c r="C454" s="109"/>
      <c r="D454" s="109"/>
      <c r="E454" s="109"/>
      <c r="F454" s="109"/>
      <c r="G454" s="109"/>
      <c r="H454" s="109"/>
      <c r="I454" s="109"/>
      <c r="J454" s="109"/>
    </row>
    <row r="455" spans="1:10">
      <c r="A455" s="108"/>
      <c r="B455" s="109"/>
      <c r="C455" s="109"/>
      <c r="D455" s="109"/>
      <c r="E455" s="109"/>
      <c r="F455" s="109"/>
      <c r="G455" s="109"/>
      <c r="H455" s="109"/>
      <c r="I455" s="109"/>
      <c r="J455" s="109"/>
    </row>
    <row r="456" spans="1:10">
      <c r="A456" s="108"/>
      <c r="B456" s="109"/>
      <c r="C456" s="109"/>
      <c r="D456" s="109"/>
      <c r="E456" s="109"/>
      <c r="F456" s="109"/>
      <c r="G456" s="109"/>
      <c r="H456" s="109"/>
      <c r="I456" s="109"/>
      <c r="J456" s="109"/>
    </row>
    <row r="457" spans="1:10">
      <c r="A457" s="108"/>
      <c r="B457" s="109"/>
      <c r="C457" s="109"/>
      <c r="D457" s="109"/>
      <c r="E457" s="109"/>
      <c r="F457" s="109"/>
      <c r="G457" s="109"/>
      <c r="H457" s="109"/>
      <c r="I457" s="109"/>
      <c r="J457" s="109"/>
    </row>
    <row r="458" spans="1:10">
      <c r="A458" s="108"/>
      <c r="B458" s="109"/>
      <c r="C458" s="109"/>
      <c r="D458" s="109"/>
      <c r="E458" s="109"/>
      <c r="F458" s="109"/>
      <c r="G458" s="109"/>
      <c r="H458" s="109"/>
      <c r="I458" s="109"/>
      <c r="J458" s="109"/>
    </row>
    <row r="459" spans="1:10">
      <c r="A459" s="108"/>
      <c r="B459" s="109"/>
      <c r="C459" s="109"/>
      <c r="D459" s="109"/>
      <c r="E459" s="109"/>
      <c r="F459" s="109"/>
      <c r="G459" s="109"/>
      <c r="H459" s="109"/>
      <c r="I459" s="109"/>
      <c r="J459" s="109"/>
    </row>
    <row r="460" spans="1:10">
      <c r="A460" s="108"/>
      <c r="B460" s="109"/>
      <c r="C460" s="109"/>
      <c r="D460" s="109"/>
      <c r="E460" s="109"/>
      <c r="F460" s="109"/>
      <c r="G460" s="109"/>
      <c r="H460" s="109"/>
      <c r="I460" s="109"/>
      <c r="J460" s="109"/>
    </row>
    <row r="461" spans="1:10">
      <c r="A461" s="108"/>
      <c r="B461" s="109"/>
      <c r="C461" s="109"/>
      <c r="D461" s="109"/>
      <c r="E461" s="109"/>
      <c r="F461" s="109"/>
      <c r="G461" s="109"/>
      <c r="H461" s="109"/>
      <c r="I461" s="109"/>
      <c r="J461" s="109"/>
    </row>
    <row r="462" spans="1:10">
      <c r="A462" s="108"/>
      <c r="B462" s="109"/>
      <c r="C462" s="109"/>
      <c r="D462" s="109"/>
      <c r="E462" s="109"/>
      <c r="F462" s="109"/>
      <c r="G462" s="109"/>
      <c r="H462" s="109"/>
      <c r="I462" s="109"/>
      <c r="J462" s="109"/>
    </row>
    <row r="463" spans="1:10">
      <c r="A463" s="108"/>
      <c r="B463" s="109"/>
      <c r="C463" s="109"/>
      <c r="D463" s="109"/>
      <c r="E463" s="109"/>
      <c r="F463" s="109"/>
      <c r="G463" s="109"/>
      <c r="H463" s="109"/>
      <c r="I463" s="109"/>
      <c r="J463" s="109"/>
    </row>
    <row r="464" spans="1:10">
      <c r="A464" s="108"/>
      <c r="B464" s="109"/>
      <c r="C464" s="109"/>
      <c r="D464" s="109"/>
      <c r="E464" s="109"/>
      <c r="F464" s="109"/>
      <c r="G464" s="109"/>
      <c r="H464" s="109"/>
      <c r="I464" s="109"/>
      <c r="J464" s="109"/>
    </row>
    <row r="465" spans="1:10">
      <c r="A465" s="108"/>
      <c r="B465" s="109"/>
      <c r="C465" s="109"/>
      <c r="D465" s="109"/>
      <c r="E465" s="109"/>
      <c r="F465" s="109"/>
      <c r="G465" s="109"/>
      <c r="H465" s="109"/>
      <c r="I465" s="109"/>
      <c r="J465" s="109"/>
    </row>
    <row r="466" spans="1:10">
      <c r="A466" s="108"/>
      <c r="B466" s="109"/>
      <c r="C466" s="109"/>
      <c r="D466" s="109"/>
      <c r="E466" s="109"/>
      <c r="F466" s="109"/>
      <c r="G466" s="109"/>
      <c r="H466" s="109"/>
      <c r="I466" s="109"/>
      <c r="J466" s="109"/>
    </row>
    <row r="467" spans="1:10">
      <c r="A467" s="108"/>
      <c r="B467" s="109"/>
      <c r="C467" s="109"/>
      <c r="D467" s="109"/>
      <c r="E467" s="109"/>
      <c r="F467" s="109"/>
      <c r="G467" s="109"/>
      <c r="H467" s="109"/>
      <c r="I467" s="109"/>
      <c r="J467" s="109"/>
    </row>
    <row r="468" spans="1:10">
      <c r="A468" s="108"/>
      <c r="B468" s="109"/>
      <c r="C468" s="109"/>
      <c r="D468" s="109"/>
      <c r="E468" s="109"/>
      <c r="F468" s="109"/>
      <c r="G468" s="109"/>
      <c r="H468" s="109"/>
      <c r="I468" s="109"/>
      <c r="J468" s="109"/>
    </row>
    <row r="469" spans="1:10">
      <c r="A469" s="108"/>
      <c r="B469" s="109"/>
      <c r="C469" s="109"/>
      <c r="D469" s="109"/>
      <c r="E469" s="109"/>
      <c r="F469" s="109"/>
      <c r="G469" s="109"/>
      <c r="H469" s="109"/>
      <c r="I469" s="109"/>
      <c r="J469" s="109"/>
    </row>
    <row r="470" spans="1:10">
      <c r="A470" s="108"/>
      <c r="B470" s="109"/>
      <c r="C470" s="109"/>
      <c r="D470" s="109"/>
      <c r="E470" s="109"/>
      <c r="F470" s="109"/>
      <c r="G470" s="109"/>
      <c r="H470" s="109"/>
      <c r="I470" s="109"/>
      <c r="J470" s="109"/>
    </row>
    <row r="471" spans="1:10">
      <c r="A471" s="108"/>
      <c r="B471" s="109"/>
      <c r="C471" s="109"/>
      <c r="D471" s="109"/>
      <c r="E471" s="109"/>
      <c r="F471" s="109"/>
      <c r="G471" s="109"/>
      <c r="H471" s="109"/>
      <c r="I471" s="109"/>
      <c r="J471" s="109"/>
    </row>
    <row r="472" spans="1:10">
      <c r="A472" s="108"/>
      <c r="B472" s="109"/>
      <c r="C472" s="109"/>
      <c r="D472" s="109"/>
      <c r="E472" s="109"/>
      <c r="F472" s="109"/>
      <c r="G472" s="109"/>
      <c r="H472" s="109"/>
      <c r="I472" s="109"/>
      <c r="J472" s="109"/>
    </row>
    <row r="473" spans="1:10">
      <c r="A473" s="108"/>
      <c r="B473" s="109"/>
      <c r="C473" s="109"/>
      <c r="D473" s="109"/>
      <c r="E473" s="109"/>
      <c r="F473" s="109"/>
      <c r="G473" s="109"/>
      <c r="H473" s="109"/>
      <c r="I473" s="109"/>
      <c r="J473" s="109"/>
    </row>
    <row r="474" spans="1:10">
      <c r="A474" s="108"/>
      <c r="B474" s="109"/>
      <c r="C474" s="109"/>
      <c r="D474" s="109"/>
      <c r="E474" s="109"/>
      <c r="F474" s="109"/>
      <c r="G474" s="109"/>
      <c r="H474" s="109"/>
      <c r="I474" s="109"/>
      <c r="J474" s="109"/>
    </row>
    <row r="475" spans="1:10">
      <c r="A475" s="108"/>
      <c r="B475" s="109"/>
      <c r="C475" s="109"/>
      <c r="D475" s="109"/>
      <c r="E475" s="109"/>
      <c r="F475" s="109"/>
      <c r="G475" s="109"/>
      <c r="H475" s="109"/>
      <c r="I475" s="109"/>
      <c r="J475" s="109"/>
    </row>
    <row r="476" spans="1:10">
      <c r="A476" s="108"/>
      <c r="B476" s="109"/>
      <c r="C476" s="109"/>
      <c r="D476" s="109"/>
      <c r="E476" s="109"/>
      <c r="F476" s="109"/>
      <c r="G476" s="109"/>
      <c r="H476" s="109"/>
      <c r="I476" s="109"/>
      <c r="J476" s="109"/>
    </row>
    <row r="477" spans="1:10">
      <c r="A477" s="108"/>
      <c r="B477" s="109"/>
      <c r="C477" s="109"/>
      <c r="D477" s="109"/>
      <c r="E477" s="109"/>
      <c r="F477" s="109"/>
      <c r="G477" s="109"/>
      <c r="H477" s="109"/>
      <c r="I477" s="109"/>
      <c r="J477" s="109"/>
    </row>
    <row r="478" spans="1:10">
      <c r="A478" s="108"/>
      <c r="B478" s="109"/>
      <c r="C478" s="109"/>
      <c r="D478" s="109"/>
      <c r="E478" s="109"/>
      <c r="F478" s="109"/>
      <c r="G478" s="109"/>
      <c r="H478" s="109"/>
      <c r="I478" s="109"/>
      <c r="J478" s="109"/>
    </row>
    <row r="479" spans="1:10">
      <c r="A479" s="108"/>
      <c r="B479" s="109"/>
      <c r="C479" s="109"/>
      <c r="D479" s="109"/>
      <c r="E479" s="109"/>
      <c r="F479" s="109"/>
      <c r="G479" s="109"/>
      <c r="H479" s="109"/>
      <c r="I479" s="109"/>
      <c r="J479" s="109"/>
    </row>
    <row r="480" spans="1:10">
      <c r="A480" s="108"/>
      <c r="B480" s="109"/>
      <c r="C480" s="109"/>
      <c r="D480" s="109"/>
      <c r="E480" s="109"/>
      <c r="F480" s="109"/>
      <c r="G480" s="109"/>
      <c r="H480" s="109"/>
      <c r="I480" s="109"/>
      <c r="J480" s="109"/>
    </row>
    <row r="481" spans="1:10">
      <c r="A481" s="108"/>
      <c r="B481" s="109"/>
      <c r="C481" s="109"/>
      <c r="D481" s="109"/>
      <c r="E481" s="109"/>
      <c r="F481" s="109"/>
      <c r="G481" s="109"/>
      <c r="H481" s="109"/>
      <c r="I481" s="109"/>
      <c r="J481" s="109"/>
    </row>
    <row r="482" spans="1:10">
      <c r="A482" s="108"/>
      <c r="B482" s="109"/>
      <c r="C482" s="109"/>
      <c r="D482" s="109"/>
      <c r="E482" s="109"/>
      <c r="F482" s="109"/>
      <c r="G482" s="109"/>
      <c r="H482" s="109"/>
      <c r="I482" s="109"/>
      <c r="J482" s="109"/>
    </row>
    <row r="483" spans="1:10">
      <c r="A483" s="108"/>
      <c r="B483" s="109"/>
      <c r="C483" s="109"/>
      <c r="D483" s="109"/>
      <c r="E483" s="109"/>
      <c r="F483" s="109"/>
      <c r="G483" s="109"/>
      <c r="H483" s="109"/>
      <c r="I483" s="109"/>
      <c r="J483" s="109"/>
    </row>
    <row r="484" spans="1:10">
      <c r="A484" s="108"/>
      <c r="B484" s="109"/>
      <c r="C484" s="109"/>
      <c r="D484" s="109"/>
      <c r="E484" s="109"/>
      <c r="F484" s="109"/>
      <c r="G484" s="109"/>
      <c r="H484" s="109"/>
      <c r="I484" s="109"/>
      <c r="J484" s="109"/>
    </row>
    <row r="485" spans="1:10">
      <c r="A485" s="108"/>
      <c r="B485" s="109"/>
      <c r="C485" s="109"/>
      <c r="D485" s="109"/>
      <c r="E485" s="109"/>
      <c r="F485" s="109"/>
      <c r="G485" s="109"/>
      <c r="H485" s="109"/>
      <c r="I485" s="109"/>
      <c r="J485" s="109"/>
    </row>
    <row r="486" spans="1:10">
      <c r="A486" s="108"/>
      <c r="B486" s="109"/>
      <c r="C486" s="109"/>
      <c r="D486" s="109"/>
      <c r="E486" s="109"/>
      <c r="F486" s="109"/>
      <c r="G486" s="109"/>
      <c r="H486" s="109"/>
      <c r="I486" s="109"/>
      <c r="J486" s="109"/>
    </row>
    <row r="487" spans="1:10">
      <c r="A487" s="108"/>
      <c r="B487" s="109"/>
      <c r="C487" s="109"/>
      <c r="D487" s="109"/>
      <c r="E487" s="109"/>
      <c r="F487" s="109"/>
      <c r="G487" s="109"/>
      <c r="H487" s="109"/>
      <c r="I487" s="109"/>
      <c r="J487" s="109"/>
    </row>
    <row r="488" spans="1:10">
      <c r="A488" s="108"/>
      <c r="B488" s="109"/>
      <c r="C488" s="109"/>
      <c r="D488" s="109"/>
      <c r="E488" s="109"/>
      <c r="F488" s="109"/>
      <c r="G488" s="109"/>
      <c r="H488" s="109"/>
      <c r="I488" s="109"/>
      <c r="J488" s="109"/>
    </row>
    <row r="489" spans="1:10">
      <c r="A489" s="108"/>
      <c r="B489" s="109"/>
      <c r="C489" s="109"/>
      <c r="D489" s="109"/>
      <c r="E489" s="109"/>
      <c r="F489" s="109"/>
      <c r="G489" s="109"/>
      <c r="H489" s="109"/>
      <c r="I489" s="109"/>
      <c r="J489" s="109"/>
    </row>
    <row r="490" spans="1:10">
      <c r="A490" s="108"/>
      <c r="B490" s="109"/>
      <c r="C490" s="109"/>
      <c r="D490" s="109"/>
      <c r="E490" s="109"/>
      <c r="F490" s="109"/>
      <c r="G490" s="109"/>
      <c r="H490" s="109"/>
      <c r="I490" s="109"/>
      <c r="J490" s="109"/>
    </row>
    <row r="491" spans="1:10">
      <c r="A491" s="108"/>
      <c r="B491" s="109"/>
      <c r="C491" s="109"/>
      <c r="D491" s="109"/>
      <c r="E491" s="109"/>
      <c r="F491" s="109"/>
      <c r="G491" s="109"/>
      <c r="H491" s="109"/>
      <c r="I491" s="109"/>
      <c r="J491" s="109"/>
    </row>
    <row r="492" spans="1:10">
      <c r="A492" s="108"/>
      <c r="B492" s="109"/>
      <c r="C492" s="109"/>
      <c r="D492" s="109"/>
      <c r="E492" s="109"/>
      <c r="F492" s="109"/>
      <c r="G492" s="109"/>
      <c r="H492" s="109"/>
      <c r="I492" s="109"/>
      <c r="J492" s="109"/>
    </row>
    <row r="493" spans="1:10">
      <c r="A493" s="108"/>
      <c r="B493" s="109"/>
      <c r="C493" s="109"/>
      <c r="D493" s="109"/>
      <c r="E493" s="109"/>
      <c r="F493" s="109"/>
      <c r="G493" s="109"/>
      <c r="H493" s="109"/>
      <c r="I493" s="109"/>
      <c r="J493" s="109"/>
    </row>
    <row r="494" spans="1:10">
      <c r="A494" s="108"/>
      <c r="B494" s="109"/>
      <c r="C494" s="109"/>
      <c r="D494" s="109"/>
      <c r="E494" s="109"/>
      <c r="F494" s="109"/>
      <c r="G494" s="109"/>
      <c r="H494" s="109"/>
      <c r="I494" s="109"/>
      <c r="J494" s="109"/>
    </row>
    <row r="495" spans="1:10">
      <c r="A495" s="108"/>
      <c r="B495" s="109"/>
      <c r="C495" s="109"/>
      <c r="D495" s="109"/>
      <c r="E495" s="109"/>
      <c r="F495" s="109"/>
      <c r="G495" s="109"/>
      <c r="H495" s="109"/>
      <c r="I495" s="109"/>
      <c r="J495" s="109"/>
    </row>
    <row r="496" spans="1:10">
      <c r="A496" s="108"/>
      <c r="B496" s="109"/>
      <c r="C496" s="109"/>
      <c r="D496" s="109"/>
      <c r="E496" s="109"/>
      <c r="F496" s="109"/>
      <c r="G496" s="109"/>
      <c r="H496" s="109"/>
      <c r="I496" s="109"/>
      <c r="J496" s="109"/>
    </row>
    <row r="497" spans="1:10">
      <c r="A497" s="108"/>
      <c r="B497" s="109"/>
      <c r="C497" s="109"/>
      <c r="D497" s="109"/>
      <c r="E497" s="109"/>
      <c r="F497" s="109"/>
      <c r="G497" s="109"/>
      <c r="H497" s="109"/>
      <c r="I497" s="109"/>
      <c r="J497" s="109"/>
    </row>
    <row r="498" spans="1:10">
      <c r="A498" s="108"/>
      <c r="B498" s="109"/>
      <c r="C498" s="109"/>
      <c r="D498" s="109"/>
      <c r="E498" s="109"/>
      <c r="F498" s="109"/>
      <c r="G498" s="109"/>
      <c r="H498" s="109"/>
      <c r="I498" s="109"/>
      <c r="J498" s="109"/>
    </row>
    <row r="499" spans="1:10">
      <c r="A499" s="108"/>
      <c r="B499" s="109"/>
      <c r="C499" s="109"/>
      <c r="D499" s="109"/>
      <c r="E499" s="109"/>
      <c r="F499" s="109"/>
      <c r="G499" s="109"/>
      <c r="H499" s="109"/>
      <c r="I499" s="109"/>
      <c r="J499" s="109"/>
    </row>
    <row r="500" spans="1:10">
      <c r="A500" s="108"/>
      <c r="B500" s="109"/>
      <c r="C500" s="109"/>
      <c r="D500" s="109"/>
      <c r="E500" s="109"/>
      <c r="F500" s="109"/>
      <c r="G500" s="109"/>
      <c r="H500" s="109"/>
      <c r="I500" s="109"/>
      <c r="J500" s="109"/>
    </row>
    <row r="501" spans="1:10">
      <c r="A501" s="108"/>
      <c r="B501" s="109"/>
      <c r="C501" s="109"/>
      <c r="D501" s="109"/>
      <c r="E501" s="109"/>
      <c r="F501" s="109"/>
      <c r="G501" s="109"/>
      <c r="H501" s="109"/>
      <c r="I501" s="109"/>
      <c r="J501" s="109"/>
    </row>
    <row r="502" spans="1:10">
      <c r="A502" s="108"/>
      <c r="B502" s="109"/>
      <c r="C502" s="109"/>
      <c r="D502" s="109"/>
      <c r="E502" s="109"/>
      <c r="F502" s="109"/>
      <c r="G502" s="109"/>
      <c r="H502" s="109"/>
      <c r="I502" s="109"/>
      <c r="J502" s="109"/>
    </row>
    <row r="503" spans="1:10">
      <c r="A503" s="108"/>
      <c r="B503" s="109"/>
      <c r="C503" s="109"/>
      <c r="D503" s="109"/>
      <c r="E503" s="109"/>
      <c r="F503" s="109"/>
      <c r="G503" s="109"/>
      <c r="H503" s="109"/>
      <c r="I503" s="109"/>
      <c r="J503" s="109"/>
    </row>
    <row r="504" spans="1:10">
      <c r="A504" s="108"/>
      <c r="B504" s="109"/>
      <c r="C504" s="109"/>
      <c r="D504" s="109"/>
      <c r="E504" s="109"/>
      <c r="F504" s="109"/>
      <c r="G504" s="109"/>
      <c r="H504" s="109"/>
      <c r="I504" s="109"/>
      <c r="J504" s="109"/>
    </row>
    <row r="505" spans="1:10">
      <c r="A505" s="108"/>
      <c r="B505" s="109"/>
      <c r="C505" s="109"/>
      <c r="D505" s="109"/>
      <c r="E505" s="109"/>
      <c r="F505" s="109"/>
      <c r="G505" s="109"/>
      <c r="H505" s="109"/>
      <c r="I505" s="109"/>
      <c r="J505" s="109"/>
    </row>
    <row r="506" spans="1:10">
      <c r="A506" s="108"/>
      <c r="B506" s="109"/>
      <c r="C506" s="109"/>
      <c r="D506" s="109"/>
      <c r="E506" s="109"/>
      <c r="F506" s="109"/>
      <c r="G506" s="109"/>
      <c r="H506" s="109"/>
      <c r="I506" s="109"/>
      <c r="J506" s="109"/>
    </row>
    <row r="507" spans="1:10">
      <c r="A507" s="108"/>
      <c r="B507" s="109"/>
      <c r="C507" s="109"/>
      <c r="D507" s="109"/>
      <c r="E507" s="109"/>
      <c r="F507" s="109"/>
      <c r="G507" s="109"/>
      <c r="H507" s="109"/>
      <c r="I507" s="109"/>
      <c r="J507" s="109"/>
    </row>
    <row r="508" spans="1:10">
      <c r="A508" s="108"/>
      <c r="B508" s="109"/>
      <c r="C508" s="109"/>
      <c r="D508" s="109"/>
      <c r="E508" s="109"/>
      <c r="F508" s="109"/>
      <c r="G508" s="109"/>
      <c r="H508" s="109"/>
      <c r="I508" s="109"/>
      <c r="J508" s="109"/>
    </row>
    <row r="509" spans="1:10">
      <c r="A509" s="108"/>
      <c r="B509" s="109"/>
      <c r="C509" s="109"/>
      <c r="D509" s="109"/>
      <c r="E509" s="109"/>
      <c r="F509" s="109"/>
      <c r="G509" s="109"/>
      <c r="H509" s="109"/>
      <c r="I509" s="109"/>
      <c r="J509" s="109"/>
    </row>
    <row r="510" spans="1:10">
      <c r="A510" s="108"/>
      <c r="B510" s="109"/>
      <c r="C510" s="109"/>
      <c r="D510" s="109"/>
      <c r="E510" s="109"/>
      <c r="F510" s="109"/>
      <c r="G510" s="109"/>
      <c r="H510" s="109"/>
      <c r="I510" s="109"/>
      <c r="J510" s="109"/>
    </row>
    <row r="511" spans="1:10">
      <c r="A511" s="108"/>
      <c r="B511" s="109"/>
      <c r="C511" s="109"/>
      <c r="D511" s="109"/>
      <c r="E511" s="109"/>
      <c r="F511" s="109"/>
      <c r="G511" s="109"/>
      <c r="H511" s="109"/>
      <c r="I511" s="109"/>
      <c r="J511" s="109"/>
    </row>
    <row r="512" spans="1:10">
      <c r="A512" s="108"/>
      <c r="B512" s="109"/>
      <c r="C512" s="109"/>
      <c r="D512" s="109"/>
      <c r="E512" s="109"/>
      <c r="F512" s="109"/>
      <c r="G512" s="109"/>
      <c r="H512" s="109"/>
      <c r="I512" s="109"/>
      <c r="J512" s="109"/>
    </row>
    <row r="513" spans="1:10">
      <c r="A513" s="108"/>
      <c r="B513" s="109"/>
      <c r="C513" s="109"/>
      <c r="D513" s="109"/>
      <c r="E513" s="109"/>
      <c r="F513" s="109"/>
      <c r="G513" s="109"/>
      <c r="H513" s="109"/>
      <c r="I513" s="109"/>
      <c r="J513" s="109"/>
    </row>
    <row r="514" spans="1:10">
      <c r="A514" s="108"/>
      <c r="B514" s="109"/>
      <c r="C514" s="109"/>
      <c r="D514" s="109"/>
      <c r="E514" s="109"/>
      <c r="F514" s="109"/>
      <c r="G514" s="109"/>
      <c r="H514" s="109"/>
      <c r="I514" s="109"/>
      <c r="J514" s="109"/>
    </row>
    <row r="515" spans="1:10">
      <c r="A515" s="108"/>
      <c r="B515" s="109"/>
      <c r="C515" s="109"/>
      <c r="D515" s="109"/>
      <c r="E515" s="109"/>
      <c r="F515" s="109"/>
      <c r="G515" s="109"/>
      <c r="H515" s="109"/>
      <c r="I515" s="109"/>
      <c r="J515" s="109"/>
    </row>
    <row r="516" spans="1:10">
      <c r="A516" s="108"/>
      <c r="B516" s="109"/>
      <c r="C516" s="109"/>
      <c r="D516" s="109"/>
      <c r="E516" s="109"/>
      <c r="F516" s="109"/>
      <c r="G516" s="109"/>
      <c r="H516" s="109"/>
      <c r="I516" s="109"/>
      <c r="J516" s="109"/>
    </row>
    <row r="517" spans="1:10">
      <c r="A517" s="108"/>
      <c r="B517" s="109"/>
      <c r="C517" s="109"/>
      <c r="D517" s="109"/>
      <c r="E517" s="109"/>
      <c r="F517" s="109"/>
      <c r="G517" s="109"/>
      <c r="H517" s="109"/>
      <c r="I517" s="109"/>
      <c r="J517" s="109"/>
    </row>
    <row r="518" spans="1:10">
      <c r="A518" s="108"/>
      <c r="B518" s="109"/>
      <c r="C518" s="109"/>
      <c r="D518" s="109"/>
      <c r="E518" s="109"/>
      <c r="F518" s="109"/>
      <c r="G518" s="109"/>
      <c r="H518" s="109"/>
      <c r="I518" s="109"/>
      <c r="J518" s="109"/>
    </row>
    <row r="519" spans="1:10">
      <c r="A519" s="108"/>
      <c r="B519" s="109"/>
      <c r="C519" s="109"/>
      <c r="D519" s="109"/>
      <c r="E519" s="109"/>
      <c r="F519" s="109"/>
      <c r="G519" s="109"/>
      <c r="H519" s="109"/>
      <c r="I519" s="109"/>
      <c r="J519" s="109"/>
    </row>
    <row r="520" spans="1:10">
      <c r="A520" s="108"/>
      <c r="B520" s="109"/>
      <c r="C520" s="109"/>
      <c r="D520" s="109"/>
      <c r="E520" s="109"/>
      <c r="F520" s="109"/>
      <c r="G520" s="109"/>
      <c r="H520" s="109"/>
      <c r="I520" s="109"/>
      <c r="J520" s="109"/>
    </row>
    <row r="521" spans="1:10">
      <c r="A521" s="108"/>
      <c r="B521" s="109"/>
      <c r="C521" s="109"/>
      <c r="D521" s="109"/>
      <c r="E521" s="109"/>
      <c r="F521" s="109"/>
      <c r="G521" s="109"/>
      <c r="H521" s="109"/>
      <c r="I521" s="109"/>
      <c r="J521" s="109"/>
    </row>
    <row r="522" spans="1:10">
      <c r="A522" s="108"/>
      <c r="B522" s="109"/>
      <c r="C522" s="109"/>
      <c r="D522" s="109"/>
      <c r="E522" s="109"/>
      <c r="F522" s="109"/>
      <c r="G522" s="109"/>
      <c r="H522" s="109"/>
      <c r="I522" s="109"/>
      <c r="J522" s="109"/>
    </row>
    <row r="523" spans="1:10">
      <c r="A523" s="108"/>
      <c r="B523" s="109"/>
      <c r="C523" s="109"/>
      <c r="D523" s="109"/>
      <c r="E523" s="109"/>
      <c r="F523" s="109"/>
      <c r="G523" s="109"/>
      <c r="H523" s="109"/>
      <c r="I523" s="109"/>
      <c r="J523" s="109"/>
    </row>
    <row r="524" spans="1:10">
      <c r="A524" s="108"/>
      <c r="B524" s="109"/>
      <c r="C524" s="109"/>
      <c r="D524" s="109"/>
      <c r="E524" s="109"/>
      <c r="F524" s="109"/>
      <c r="G524" s="109"/>
      <c r="H524" s="109"/>
      <c r="I524" s="109"/>
      <c r="J524" s="109"/>
    </row>
    <row r="525" spans="1:10">
      <c r="A525" s="108"/>
      <c r="B525" s="109"/>
      <c r="C525" s="109"/>
      <c r="D525" s="109"/>
      <c r="E525" s="109"/>
      <c r="F525" s="109"/>
      <c r="G525" s="109"/>
      <c r="H525" s="109"/>
      <c r="I525" s="109"/>
      <c r="J525" s="109"/>
    </row>
    <row r="526" spans="1:10">
      <c r="A526" s="108"/>
      <c r="B526" s="109"/>
      <c r="C526" s="109"/>
      <c r="D526" s="109"/>
      <c r="E526" s="109"/>
      <c r="F526" s="109"/>
      <c r="G526" s="109"/>
      <c r="H526" s="109"/>
      <c r="I526" s="109"/>
      <c r="J526" s="109"/>
    </row>
    <row r="527" spans="1:10">
      <c r="A527" s="108"/>
      <c r="B527" s="109"/>
      <c r="C527" s="109"/>
      <c r="D527" s="109"/>
      <c r="E527" s="109"/>
      <c r="F527" s="109"/>
      <c r="G527" s="109"/>
      <c r="H527" s="109"/>
      <c r="I527" s="109"/>
      <c r="J527" s="109"/>
    </row>
    <row r="528" spans="1:10">
      <c r="A528" s="108"/>
      <c r="B528" s="109"/>
      <c r="C528" s="109"/>
      <c r="D528" s="109"/>
      <c r="E528" s="109"/>
      <c r="F528" s="109"/>
      <c r="G528" s="109"/>
      <c r="H528" s="109"/>
      <c r="I528" s="109"/>
      <c r="J528" s="109"/>
    </row>
    <row r="529" spans="1:10">
      <c r="A529" s="108"/>
      <c r="B529" s="109"/>
      <c r="C529" s="109"/>
      <c r="D529" s="109"/>
      <c r="E529" s="109"/>
      <c r="F529" s="109"/>
      <c r="G529" s="109"/>
      <c r="H529" s="109"/>
      <c r="I529" s="109"/>
      <c r="J529" s="109"/>
    </row>
    <row r="530" spans="1:10">
      <c r="A530" s="108"/>
      <c r="B530" s="109"/>
      <c r="C530" s="109"/>
      <c r="D530" s="109"/>
      <c r="E530" s="109"/>
      <c r="F530" s="109"/>
      <c r="G530" s="109"/>
      <c r="H530" s="109"/>
      <c r="I530" s="109"/>
      <c r="J530" s="109"/>
    </row>
    <row r="531" spans="1:10">
      <c r="A531" s="108"/>
      <c r="B531" s="109"/>
      <c r="C531" s="109"/>
      <c r="D531" s="109"/>
      <c r="E531" s="109"/>
      <c r="F531" s="109"/>
      <c r="G531" s="109"/>
      <c r="H531" s="109"/>
      <c r="I531" s="109"/>
      <c r="J531" s="109"/>
    </row>
    <row r="532" spans="1:10">
      <c r="A532" s="108"/>
      <c r="B532" s="109"/>
      <c r="C532" s="109"/>
      <c r="D532" s="109"/>
      <c r="E532" s="109"/>
      <c r="F532" s="109"/>
      <c r="G532" s="109"/>
      <c r="H532" s="109"/>
      <c r="I532" s="109"/>
      <c r="J532" s="109"/>
    </row>
    <row r="533" spans="1:10">
      <c r="A533" s="108"/>
      <c r="B533" s="109"/>
      <c r="C533" s="109"/>
      <c r="D533" s="109"/>
      <c r="E533" s="109"/>
      <c r="F533" s="109"/>
      <c r="G533" s="109"/>
      <c r="H533" s="109"/>
      <c r="I533" s="109"/>
      <c r="J533" s="109"/>
    </row>
    <row r="534" spans="1:10">
      <c r="A534" s="108"/>
      <c r="B534" s="109"/>
      <c r="C534" s="109"/>
      <c r="D534" s="109"/>
      <c r="E534" s="109"/>
      <c r="F534" s="109"/>
      <c r="G534" s="109"/>
      <c r="H534" s="109"/>
      <c r="I534" s="109"/>
      <c r="J534" s="109"/>
    </row>
    <row r="535" spans="1:10">
      <c r="A535" s="108"/>
      <c r="B535" s="109"/>
      <c r="C535" s="109"/>
      <c r="D535" s="109"/>
      <c r="E535" s="109"/>
      <c r="F535" s="109"/>
      <c r="G535" s="109"/>
      <c r="H535" s="109"/>
      <c r="I535" s="109"/>
      <c r="J535" s="109"/>
    </row>
    <row r="536" spans="1:10">
      <c r="A536" s="108"/>
      <c r="B536" s="109"/>
      <c r="C536" s="109"/>
      <c r="D536" s="109"/>
      <c r="E536" s="109"/>
      <c r="F536" s="109"/>
      <c r="G536" s="109"/>
      <c r="H536" s="109"/>
      <c r="I536" s="109"/>
      <c r="J536" s="109"/>
    </row>
    <row r="537" spans="1:10">
      <c r="A537" s="108"/>
      <c r="B537" s="109"/>
      <c r="C537" s="109"/>
      <c r="D537" s="109"/>
      <c r="E537" s="109"/>
      <c r="F537" s="109"/>
      <c r="G537" s="109"/>
      <c r="H537" s="109"/>
      <c r="I537" s="109"/>
      <c r="J537" s="109"/>
    </row>
    <row r="538" spans="1:10">
      <c r="A538" s="108"/>
      <c r="B538" s="109"/>
      <c r="C538" s="109"/>
      <c r="D538" s="109"/>
      <c r="E538" s="109"/>
      <c r="F538" s="109"/>
      <c r="G538" s="109"/>
      <c r="H538" s="109"/>
      <c r="I538" s="109"/>
      <c r="J538" s="109"/>
    </row>
    <row r="539" spans="1:10">
      <c r="A539" s="108"/>
      <c r="B539" s="109"/>
      <c r="C539" s="109"/>
      <c r="D539" s="109"/>
      <c r="E539" s="109"/>
      <c r="F539" s="109"/>
      <c r="G539" s="109"/>
      <c r="H539" s="109"/>
      <c r="I539" s="109"/>
      <c r="J539" s="109"/>
    </row>
    <row r="540" spans="1:10">
      <c r="A540" s="108"/>
      <c r="B540" s="109"/>
      <c r="C540" s="109"/>
      <c r="D540" s="109"/>
      <c r="E540" s="109"/>
      <c r="F540" s="109"/>
      <c r="G540" s="109"/>
      <c r="H540" s="109"/>
      <c r="I540" s="109"/>
      <c r="J540" s="109"/>
    </row>
    <row r="541" spans="1:10">
      <c r="A541" s="108"/>
      <c r="B541" s="109"/>
      <c r="C541" s="109"/>
      <c r="D541" s="109"/>
      <c r="E541" s="109"/>
      <c r="F541" s="109"/>
      <c r="G541" s="109"/>
      <c r="H541" s="109"/>
      <c r="I541" s="109"/>
      <c r="J541" s="109"/>
    </row>
    <row r="542" spans="1:10">
      <c r="A542" s="108"/>
      <c r="B542" s="109"/>
      <c r="C542" s="109"/>
      <c r="D542" s="109"/>
      <c r="E542" s="109"/>
      <c r="F542" s="109"/>
      <c r="G542" s="109"/>
      <c r="H542" s="109"/>
      <c r="I542" s="109"/>
      <c r="J542" s="109"/>
    </row>
    <row r="543" spans="1:10">
      <c r="A543" s="108"/>
      <c r="B543" s="109"/>
      <c r="C543" s="109"/>
      <c r="D543" s="109"/>
      <c r="E543" s="109"/>
      <c r="F543" s="109"/>
      <c r="G543" s="109"/>
      <c r="H543" s="109"/>
      <c r="I543" s="109"/>
      <c r="J543" s="109"/>
    </row>
    <row r="544" spans="1:10">
      <c r="A544" s="108"/>
      <c r="B544" s="109"/>
      <c r="C544" s="109"/>
      <c r="D544" s="109"/>
      <c r="E544" s="109"/>
      <c r="F544" s="109"/>
      <c r="G544" s="109"/>
      <c r="H544" s="109"/>
      <c r="I544" s="109"/>
      <c r="J544" s="109"/>
    </row>
    <row r="545" spans="1:10">
      <c r="A545" s="108"/>
      <c r="B545" s="109"/>
      <c r="C545" s="109"/>
      <c r="D545" s="109"/>
      <c r="E545" s="109"/>
      <c r="F545" s="109"/>
      <c r="G545" s="109"/>
      <c r="H545" s="109"/>
      <c r="I545" s="109"/>
      <c r="J545" s="109"/>
    </row>
    <row r="546" spans="1:10">
      <c r="A546" s="108"/>
      <c r="B546" s="109"/>
      <c r="C546" s="109"/>
      <c r="D546" s="109"/>
      <c r="E546" s="109"/>
      <c r="F546" s="109"/>
      <c r="G546" s="109"/>
      <c r="H546" s="109"/>
      <c r="I546" s="109"/>
      <c r="J546" s="109"/>
    </row>
    <row r="547" spans="1:10">
      <c r="A547" s="108"/>
      <c r="B547" s="109"/>
      <c r="C547" s="109"/>
      <c r="D547" s="109"/>
      <c r="E547" s="109"/>
      <c r="F547" s="109"/>
      <c r="G547" s="109"/>
      <c r="H547" s="109"/>
      <c r="I547" s="109"/>
      <c r="J547" s="109"/>
    </row>
    <row r="548" spans="1:10">
      <c r="A548" s="108"/>
      <c r="B548" s="109"/>
      <c r="C548" s="109"/>
      <c r="D548" s="109"/>
      <c r="E548" s="109"/>
      <c r="F548" s="109"/>
      <c r="G548" s="109"/>
      <c r="H548" s="109"/>
      <c r="I548" s="109"/>
      <c r="J548" s="109"/>
    </row>
    <row r="549" spans="1:10">
      <c r="A549" s="108"/>
      <c r="B549" s="109"/>
      <c r="C549" s="109"/>
      <c r="D549" s="109"/>
      <c r="E549" s="109"/>
      <c r="F549" s="109"/>
      <c r="G549" s="109"/>
      <c r="H549" s="109"/>
      <c r="I549" s="109"/>
      <c r="J549" s="109"/>
    </row>
    <row r="550" spans="1:10">
      <c r="A550" s="108"/>
      <c r="B550" s="109"/>
      <c r="C550" s="109"/>
      <c r="D550" s="109"/>
      <c r="E550" s="109"/>
      <c r="F550" s="109"/>
      <c r="G550" s="109"/>
      <c r="H550" s="109"/>
      <c r="I550" s="109"/>
      <c r="J550" s="109"/>
    </row>
    <row r="551" spans="1:10">
      <c r="A551" s="108"/>
      <c r="B551" s="109"/>
      <c r="C551" s="109"/>
      <c r="D551" s="109"/>
      <c r="E551" s="109"/>
      <c r="F551" s="109"/>
      <c r="G551" s="109"/>
      <c r="H551" s="109"/>
      <c r="I551" s="109"/>
      <c r="J551" s="109"/>
    </row>
    <row r="552" spans="1:10">
      <c r="A552" s="108"/>
      <c r="B552" s="109"/>
      <c r="C552" s="109"/>
      <c r="D552" s="109"/>
      <c r="E552" s="109"/>
      <c r="F552" s="109"/>
      <c r="G552" s="109"/>
      <c r="H552" s="109"/>
      <c r="I552" s="109"/>
      <c r="J552" s="109"/>
    </row>
    <row r="553" spans="1:10">
      <c r="A553" s="108"/>
      <c r="B553" s="109"/>
      <c r="C553" s="109"/>
      <c r="D553" s="109"/>
      <c r="E553" s="109"/>
      <c r="F553" s="109"/>
      <c r="G553" s="109"/>
      <c r="H553" s="109"/>
      <c r="I553" s="109"/>
      <c r="J553" s="109"/>
    </row>
    <row r="554" spans="1:10">
      <c r="A554" s="108"/>
      <c r="B554" s="109"/>
      <c r="C554" s="109"/>
      <c r="D554" s="109"/>
      <c r="E554" s="109"/>
      <c r="F554" s="109"/>
      <c r="G554" s="109"/>
      <c r="H554" s="109"/>
      <c r="I554" s="109"/>
      <c r="J554" s="109"/>
    </row>
    <row r="555" spans="1:10">
      <c r="A555" s="108"/>
      <c r="B555" s="109"/>
      <c r="C555" s="109"/>
      <c r="D555" s="109"/>
      <c r="E555" s="109"/>
      <c r="F555" s="109"/>
      <c r="G555" s="109"/>
      <c r="H555" s="109"/>
      <c r="I555" s="109"/>
      <c r="J555" s="109"/>
    </row>
    <row r="556" spans="1:10">
      <c r="A556" s="108"/>
      <c r="B556" s="109"/>
      <c r="C556" s="109"/>
      <c r="D556" s="109"/>
      <c r="E556" s="109"/>
      <c r="F556" s="109"/>
      <c r="G556" s="109"/>
      <c r="H556" s="109"/>
      <c r="I556" s="109"/>
      <c r="J556" s="109"/>
    </row>
    <row r="557" spans="1:10">
      <c r="A557" s="108"/>
      <c r="B557" s="109"/>
      <c r="C557" s="109"/>
      <c r="D557" s="109"/>
      <c r="E557" s="109"/>
      <c r="F557" s="109"/>
      <c r="G557" s="109"/>
      <c r="H557" s="109"/>
      <c r="I557" s="109"/>
      <c r="J557" s="109"/>
    </row>
    <row r="558" spans="1:10">
      <c r="A558" s="108"/>
      <c r="B558" s="109"/>
      <c r="C558" s="109"/>
      <c r="D558" s="109"/>
      <c r="E558" s="109"/>
      <c r="F558" s="109"/>
      <c r="G558" s="109"/>
      <c r="H558" s="109"/>
      <c r="I558" s="109"/>
      <c r="J558" s="109"/>
    </row>
    <row r="559" spans="1:10">
      <c r="A559" s="108"/>
      <c r="B559" s="109"/>
      <c r="C559" s="109"/>
      <c r="D559" s="109"/>
      <c r="E559" s="109"/>
      <c r="F559" s="109"/>
      <c r="G559" s="109"/>
      <c r="H559" s="109"/>
      <c r="I559" s="109"/>
      <c r="J559" s="109"/>
    </row>
    <row r="560" spans="1:10">
      <c r="A560" s="108"/>
      <c r="B560" s="109"/>
      <c r="C560" s="109"/>
      <c r="D560" s="109"/>
      <c r="E560" s="109"/>
      <c r="F560" s="109"/>
      <c r="G560" s="109"/>
      <c r="H560" s="109"/>
      <c r="I560" s="109"/>
      <c r="J560" s="109"/>
    </row>
    <row r="561" spans="1:10">
      <c r="A561" s="108"/>
      <c r="B561" s="109"/>
      <c r="C561" s="109"/>
      <c r="D561" s="109"/>
      <c r="E561" s="109"/>
      <c r="F561" s="109"/>
      <c r="G561" s="109"/>
      <c r="H561" s="109"/>
      <c r="I561" s="109"/>
      <c r="J561" s="109"/>
    </row>
    <row r="562" spans="1:10">
      <c r="A562" s="108"/>
      <c r="B562" s="109"/>
      <c r="C562" s="109"/>
      <c r="D562" s="109"/>
      <c r="E562" s="109"/>
      <c r="F562" s="109"/>
      <c r="G562" s="109"/>
      <c r="H562" s="109"/>
      <c r="I562" s="109"/>
      <c r="J562" s="109"/>
    </row>
    <row r="563" spans="1:10">
      <c r="A563" s="108"/>
      <c r="B563" s="109"/>
      <c r="C563" s="109"/>
      <c r="D563" s="109"/>
      <c r="E563" s="109"/>
      <c r="F563" s="109"/>
      <c r="G563" s="109"/>
      <c r="H563" s="109"/>
      <c r="I563" s="109"/>
      <c r="J563" s="109"/>
    </row>
    <row r="564" spans="1:10">
      <c r="A564" s="108"/>
      <c r="B564" s="109"/>
      <c r="C564" s="109"/>
      <c r="D564" s="109"/>
      <c r="E564" s="109"/>
      <c r="F564" s="109"/>
      <c r="G564" s="109"/>
      <c r="H564" s="109"/>
      <c r="I564" s="109"/>
      <c r="J564" s="109"/>
    </row>
    <row r="565" spans="1:10">
      <c r="A565" s="108"/>
      <c r="B565" s="109"/>
      <c r="C565" s="109"/>
      <c r="D565" s="109"/>
      <c r="E565" s="109"/>
      <c r="F565" s="109"/>
      <c r="G565" s="109"/>
      <c r="H565" s="109"/>
      <c r="I565" s="109"/>
      <c r="J565" s="109"/>
    </row>
    <row r="566" spans="1:10">
      <c r="A566" s="108"/>
      <c r="B566" s="109"/>
      <c r="C566" s="109"/>
      <c r="D566" s="109"/>
      <c r="E566" s="109"/>
      <c r="F566" s="109"/>
      <c r="G566" s="109"/>
      <c r="H566" s="109"/>
      <c r="I566" s="109"/>
      <c r="J566" s="109"/>
    </row>
    <row r="567" spans="1:10">
      <c r="A567" s="108"/>
      <c r="B567" s="109"/>
      <c r="C567" s="109"/>
      <c r="D567" s="109"/>
      <c r="E567" s="109"/>
      <c r="F567" s="109"/>
      <c r="G567" s="109"/>
      <c r="H567" s="109"/>
      <c r="I567" s="109"/>
      <c r="J567" s="109"/>
    </row>
    <row r="568" spans="1:10">
      <c r="A568" s="108"/>
      <c r="B568" s="109"/>
      <c r="C568" s="109"/>
      <c r="D568" s="109"/>
      <c r="E568" s="109"/>
      <c r="F568" s="109"/>
      <c r="G568" s="109"/>
      <c r="H568" s="109"/>
      <c r="I568" s="109"/>
      <c r="J568" s="109"/>
    </row>
    <row r="569" spans="1:10">
      <c r="A569" s="108"/>
      <c r="B569" s="109"/>
      <c r="C569" s="109"/>
      <c r="D569" s="109"/>
      <c r="E569" s="109"/>
      <c r="F569" s="109"/>
      <c r="G569" s="109"/>
      <c r="H569" s="109"/>
      <c r="I569" s="109"/>
      <c r="J569" s="109"/>
    </row>
    <row r="570" spans="1:10">
      <c r="A570" s="108"/>
      <c r="B570" s="109"/>
      <c r="C570" s="109"/>
      <c r="D570" s="109"/>
      <c r="E570" s="109"/>
      <c r="F570" s="109"/>
      <c r="G570" s="109"/>
      <c r="H570" s="109"/>
      <c r="I570" s="109"/>
      <c r="J570" s="109"/>
    </row>
    <row r="571" spans="1:10">
      <c r="A571" s="108"/>
      <c r="B571" s="109"/>
      <c r="C571" s="109"/>
      <c r="D571" s="109"/>
      <c r="E571" s="109"/>
      <c r="F571" s="109"/>
      <c r="G571" s="109"/>
      <c r="H571" s="109"/>
      <c r="I571" s="109"/>
      <c r="J571" s="109"/>
    </row>
    <row r="572" spans="1:10">
      <c r="A572" s="108"/>
      <c r="B572" s="109"/>
      <c r="C572" s="109"/>
      <c r="D572" s="109"/>
      <c r="E572" s="109"/>
      <c r="F572" s="109"/>
      <c r="G572" s="109"/>
      <c r="H572" s="109"/>
      <c r="I572" s="109"/>
      <c r="J572" s="109"/>
    </row>
    <row r="573" spans="1:10">
      <c r="A573" s="108"/>
      <c r="B573" s="109"/>
      <c r="C573" s="109"/>
      <c r="D573" s="109"/>
      <c r="E573" s="109"/>
      <c r="F573" s="109"/>
      <c r="G573" s="109"/>
      <c r="H573" s="109"/>
      <c r="I573" s="109"/>
      <c r="J573" s="109"/>
    </row>
    <row r="574" spans="1:10">
      <c r="A574" s="108"/>
      <c r="B574" s="109"/>
      <c r="C574" s="109"/>
      <c r="D574" s="109"/>
      <c r="E574" s="109"/>
      <c r="F574" s="109"/>
      <c r="G574" s="109"/>
      <c r="H574" s="109"/>
      <c r="I574" s="109"/>
      <c r="J574" s="109"/>
    </row>
    <row r="575" spans="1:10">
      <c r="A575" s="108"/>
      <c r="B575" s="109"/>
      <c r="C575" s="109"/>
      <c r="D575" s="109"/>
      <c r="E575" s="109"/>
      <c r="F575" s="109"/>
      <c r="G575" s="109"/>
      <c r="H575" s="109"/>
      <c r="I575" s="109"/>
      <c r="J575" s="109"/>
    </row>
    <row r="576" spans="1:10">
      <c r="A576" s="108"/>
      <c r="B576" s="109"/>
      <c r="C576" s="109"/>
      <c r="D576" s="109"/>
      <c r="E576" s="109"/>
      <c r="F576" s="109"/>
      <c r="G576" s="109"/>
      <c r="H576" s="109"/>
      <c r="I576" s="109"/>
      <c r="J576" s="109"/>
    </row>
    <row r="577" spans="1:10">
      <c r="A577" s="108"/>
      <c r="B577" s="109"/>
      <c r="C577" s="109"/>
      <c r="D577" s="109"/>
      <c r="E577" s="109"/>
      <c r="F577" s="109"/>
      <c r="G577" s="109"/>
      <c r="H577" s="109"/>
      <c r="I577" s="109"/>
      <c r="J577" s="109"/>
    </row>
    <row r="578" spans="1:10">
      <c r="A578" s="108"/>
      <c r="B578" s="109"/>
      <c r="C578" s="109"/>
      <c r="D578" s="109"/>
      <c r="E578" s="109"/>
      <c r="F578" s="109"/>
      <c r="G578" s="109"/>
      <c r="H578" s="109"/>
      <c r="I578" s="109"/>
      <c r="J578" s="109"/>
    </row>
    <row r="579" spans="1:10">
      <c r="A579" s="108"/>
      <c r="B579" s="109"/>
      <c r="C579" s="109"/>
      <c r="D579" s="109"/>
      <c r="E579" s="109"/>
      <c r="F579" s="109"/>
      <c r="G579" s="109"/>
      <c r="H579" s="109"/>
      <c r="I579" s="109"/>
      <c r="J579" s="109"/>
    </row>
    <row r="580" spans="1:10">
      <c r="A580" s="108"/>
      <c r="B580" s="109"/>
      <c r="C580" s="109"/>
      <c r="D580" s="109"/>
      <c r="E580" s="109"/>
      <c r="F580" s="109"/>
      <c r="G580" s="109"/>
      <c r="H580" s="109"/>
      <c r="I580" s="109"/>
      <c r="J580" s="109"/>
    </row>
    <row r="581" spans="1:10">
      <c r="A581" s="108"/>
      <c r="B581" s="109"/>
      <c r="C581" s="109"/>
      <c r="D581" s="109"/>
      <c r="E581" s="109"/>
      <c r="F581" s="109"/>
      <c r="G581" s="109"/>
      <c r="H581" s="109"/>
      <c r="I581" s="109"/>
      <c r="J581" s="109"/>
    </row>
    <row r="582" spans="1:10">
      <c r="A582" s="108"/>
      <c r="B582" s="109"/>
      <c r="C582" s="109"/>
      <c r="D582" s="109"/>
      <c r="E582" s="109"/>
      <c r="F582" s="109"/>
      <c r="G582" s="109"/>
      <c r="H582" s="109"/>
      <c r="I582" s="109"/>
      <c r="J582" s="109"/>
    </row>
    <row r="583" spans="1:10">
      <c r="A583" s="108"/>
      <c r="B583" s="109"/>
      <c r="C583" s="109"/>
      <c r="D583" s="109"/>
      <c r="E583" s="109"/>
      <c r="F583" s="109"/>
      <c r="G583" s="109"/>
      <c r="H583" s="109"/>
      <c r="I583" s="109"/>
      <c r="J583" s="109"/>
    </row>
    <row r="584" spans="1:10">
      <c r="A584" s="108"/>
      <c r="B584" s="109"/>
      <c r="C584" s="109"/>
      <c r="D584" s="109"/>
      <c r="E584" s="109"/>
      <c r="F584" s="109"/>
      <c r="G584" s="109"/>
      <c r="H584" s="109"/>
      <c r="I584" s="109"/>
      <c r="J584" s="109"/>
    </row>
    <row r="585" spans="1:10">
      <c r="A585" s="108"/>
      <c r="B585" s="109"/>
      <c r="C585" s="109"/>
      <c r="D585" s="109"/>
      <c r="E585" s="109"/>
      <c r="F585" s="109"/>
      <c r="G585" s="109"/>
      <c r="H585" s="109"/>
      <c r="I585" s="109"/>
      <c r="J585" s="109"/>
    </row>
    <row r="586" spans="1:10">
      <c r="A586" s="108"/>
      <c r="B586" s="109"/>
      <c r="C586" s="109"/>
      <c r="D586" s="109"/>
      <c r="E586" s="109"/>
      <c r="F586" s="109"/>
      <c r="G586" s="109"/>
      <c r="H586" s="109"/>
      <c r="I586" s="109"/>
      <c r="J586" s="109"/>
    </row>
    <row r="587" spans="1:10">
      <c r="A587" s="108"/>
      <c r="B587" s="109"/>
      <c r="C587" s="109"/>
      <c r="D587" s="109"/>
      <c r="E587" s="109"/>
      <c r="F587" s="109"/>
      <c r="G587" s="109"/>
      <c r="H587" s="109"/>
      <c r="I587" s="109"/>
      <c r="J587" s="109"/>
    </row>
    <row r="588" spans="1:10">
      <c r="A588" s="108"/>
      <c r="B588" s="109"/>
      <c r="C588" s="109"/>
      <c r="D588" s="109"/>
      <c r="E588" s="109"/>
      <c r="F588" s="109"/>
      <c r="G588" s="109"/>
      <c r="H588" s="109"/>
      <c r="I588" s="109"/>
      <c r="J588" s="109"/>
    </row>
    <row r="589" spans="1:10">
      <c r="A589" s="108"/>
      <c r="B589" s="109"/>
      <c r="C589" s="109"/>
      <c r="D589" s="109"/>
      <c r="E589" s="109"/>
      <c r="F589" s="109"/>
      <c r="G589" s="109"/>
      <c r="H589" s="109"/>
      <c r="I589" s="109"/>
      <c r="J589" s="109"/>
    </row>
    <row r="590" spans="1:10">
      <c r="A590" s="108"/>
      <c r="B590" s="109"/>
      <c r="C590" s="109"/>
      <c r="D590" s="109"/>
      <c r="E590" s="109"/>
      <c r="F590" s="109"/>
      <c r="G590" s="109"/>
      <c r="H590" s="109"/>
      <c r="I590" s="109"/>
      <c r="J590" s="109"/>
    </row>
    <row r="591" spans="1:10">
      <c r="A591" s="108"/>
      <c r="B591" s="109"/>
      <c r="C591" s="109"/>
      <c r="D591" s="109"/>
      <c r="E591" s="109"/>
      <c r="F591" s="109"/>
      <c r="G591" s="109"/>
      <c r="H591" s="109"/>
      <c r="I591" s="109"/>
      <c r="J591" s="109"/>
    </row>
    <row r="592" spans="1:10">
      <c r="A592" s="108"/>
      <c r="B592" s="109"/>
      <c r="C592" s="109"/>
      <c r="D592" s="109"/>
      <c r="E592" s="109"/>
      <c r="F592" s="109"/>
      <c r="G592" s="109"/>
      <c r="H592" s="109"/>
      <c r="I592" s="109"/>
      <c r="J592" s="109"/>
    </row>
    <row r="593" spans="1:10">
      <c r="A593" s="108"/>
      <c r="B593" s="109"/>
      <c r="C593" s="109"/>
      <c r="D593" s="109"/>
      <c r="E593" s="109"/>
      <c r="F593" s="109"/>
      <c r="G593" s="109"/>
      <c r="H593" s="109"/>
      <c r="I593" s="109"/>
      <c r="J593" s="109"/>
    </row>
    <row r="594" spans="1:10">
      <c r="A594" s="108"/>
      <c r="B594" s="109"/>
      <c r="C594" s="109"/>
      <c r="D594" s="109"/>
      <c r="E594" s="109"/>
      <c r="F594" s="109"/>
      <c r="G594" s="109"/>
      <c r="H594" s="109"/>
      <c r="I594" s="109"/>
      <c r="J594" s="109"/>
    </row>
    <row r="595" spans="1:10">
      <c r="A595" s="108"/>
      <c r="B595" s="109"/>
      <c r="C595" s="109"/>
      <c r="D595" s="109"/>
      <c r="E595" s="109"/>
      <c r="F595" s="109"/>
      <c r="G595" s="109"/>
      <c r="H595" s="109"/>
      <c r="I595" s="109"/>
      <c r="J595" s="109"/>
    </row>
    <row r="596" spans="1:10">
      <c r="A596" s="108"/>
      <c r="B596" s="109"/>
      <c r="C596" s="109"/>
      <c r="D596" s="109"/>
      <c r="E596" s="109"/>
      <c r="F596" s="109"/>
      <c r="G596" s="109"/>
      <c r="H596" s="109"/>
      <c r="I596" s="109"/>
      <c r="J596" s="109"/>
    </row>
    <row r="597" spans="1:10">
      <c r="A597" s="108"/>
      <c r="B597" s="109"/>
      <c r="C597" s="109"/>
      <c r="D597" s="109"/>
      <c r="E597" s="109"/>
      <c r="F597" s="109"/>
      <c r="G597" s="109"/>
      <c r="H597" s="109"/>
      <c r="I597" s="109"/>
      <c r="J597" s="109"/>
    </row>
    <row r="598" spans="1:10">
      <c r="A598" s="108"/>
      <c r="B598" s="109"/>
      <c r="C598" s="109"/>
      <c r="D598" s="109"/>
      <c r="E598" s="109"/>
      <c r="F598" s="109"/>
      <c r="G598" s="109"/>
      <c r="H598" s="109"/>
      <c r="I598" s="109"/>
      <c r="J598" s="109"/>
    </row>
    <row r="599" spans="1:10">
      <c r="A599" s="108"/>
      <c r="B599" s="109"/>
      <c r="C599" s="109"/>
      <c r="D599" s="109"/>
      <c r="E599" s="109"/>
      <c r="F599" s="109"/>
      <c r="G599" s="109"/>
      <c r="H599" s="109"/>
      <c r="I599" s="109"/>
      <c r="J599" s="109"/>
    </row>
    <row r="600" spans="1:10">
      <c r="A600" s="108"/>
      <c r="B600" s="109"/>
      <c r="C600" s="109"/>
      <c r="D600" s="109"/>
      <c r="E600" s="109"/>
      <c r="F600" s="109"/>
      <c r="G600" s="109"/>
      <c r="H600" s="109"/>
      <c r="I600" s="109"/>
      <c r="J600" s="109"/>
    </row>
    <row r="601" spans="1:10">
      <c r="A601" s="108"/>
      <c r="B601" s="109"/>
      <c r="C601" s="109"/>
      <c r="D601" s="109"/>
      <c r="E601" s="109"/>
      <c r="F601" s="109"/>
      <c r="G601" s="109"/>
      <c r="H601" s="109"/>
      <c r="I601" s="109"/>
      <c r="J601" s="109"/>
    </row>
    <row r="602" spans="1:10">
      <c r="A602" s="108"/>
      <c r="B602" s="109"/>
      <c r="C602" s="109"/>
      <c r="D602" s="109"/>
      <c r="E602" s="109"/>
      <c r="F602" s="109"/>
      <c r="G602" s="109"/>
      <c r="H602" s="109"/>
      <c r="I602" s="109"/>
      <c r="J602" s="109"/>
    </row>
    <row r="603" spans="1:10">
      <c r="A603" s="108"/>
      <c r="B603" s="109"/>
      <c r="C603" s="109"/>
      <c r="D603" s="109"/>
      <c r="E603" s="109"/>
      <c r="F603" s="109"/>
      <c r="G603" s="109"/>
      <c r="H603" s="109"/>
      <c r="I603" s="109"/>
      <c r="J603" s="109"/>
    </row>
    <row r="604" spans="1:10">
      <c r="A604" s="108"/>
      <c r="B604" s="109"/>
      <c r="C604" s="109"/>
      <c r="D604" s="109"/>
      <c r="E604" s="109"/>
      <c r="F604" s="109"/>
      <c r="G604" s="109"/>
      <c r="H604" s="109"/>
      <c r="I604" s="109"/>
      <c r="J604" s="109"/>
    </row>
    <row r="605" spans="1:10">
      <c r="A605" s="108"/>
      <c r="B605" s="109"/>
      <c r="C605" s="109"/>
      <c r="D605" s="109"/>
      <c r="E605" s="109"/>
      <c r="F605" s="109"/>
      <c r="G605" s="109"/>
      <c r="H605" s="109"/>
      <c r="I605" s="109"/>
      <c r="J605" s="109"/>
    </row>
    <row r="606" spans="1:10">
      <c r="A606" s="108"/>
      <c r="B606" s="109"/>
      <c r="C606" s="109"/>
      <c r="D606" s="109"/>
      <c r="E606" s="109"/>
      <c r="F606" s="109"/>
      <c r="G606" s="109"/>
      <c r="H606" s="109"/>
      <c r="I606" s="109"/>
      <c r="J606" s="109"/>
    </row>
    <row r="607" spans="1:10">
      <c r="A607" s="108"/>
      <c r="B607" s="109"/>
      <c r="C607" s="109"/>
      <c r="D607" s="109"/>
      <c r="E607" s="109"/>
      <c r="F607" s="109"/>
      <c r="G607" s="109"/>
      <c r="H607" s="109"/>
      <c r="I607" s="109"/>
      <c r="J607" s="109"/>
    </row>
    <row r="608" spans="1:10">
      <c r="A608" s="108"/>
      <c r="B608" s="109"/>
      <c r="C608" s="109"/>
      <c r="D608" s="109"/>
      <c r="E608" s="109"/>
      <c r="F608" s="109"/>
      <c r="G608" s="109"/>
      <c r="H608" s="109"/>
      <c r="I608" s="109"/>
      <c r="J608" s="109"/>
    </row>
    <row r="609" spans="1:10">
      <c r="A609" s="108"/>
      <c r="B609" s="109"/>
      <c r="C609" s="109"/>
      <c r="D609" s="109"/>
      <c r="E609" s="109"/>
      <c r="F609" s="109"/>
      <c r="G609" s="109"/>
      <c r="H609" s="109"/>
      <c r="I609" s="109"/>
      <c r="J609" s="109"/>
    </row>
    <row r="610" spans="1:10">
      <c r="A610" s="108"/>
      <c r="B610" s="109"/>
      <c r="C610" s="109"/>
      <c r="D610" s="109"/>
      <c r="E610" s="109"/>
      <c r="F610" s="109"/>
      <c r="G610" s="109"/>
      <c r="H610" s="109"/>
      <c r="I610" s="109"/>
      <c r="J610" s="109"/>
    </row>
    <row r="611" spans="1:10">
      <c r="A611" s="108"/>
      <c r="B611" s="109"/>
      <c r="C611" s="109"/>
      <c r="D611" s="109"/>
      <c r="E611" s="109"/>
      <c r="F611" s="109"/>
      <c r="G611" s="109"/>
      <c r="H611" s="109"/>
      <c r="I611" s="109"/>
      <c r="J611" s="109"/>
    </row>
    <row r="612" spans="1:10">
      <c r="A612" s="108"/>
      <c r="B612" s="109"/>
      <c r="C612" s="109"/>
      <c r="D612" s="109"/>
      <c r="E612" s="109"/>
      <c r="F612" s="109"/>
      <c r="G612" s="109"/>
      <c r="H612" s="109"/>
      <c r="I612" s="109"/>
      <c r="J612" s="109"/>
    </row>
    <row r="613" spans="1:10">
      <c r="A613" s="108"/>
      <c r="B613" s="109"/>
      <c r="C613" s="109"/>
      <c r="D613" s="109"/>
      <c r="E613" s="109"/>
      <c r="F613" s="109"/>
      <c r="G613" s="109"/>
      <c r="H613" s="109"/>
      <c r="I613" s="109"/>
      <c r="J613" s="109"/>
    </row>
    <row r="614" spans="1:10">
      <c r="A614" s="108"/>
      <c r="B614" s="109"/>
      <c r="C614" s="109"/>
      <c r="D614" s="109"/>
      <c r="E614" s="109"/>
      <c r="F614" s="109"/>
      <c r="G614" s="109"/>
      <c r="H614" s="109"/>
      <c r="I614" s="109"/>
      <c r="J614" s="109"/>
    </row>
    <row r="615" spans="1:10">
      <c r="A615" s="108"/>
      <c r="B615" s="109"/>
      <c r="C615" s="109"/>
      <c r="D615" s="109"/>
      <c r="E615" s="109"/>
      <c r="F615" s="109"/>
      <c r="G615" s="109"/>
      <c r="H615" s="109"/>
      <c r="I615" s="109"/>
      <c r="J615" s="109"/>
    </row>
    <row r="616" spans="1:10">
      <c r="A616" s="108"/>
      <c r="B616" s="109"/>
      <c r="C616" s="109"/>
      <c r="D616" s="109"/>
      <c r="E616" s="109"/>
      <c r="F616" s="109"/>
      <c r="G616" s="109"/>
      <c r="H616" s="109"/>
      <c r="I616" s="109"/>
      <c r="J616" s="109"/>
    </row>
    <row r="617" spans="1:10">
      <c r="A617" s="108"/>
      <c r="B617" s="109"/>
      <c r="C617" s="109"/>
      <c r="D617" s="109"/>
      <c r="E617" s="109"/>
      <c r="F617" s="109"/>
      <c r="G617" s="109"/>
      <c r="H617" s="109"/>
      <c r="I617" s="109"/>
      <c r="J617" s="109"/>
    </row>
    <row r="618" spans="1:10">
      <c r="A618" s="108"/>
      <c r="B618" s="109"/>
      <c r="C618" s="109"/>
      <c r="D618" s="109"/>
      <c r="E618" s="109"/>
      <c r="F618" s="109"/>
      <c r="G618" s="109"/>
      <c r="H618" s="109"/>
      <c r="I618" s="109"/>
      <c r="J618" s="109"/>
    </row>
    <row r="619" spans="1:10">
      <c r="A619" s="108"/>
      <c r="B619" s="109"/>
      <c r="C619" s="109"/>
      <c r="D619" s="109"/>
      <c r="E619" s="109"/>
      <c r="F619" s="109"/>
      <c r="G619" s="109"/>
      <c r="H619" s="109"/>
      <c r="I619" s="109"/>
      <c r="J619" s="109"/>
    </row>
    <row r="620" spans="1:10">
      <c r="A620" s="108"/>
      <c r="B620" s="109"/>
      <c r="C620" s="109"/>
      <c r="D620" s="109"/>
      <c r="E620" s="109"/>
      <c r="F620" s="109"/>
      <c r="G620" s="109"/>
      <c r="H620" s="109"/>
      <c r="I620" s="109"/>
      <c r="J620" s="109"/>
    </row>
    <row r="621" spans="1:10">
      <c r="A621" s="108"/>
      <c r="B621" s="109"/>
      <c r="C621" s="109"/>
      <c r="D621" s="109"/>
      <c r="E621" s="109"/>
      <c r="F621" s="109"/>
      <c r="G621" s="109"/>
      <c r="H621" s="109"/>
      <c r="I621" s="109"/>
      <c r="J621" s="109"/>
    </row>
    <row r="622" spans="1:10">
      <c r="A622" s="108"/>
      <c r="B622" s="109"/>
      <c r="C622" s="109"/>
      <c r="D622" s="109"/>
      <c r="E622" s="109"/>
      <c r="F622" s="109"/>
      <c r="G622" s="109"/>
      <c r="H622" s="109"/>
      <c r="I622" s="109"/>
      <c r="J622" s="109"/>
    </row>
    <row r="623" spans="1:10">
      <c r="A623" s="108"/>
      <c r="B623" s="109"/>
      <c r="C623" s="109"/>
      <c r="D623" s="109"/>
      <c r="E623" s="109"/>
      <c r="F623" s="109"/>
      <c r="G623" s="109"/>
      <c r="H623" s="109"/>
      <c r="I623" s="109"/>
      <c r="J623" s="109"/>
    </row>
    <row r="624" spans="1:10">
      <c r="A624" s="108"/>
      <c r="B624" s="109"/>
      <c r="C624" s="109"/>
      <c r="D624" s="109"/>
      <c r="E624" s="109"/>
      <c r="F624" s="109"/>
      <c r="G624" s="109"/>
      <c r="H624" s="109"/>
      <c r="I624" s="109"/>
      <c r="J624" s="109"/>
    </row>
    <row r="625" spans="1:10">
      <c r="A625" s="108"/>
      <c r="B625" s="109"/>
      <c r="C625" s="109"/>
      <c r="D625" s="109"/>
      <c r="E625" s="109"/>
      <c r="F625" s="109"/>
      <c r="G625" s="109"/>
      <c r="H625" s="109"/>
      <c r="I625" s="109"/>
      <c r="J625" s="109"/>
    </row>
    <row r="626" spans="1:10">
      <c r="A626" s="108"/>
      <c r="B626" s="109"/>
      <c r="C626" s="109"/>
      <c r="D626" s="109"/>
      <c r="E626" s="109"/>
      <c r="F626" s="109"/>
      <c r="G626" s="109"/>
      <c r="H626" s="109"/>
      <c r="I626" s="109"/>
      <c r="J626" s="109"/>
    </row>
    <row r="627" spans="1:10">
      <c r="A627" s="108"/>
      <c r="B627" s="109"/>
      <c r="C627" s="109"/>
      <c r="D627" s="109"/>
      <c r="E627" s="109"/>
      <c r="F627" s="109"/>
      <c r="G627" s="109"/>
      <c r="H627" s="109"/>
      <c r="I627" s="109"/>
      <c r="J627" s="109"/>
    </row>
    <row r="628" spans="1:10">
      <c r="A628" s="108"/>
      <c r="B628" s="109"/>
      <c r="C628" s="109"/>
      <c r="D628" s="109"/>
      <c r="E628" s="109"/>
      <c r="F628" s="109"/>
      <c r="G628" s="109"/>
      <c r="H628" s="109"/>
      <c r="I628" s="109"/>
      <c r="J628" s="109"/>
    </row>
    <row r="629" spans="1:10">
      <c r="A629" s="108"/>
      <c r="B629" s="109"/>
      <c r="C629" s="109"/>
      <c r="D629" s="109"/>
      <c r="E629" s="109"/>
      <c r="F629" s="109"/>
      <c r="G629" s="109"/>
      <c r="H629" s="109"/>
      <c r="I629" s="109"/>
      <c r="J629" s="109"/>
    </row>
    <row r="630" spans="1:10">
      <c r="A630" s="108"/>
      <c r="B630" s="109"/>
      <c r="C630" s="109"/>
      <c r="D630" s="109"/>
      <c r="E630" s="109"/>
      <c r="F630" s="109"/>
      <c r="G630" s="109"/>
      <c r="H630" s="109"/>
      <c r="I630" s="109"/>
      <c r="J630" s="109"/>
    </row>
    <row r="631" spans="1:10">
      <c r="A631" s="108"/>
      <c r="B631" s="109"/>
      <c r="C631" s="109"/>
      <c r="D631" s="109"/>
      <c r="E631" s="109"/>
      <c r="F631" s="109"/>
      <c r="G631" s="109"/>
      <c r="H631" s="109"/>
      <c r="I631" s="109"/>
      <c r="J631" s="109"/>
    </row>
    <row r="632" spans="1:10">
      <c r="A632" s="108"/>
      <c r="B632" s="109"/>
      <c r="C632" s="109"/>
      <c r="D632" s="109"/>
      <c r="E632" s="109"/>
      <c r="F632" s="109"/>
      <c r="G632" s="109"/>
      <c r="H632" s="109"/>
      <c r="I632" s="109"/>
      <c r="J632" s="109"/>
    </row>
    <row r="633" spans="1:10">
      <c r="A633" s="108"/>
      <c r="B633" s="109"/>
      <c r="C633" s="109"/>
      <c r="D633" s="109"/>
      <c r="E633" s="109"/>
      <c r="F633" s="109"/>
      <c r="G633" s="109"/>
      <c r="H633" s="109"/>
      <c r="I633" s="109"/>
      <c r="J633" s="109"/>
    </row>
    <row r="634" spans="1:10">
      <c r="A634" s="108"/>
      <c r="B634" s="109"/>
      <c r="C634" s="109"/>
      <c r="D634" s="109"/>
      <c r="E634" s="109"/>
      <c r="F634" s="109"/>
      <c r="G634" s="109"/>
      <c r="H634" s="109"/>
      <c r="I634" s="109"/>
      <c r="J634" s="109"/>
    </row>
    <row r="635" spans="1:10">
      <c r="A635" s="108"/>
      <c r="B635" s="109"/>
      <c r="C635" s="109"/>
      <c r="D635" s="109"/>
      <c r="E635" s="109"/>
      <c r="F635" s="109"/>
      <c r="G635" s="109"/>
      <c r="H635" s="109"/>
      <c r="I635" s="109"/>
      <c r="J635" s="109"/>
    </row>
    <row r="636" spans="1:10">
      <c r="A636" s="108"/>
      <c r="B636" s="109"/>
      <c r="C636" s="109"/>
      <c r="D636" s="109"/>
      <c r="E636" s="109"/>
      <c r="F636" s="109"/>
      <c r="G636" s="109"/>
      <c r="H636" s="109"/>
      <c r="I636" s="109"/>
      <c r="J636" s="109"/>
    </row>
    <row r="637" spans="1:10">
      <c r="A637" s="108"/>
      <c r="B637" s="109"/>
      <c r="C637" s="109"/>
      <c r="D637" s="109"/>
      <c r="E637" s="109"/>
      <c r="F637" s="109"/>
      <c r="G637" s="109"/>
      <c r="H637" s="109"/>
      <c r="I637" s="109"/>
      <c r="J637" s="109"/>
    </row>
    <row r="638" spans="1:10">
      <c r="A638" s="108"/>
      <c r="B638" s="109"/>
      <c r="C638" s="109"/>
      <c r="D638" s="109"/>
      <c r="E638" s="109"/>
      <c r="F638" s="109"/>
      <c r="G638" s="109"/>
      <c r="H638" s="109"/>
      <c r="I638" s="109"/>
      <c r="J638" s="109"/>
    </row>
    <row r="639" spans="1:10">
      <c r="A639" s="108"/>
      <c r="B639" s="109"/>
      <c r="C639" s="109"/>
      <c r="D639" s="109"/>
      <c r="E639" s="109"/>
      <c r="F639" s="109"/>
      <c r="G639" s="109"/>
      <c r="H639" s="109"/>
      <c r="I639" s="109"/>
      <c r="J639" s="109"/>
    </row>
    <row r="640" spans="1:10">
      <c r="A640" s="108"/>
      <c r="B640" s="109"/>
      <c r="C640" s="109"/>
      <c r="D640" s="109"/>
      <c r="E640" s="109"/>
      <c r="F640" s="109"/>
      <c r="G640" s="109"/>
      <c r="H640" s="109"/>
      <c r="I640" s="109"/>
      <c r="J640" s="109"/>
    </row>
    <row r="641" spans="1:10">
      <c r="A641" s="108"/>
      <c r="B641" s="109"/>
      <c r="C641" s="109"/>
      <c r="D641" s="109"/>
      <c r="E641" s="109"/>
      <c r="F641" s="109"/>
      <c r="G641" s="109"/>
      <c r="H641" s="109"/>
      <c r="I641" s="109"/>
      <c r="J641" s="109"/>
    </row>
    <row r="642" spans="1:10">
      <c r="A642" s="108"/>
      <c r="B642" s="109"/>
      <c r="C642" s="109"/>
      <c r="D642" s="109"/>
      <c r="E642" s="109"/>
      <c r="F642" s="109"/>
      <c r="G642" s="109"/>
      <c r="H642" s="109"/>
      <c r="I642" s="109"/>
      <c r="J642" s="109"/>
    </row>
    <row r="643" spans="1:10">
      <c r="A643" s="108"/>
      <c r="B643" s="109"/>
      <c r="C643" s="109"/>
      <c r="D643" s="109"/>
      <c r="E643" s="109"/>
      <c r="F643" s="109"/>
      <c r="G643" s="109"/>
      <c r="H643" s="109"/>
      <c r="I643" s="109"/>
      <c r="J643" s="109"/>
    </row>
    <row r="644" spans="1:10">
      <c r="A644" s="108"/>
      <c r="B644" s="109"/>
      <c r="C644" s="109"/>
      <c r="D644" s="109"/>
      <c r="E644" s="109"/>
      <c r="F644" s="109"/>
      <c r="G644" s="109"/>
      <c r="H644" s="109"/>
      <c r="I644" s="109"/>
      <c r="J644" s="109"/>
    </row>
    <row r="645" spans="1:10">
      <c r="A645" s="108"/>
      <c r="B645" s="109"/>
      <c r="C645" s="109"/>
      <c r="D645" s="109"/>
      <c r="E645" s="109"/>
      <c r="F645" s="109"/>
      <c r="G645" s="109"/>
      <c r="H645" s="109"/>
      <c r="I645" s="109"/>
      <c r="J645" s="109"/>
    </row>
    <row r="646" spans="1:10">
      <c r="A646" s="108"/>
      <c r="B646" s="109"/>
      <c r="C646" s="109"/>
      <c r="D646" s="109"/>
      <c r="E646" s="109"/>
      <c r="F646" s="109"/>
      <c r="G646" s="109"/>
      <c r="H646" s="109"/>
      <c r="I646" s="109"/>
      <c r="J646" s="109"/>
    </row>
    <row r="647" spans="1:10">
      <c r="A647" s="108"/>
      <c r="B647" s="109"/>
      <c r="C647" s="109"/>
      <c r="D647" s="109"/>
      <c r="E647" s="109"/>
      <c r="F647" s="109"/>
      <c r="G647" s="109"/>
      <c r="H647" s="109"/>
      <c r="I647" s="109"/>
      <c r="J647" s="109"/>
    </row>
    <row r="648" spans="1:10">
      <c r="A648" s="108"/>
      <c r="B648" s="109"/>
      <c r="C648" s="109"/>
      <c r="D648" s="109"/>
      <c r="E648" s="109"/>
      <c r="F648" s="109"/>
      <c r="G648" s="109"/>
      <c r="H648" s="109"/>
      <c r="I648" s="109"/>
      <c r="J648" s="109"/>
    </row>
    <row r="649" spans="1:10">
      <c r="A649" s="108"/>
      <c r="B649" s="109"/>
      <c r="C649" s="109"/>
      <c r="D649" s="109"/>
      <c r="E649" s="109"/>
      <c r="F649" s="109"/>
      <c r="G649" s="109"/>
      <c r="H649" s="109"/>
      <c r="I649" s="109"/>
      <c r="J649" s="109"/>
    </row>
    <row r="650" spans="1:10">
      <c r="A650" s="108"/>
      <c r="B650" s="109"/>
      <c r="C650" s="109"/>
      <c r="D650" s="109"/>
      <c r="E650" s="109"/>
      <c r="F650" s="109"/>
      <c r="G650" s="109"/>
      <c r="H650" s="109"/>
      <c r="I650" s="109"/>
      <c r="J650" s="109"/>
    </row>
    <row r="651" spans="1:10">
      <c r="A651" s="108"/>
      <c r="B651" s="109"/>
      <c r="C651" s="109"/>
      <c r="D651" s="109"/>
      <c r="E651" s="109"/>
      <c r="F651" s="109"/>
      <c r="G651" s="109"/>
      <c r="H651" s="109"/>
      <c r="I651" s="109"/>
      <c r="J651" s="109"/>
    </row>
    <row r="652" spans="1:10">
      <c r="A652" s="108"/>
      <c r="B652" s="109"/>
      <c r="C652" s="109"/>
      <c r="D652" s="109"/>
      <c r="E652" s="109"/>
      <c r="F652" s="109"/>
      <c r="G652" s="109"/>
      <c r="H652" s="109"/>
      <c r="I652" s="109"/>
      <c r="J652" s="109"/>
    </row>
    <row r="653" spans="1:10">
      <c r="A653" s="108"/>
      <c r="B653" s="109"/>
      <c r="C653" s="109"/>
      <c r="D653" s="109"/>
      <c r="E653" s="109"/>
      <c r="F653" s="109"/>
      <c r="G653" s="109"/>
      <c r="H653" s="109"/>
      <c r="I653" s="109"/>
      <c r="J653" s="109"/>
    </row>
    <row r="654" spans="1:10">
      <c r="A654" s="108"/>
      <c r="B654" s="109"/>
      <c r="C654" s="109"/>
      <c r="D654" s="109"/>
      <c r="E654" s="109"/>
      <c r="F654" s="109"/>
      <c r="G654" s="109"/>
      <c r="H654" s="109"/>
      <c r="I654" s="109"/>
      <c r="J654" s="109"/>
    </row>
    <row r="655" spans="1:10">
      <c r="A655" s="108"/>
      <c r="B655" s="109"/>
      <c r="C655" s="109"/>
      <c r="D655" s="109"/>
      <c r="E655" s="109"/>
      <c r="F655" s="109"/>
      <c r="G655" s="109"/>
      <c r="H655" s="109"/>
      <c r="I655" s="109"/>
      <c r="J655" s="109"/>
    </row>
    <row r="656" spans="1:10">
      <c r="A656" s="108"/>
      <c r="B656" s="109"/>
      <c r="C656" s="109"/>
      <c r="D656" s="109"/>
      <c r="E656" s="109"/>
      <c r="F656" s="109"/>
      <c r="G656" s="109"/>
      <c r="H656" s="109"/>
      <c r="I656" s="109"/>
      <c r="J656" s="109"/>
    </row>
    <row r="657" spans="1:10">
      <c r="A657" s="108"/>
      <c r="B657" s="109"/>
      <c r="C657" s="109"/>
      <c r="D657" s="109"/>
      <c r="E657" s="109"/>
      <c r="F657" s="109"/>
      <c r="G657" s="109"/>
      <c r="H657" s="109"/>
      <c r="I657" s="109"/>
      <c r="J657" s="109"/>
    </row>
    <row r="658" spans="1:10">
      <c r="A658" s="108"/>
      <c r="B658" s="109"/>
      <c r="C658" s="109"/>
      <c r="D658" s="109"/>
      <c r="E658" s="109"/>
      <c r="F658" s="109"/>
      <c r="G658" s="109"/>
      <c r="H658" s="109"/>
      <c r="I658" s="109"/>
      <c r="J658" s="109"/>
    </row>
    <row r="659" spans="1:10">
      <c r="A659" s="108"/>
      <c r="B659" s="109"/>
      <c r="C659" s="109"/>
      <c r="D659" s="109"/>
      <c r="E659" s="109"/>
      <c r="F659" s="109"/>
      <c r="G659" s="109"/>
      <c r="H659" s="109"/>
      <c r="I659" s="109"/>
      <c r="J659" s="109"/>
    </row>
    <row r="660" spans="1:10">
      <c r="A660" s="108"/>
      <c r="B660" s="109"/>
      <c r="C660" s="109"/>
      <c r="D660" s="109"/>
      <c r="E660" s="109"/>
      <c r="F660" s="109"/>
      <c r="G660" s="109"/>
      <c r="H660" s="109"/>
      <c r="I660" s="109"/>
      <c r="J660" s="109"/>
    </row>
    <row r="661" spans="1:10">
      <c r="A661" s="108"/>
      <c r="B661" s="109"/>
      <c r="C661" s="109"/>
      <c r="D661" s="109"/>
      <c r="E661" s="109"/>
      <c r="F661" s="109"/>
      <c r="G661" s="109"/>
      <c r="H661" s="109"/>
      <c r="I661" s="109"/>
      <c r="J661" s="109"/>
    </row>
    <row r="662" spans="1:10">
      <c r="A662" s="108"/>
      <c r="B662" s="109"/>
      <c r="C662" s="109"/>
      <c r="D662" s="109"/>
      <c r="E662" s="109"/>
      <c r="F662" s="109"/>
      <c r="G662" s="109"/>
      <c r="H662" s="109"/>
      <c r="I662" s="109"/>
      <c r="J662" s="109"/>
    </row>
    <row r="663" spans="1:10">
      <c r="A663" s="108"/>
      <c r="B663" s="109"/>
      <c r="C663" s="109"/>
      <c r="D663" s="109"/>
      <c r="E663" s="109"/>
      <c r="F663" s="109"/>
      <c r="G663" s="109"/>
      <c r="H663" s="109"/>
      <c r="I663" s="109"/>
      <c r="J663" s="109"/>
    </row>
    <row r="664" spans="1:10">
      <c r="A664" s="108"/>
      <c r="B664" s="109"/>
      <c r="C664" s="109"/>
      <c r="D664" s="109"/>
      <c r="E664" s="109"/>
      <c r="F664" s="109"/>
      <c r="G664" s="109"/>
      <c r="H664" s="109"/>
      <c r="I664" s="109"/>
      <c r="J664" s="109"/>
    </row>
    <row r="665" spans="1:10">
      <c r="A665" s="108"/>
      <c r="B665" s="109"/>
      <c r="C665" s="109"/>
      <c r="D665" s="109"/>
      <c r="E665" s="109"/>
      <c r="F665" s="109"/>
      <c r="G665" s="109"/>
      <c r="H665" s="109"/>
      <c r="I665" s="109"/>
      <c r="J665" s="109"/>
    </row>
    <row r="666" spans="1:10">
      <c r="A666" s="108"/>
      <c r="B666" s="109"/>
      <c r="C666" s="109"/>
      <c r="D666" s="109"/>
      <c r="E666" s="109"/>
      <c r="F666" s="109"/>
      <c r="G666" s="109"/>
      <c r="H666" s="109"/>
      <c r="I666" s="109"/>
      <c r="J666" s="109"/>
    </row>
    <row r="667" spans="1:10">
      <c r="A667" s="108"/>
      <c r="B667" s="109"/>
      <c r="C667" s="109"/>
      <c r="D667" s="109"/>
      <c r="E667" s="109"/>
      <c r="F667" s="109"/>
      <c r="G667" s="109"/>
      <c r="H667" s="109"/>
      <c r="I667" s="109"/>
      <c r="J667" s="109"/>
    </row>
    <row r="668" spans="1:10">
      <c r="A668" s="108"/>
      <c r="B668" s="109"/>
      <c r="C668" s="109"/>
      <c r="D668" s="109"/>
      <c r="E668" s="109"/>
      <c r="F668" s="109"/>
      <c r="G668" s="109"/>
      <c r="H668" s="109"/>
      <c r="I668" s="109"/>
      <c r="J668" s="109"/>
    </row>
    <row r="669" spans="1:10">
      <c r="A669" s="108"/>
      <c r="B669" s="109"/>
      <c r="C669" s="109"/>
      <c r="D669" s="109"/>
      <c r="E669" s="109"/>
      <c r="F669" s="109"/>
      <c r="G669" s="109"/>
      <c r="H669" s="109"/>
      <c r="I669" s="109"/>
      <c r="J669" s="109"/>
    </row>
    <row r="670" spans="1:10">
      <c r="A670" s="108"/>
      <c r="B670" s="109"/>
      <c r="C670" s="109"/>
      <c r="D670" s="109"/>
      <c r="E670" s="109"/>
      <c r="F670" s="109"/>
      <c r="G670" s="109"/>
      <c r="H670" s="109"/>
      <c r="I670" s="109"/>
      <c r="J670" s="109"/>
    </row>
    <row r="671" spans="1:10">
      <c r="A671" s="108"/>
      <c r="B671" s="109"/>
      <c r="C671" s="109"/>
      <c r="D671" s="109"/>
      <c r="E671" s="109"/>
      <c r="F671" s="109"/>
      <c r="G671" s="109"/>
      <c r="H671" s="109"/>
      <c r="I671" s="109"/>
      <c r="J671" s="109"/>
    </row>
    <row r="672" spans="1:10">
      <c r="A672" s="108"/>
      <c r="B672" s="109"/>
      <c r="C672" s="109"/>
      <c r="D672" s="109"/>
      <c r="E672" s="109"/>
      <c r="F672" s="109"/>
      <c r="G672" s="109"/>
      <c r="H672" s="109"/>
      <c r="I672" s="109"/>
      <c r="J672" s="109"/>
    </row>
    <row r="673" spans="1:10">
      <c r="A673" s="108"/>
      <c r="B673" s="109"/>
      <c r="C673" s="109"/>
      <c r="D673" s="109"/>
      <c r="E673" s="109"/>
      <c r="F673" s="109"/>
      <c r="G673" s="109"/>
      <c r="H673" s="109"/>
      <c r="I673" s="109"/>
      <c r="J673" s="109"/>
    </row>
    <row r="674" spans="1:10">
      <c r="A674" s="108"/>
      <c r="B674" s="109"/>
      <c r="C674" s="109"/>
      <c r="D674" s="109"/>
      <c r="E674" s="109"/>
      <c r="F674" s="109"/>
      <c r="G674" s="109"/>
      <c r="H674" s="109"/>
      <c r="I674" s="109"/>
      <c r="J674" s="109"/>
    </row>
    <row r="675" spans="1:10">
      <c r="A675" s="108"/>
      <c r="B675" s="109"/>
      <c r="C675" s="109"/>
      <c r="D675" s="109"/>
      <c r="E675" s="109"/>
      <c r="F675" s="109"/>
      <c r="G675" s="109"/>
      <c r="H675" s="109"/>
      <c r="I675" s="109"/>
      <c r="J675" s="109"/>
    </row>
    <row r="676" spans="1:10">
      <c r="A676" s="108"/>
      <c r="B676" s="109"/>
      <c r="C676" s="109"/>
      <c r="D676" s="109"/>
      <c r="E676" s="109"/>
      <c r="F676" s="109"/>
      <c r="G676" s="109"/>
      <c r="H676" s="109"/>
      <c r="I676" s="109"/>
      <c r="J676" s="109"/>
    </row>
    <row r="677" spans="1:10">
      <c r="A677" s="108"/>
      <c r="B677" s="109"/>
      <c r="C677" s="109"/>
      <c r="D677" s="109"/>
      <c r="E677" s="109"/>
      <c r="F677" s="109"/>
      <c r="G677" s="109"/>
      <c r="H677" s="109"/>
      <c r="I677" s="109"/>
      <c r="J677" s="109"/>
    </row>
    <row r="678" spans="1:10">
      <c r="A678" s="108"/>
      <c r="B678" s="109"/>
      <c r="C678" s="109"/>
      <c r="D678" s="109"/>
      <c r="E678" s="109"/>
      <c r="F678" s="109"/>
      <c r="G678" s="109"/>
      <c r="H678" s="109"/>
      <c r="I678" s="109"/>
      <c r="J678" s="109"/>
    </row>
    <row r="679" spans="1:10">
      <c r="A679" s="108"/>
      <c r="B679" s="109"/>
      <c r="C679" s="109"/>
      <c r="D679" s="109"/>
      <c r="E679" s="109"/>
      <c r="F679" s="109"/>
      <c r="G679" s="109"/>
      <c r="H679" s="109"/>
      <c r="I679" s="109"/>
      <c r="J679" s="109"/>
    </row>
    <row r="680" spans="1:10">
      <c r="A680" s="108"/>
      <c r="B680" s="109"/>
      <c r="C680" s="109"/>
      <c r="D680" s="109"/>
      <c r="E680" s="109"/>
      <c r="F680" s="109"/>
      <c r="G680" s="109"/>
      <c r="H680" s="109"/>
      <c r="I680" s="109"/>
      <c r="J680" s="109"/>
    </row>
    <row r="681" spans="1:10">
      <c r="A681" s="108"/>
      <c r="B681" s="109"/>
      <c r="C681" s="109"/>
      <c r="D681" s="109"/>
      <c r="E681" s="109"/>
      <c r="F681" s="109"/>
      <c r="G681" s="109"/>
      <c r="H681" s="109"/>
      <c r="I681" s="109"/>
      <c r="J681" s="109"/>
    </row>
    <row r="682" spans="1:10">
      <c r="A682" s="108"/>
      <c r="B682" s="109"/>
      <c r="C682" s="109"/>
      <c r="D682" s="109"/>
      <c r="E682" s="109"/>
      <c r="F682" s="109"/>
      <c r="G682" s="109"/>
      <c r="H682" s="109"/>
      <c r="I682" s="109"/>
      <c r="J682" s="109"/>
    </row>
    <row r="683" spans="1:10">
      <c r="A683" s="108"/>
      <c r="B683" s="109"/>
      <c r="C683" s="109"/>
      <c r="D683" s="109"/>
      <c r="E683" s="109"/>
      <c r="F683" s="109"/>
      <c r="G683" s="109"/>
      <c r="H683" s="109"/>
      <c r="I683" s="109"/>
      <c r="J683" s="109"/>
    </row>
    <row r="684" spans="1:10">
      <c r="A684" s="108"/>
      <c r="B684" s="109"/>
      <c r="C684" s="109"/>
      <c r="D684" s="109"/>
      <c r="E684" s="109"/>
      <c r="F684" s="109"/>
      <c r="G684" s="109"/>
      <c r="H684" s="109"/>
      <c r="I684" s="109"/>
      <c r="J684" s="109"/>
    </row>
    <row r="685" spans="1:10">
      <c r="A685" s="108"/>
      <c r="B685" s="109"/>
      <c r="C685" s="109"/>
      <c r="D685" s="109"/>
      <c r="E685" s="109"/>
      <c r="F685" s="109"/>
      <c r="G685" s="109"/>
      <c r="H685" s="109"/>
      <c r="I685" s="109"/>
      <c r="J685" s="109"/>
    </row>
    <row r="686" spans="1:10">
      <c r="A686" s="108"/>
      <c r="B686" s="109"/>
      <c r="C686" s="109"/>
      <c r="D686" s="109"/>
      <c r="E686" s="109"/>
      <c r="F686" s="109"/>
      <c r="G686" s="109"/>
      <c r="H686" s="109"/>
      <c r="I686" s="109"/>
      <c r="J686" s="109"/>
    </row>
    <row r="687" spans="1:10">
      <c r="A687" s="108"/>
      <c r="B687" s="109"/>
      <c r="C687" s="109"/>
      <c r="D687" s="109"/>
      <c r="E687" s="109"/>
      <c r="F687" s="109"/>
      <c r="G687" s="109"/>
      <c r="H687" s="109"/>
      <c r="I687" s="109"/>
      <c r="J687" s="109"/>
    </row>
    <row r="688" spans="1:10">
      <c r="A688" s="108"/>
      <c r="B688" s="109"/>
      <c r="C688" s="109"/>
      <c r="D688" s="109"/>
      <c r="E688" s="109"/>
      <c r="F688" s="109"/>
      <c r="G688" s="109"/>
      <c r="H688" s="109"/>
      <c r="I688" s="109"/>
      <c r="J688" s="109"/>
    </row>
    <row r="689" spans="1:10">
      <c r="A689" s="108"/>
      <c r="B689" s="109"/>
      <c r="C689" s="109"/>
      <c r="D689" s="109"/>
      <c r="E689" s="109"/>
      <c r="F689" s="109"/>
      <c r="G689" s="109"/>
      <c r="H689" s="109"/>
      <c r="I689" s="109"/>
      <c r="J689" s="109"/>
    </row>
    <row r="690" spans="1:10">
      <c r="A690" s="108"/>
      <c r="B690" s="109"/>
      <c r="C690" s="109"/>
      <c r="D690" s="109"/>
      <c r="E690" s="109"/>
      <c r="F690" s="109"/>
      <c r="G690" s="109"/>
      <c r="H690" s="109"/>
      <c r="I690" s="109"/>
      <c r="J690" s="109"/>
    </row>
    <row r="691" spans="1:10">
      <c r="A691" s="108"/>
      <c r="B691" s="109"/>
      <c r="C691" s="109"/>
      <c r="D691" s="109"/>
      <c r="E691" s="109"/>
      <c r="F691" s="109"/>
      <c r="G691" s="109"/>
      <c r="H691" s="109"/>
      <c r="I691" s="109"/>
      <c r="J691" s="109"/>
    </row>
    <row r="692" spans="1:10">
      <c r="A692" s="108"/>
      <c r="B692" s="109"/>
      <c r="C692" s="109"/>
      <c r="D692" s="109"/>
      <c r="E692" s="109"/>
      <c r="F692" s="109"/>
      <c r="G692" s="109"/>
      <c r="H692" s="109"/>
      <c r="I692" s="109"/>
      <c r="J692" s="109"/>
    </row>
    <row r="693" spans="1:10">
      <c r="A693" s="108"/>
      <c r="B693" s="109"/>
      <c r="C693" s="109"/>
      <c r="D693" s="109"/>
      <c r="E693" s="109"/>
      <c r="F693" s="109"/>
      <c r="G693" s="109"/>
      <c r="H693" s="109"/>
      <c r="I693" s="109"/>
      <c r="J693" s="109"/>
    </row>
    <row r="694" spans="1:10">
      <c r="A694" s="108"/>
      <c r="B694" s="109"/>
      <c r="C694" s="109"/>
      <c r="D694" s="109"/>
      <c r="E694" s="109"/>
      <c r="F694" s="109"/>
      <c r="G694" s="109"/>
      <c r="H694" s="109"/>
      <c r="I694" s="109"/>
      <c r="J694" s="109"/>
    </row>
    <row r="695" spans="1:10">
      <c r="A695" s="108"/>
      <c r="B695" s="109"/>
      <c r="C695" s="109"/>
      <c r="D695" s="109"/>
      <c r="E695" s="109"/>
      <c r="F695" s="109"/>
      <c r="G695" s="109"/>
      <c r="H695" s="109"/>
      <c r="I695" s="109"/>
      <c r="J695" s="109"/>
    </row>
    <row r="696" spans="1:10">
      <c r="A696" s="108"/>
      <c r="B696" s="109"/>
      <c r="C696" s="109"/>
      <c r="D696" s="109"/>
      <c r="E696" s="109"/>
      <c r="F696" s="109"/>
      <c r="G696" s="109"/>
      <c r="H696" s="109"/>
      <c r="I696" s="109"/>
      <c r="J696" s="109"/>
    </row>
    <row r="697" spans="1:10">
      <c r="A697" s="108"/>
      <c r="B697" s="109"/>
      <c r="C697" s="109"/>
      <c r="D697" s="109"/>
      <c r="E697" s="109"/>
      <c r="F697" s="109"/>
      <c r="G697" s="109"/>
      <c r="H697" s="109"/>
      <c r="I697" s="109"/>
      <c r="J697" s="109"/>
    </row>
    <row r="698" spans="1:10">
      <c r="A698" s="108"/>
      <c r="B698" s="109"/>
      <c r="C698" s="109"/>
      <c r="D698" s="109"/>
      <c r="E698" s="109"/>
      <c r="F698" s="109"/>
      <c r="G698" s="109"/>
      <c r="H698" s="109"/>
      <c r="I698" s="109"/>
      <c r="J698" s="109"/>
    </row>
    <row r="699" spans="1:10">
      <c r="A699" s="108"/>
      <c r="B699" s="109"/>
      <c r="C699" s="109"/>
      <c r="D699" s="109"/>
      <c r="E699" s="109"/>
      <c r="F699" s="109"/>
      <c r="G699" s="109"/>
      <c r="H699" s="109"/>
      <c r="I699" s="109"/>
      <c r="J699" s="109"/>
    </row>
    <row r="700" spans="1:10">
      <c r="A700" s="108"/>
      <c r="B700" s="109"/>
      <c r="C700" s="109"/>
      <c r="D700" s="109"/>
      <c r="E700" s="109"/>
      <c r="F700" s="109"/>
      <c r="G700" s="109"/>
      <c r="H700" s="109"/>
      <c r="I700" s="109"/>
      <c r="J700" s="109"/>
    </row>
    <row r="701" spans="1:10">
      <c r="A701" s="108"/>
      <c r="B701" s="109"/>
      <c r="C701" s="109"/>
      <c r="D701" s="109"/>
      <c r="E701" s="109"/>
      <c r="F701" s="109"/>
      <c r="G701" s="109"/>
      <c r="H701" s="109"/>
      <c r="I701" s="109"/>
      <c r="J701" s="109"/>
    </row>
    <row r="702" spans="1:10">
      <c r="A702" s="108"/>
      <c r="B702" s="109"/>
      <c r="C702" s="109"/>
      <c r="D702" s="109"/>
      <c r="E702" s="109"/>
      <c r="F702" s="109"/>
      <c r="G702" s="109"/>
      <c r="H702" s="109"/>
      <c r="I702" s="109"/>
      <c r="J702" s="109"/>
    </row>
    <row r="703" spans="1:10">
      <c r="A703" s="108"/>
      <c r="B703" s="109"/>
      <c r="C703" s="109"/>
      <c r="D703" s="109"/>
      <c r="E703" s="109"/>
      <c r="F703" s="109"/>
      <c r="G703" s="109"/>
      <c r="H703" s="109"/>
      <c r="I703" s="109"/>
      <c r="J703" s="109"/>
    </row>
    <row r="704" spans="1:10">
      <c r="A704" s="108"/>
      <c r="B704" s="109"/>
      <c r="C704" s="109"/>
      <c r="D704" s="109"/>
      <c r="E704" s="109"/>
      <c r="F704" s="109"/>
      <c r="G704" s="109"/>
      <c r="H704" s="109"/>
      <c r="I704" s="109"/>
      <c r="J704" s="109"/>
    </row>
    <row r="705" spans="1:10">
      <c r="A705" s="108"/>
      <c r="B705" s="109"/>
      <c r="C705" s="109"/>
      <c r="D705" s="109"/>
      <c r="E705" s="109"/>
      <c r="F705" s="109"/>
      <c r="G705" s="109"/>
      <c r="H705" s="109"/>
      <c r="I705" s="109"/>
      <c r="J705" s="109"/>
    </row>
    <row r="706" spans="1:10">
      <c r="A706" s="108"/>
      <c r="B706" s="109"/>
      <c r="C706" s="109"/>
      <c r="D706" s="109"/>
      <c r="E706" s="109"/>
      <c r="F706" s="109"/>
      <c r="G706" s="109"/>
      <c r="H706" s="109"/>
      <c r="I706" s="109"/>
      <c r="J706" s="109"/>
    </row>
    <row r="707" spans="1:10">
      <c r="A707" s="108"/>
      <c r="B707" s="109"/>
      <c r="C707" s="109"/>
      <c r="D707" s="109"/>
      <c r="E707" s="109"/>
      <c r="F707" s="109"/>
      <c r="G707" s="109"/>
      <c r="H707" s="109"/>
      <c r="I707" s="109"/>
      <c r="J707" s="109"/>
    </row>
    <row r="708" spans="1:10">
      <c r="A708" s="108"/>
      <c r="B708" s="109"/>
      <c r="C708" s="109"/>
      <c r="D708" s="109"/>
      <c r="E708" s="109"/>
      <c r="F708" s="109"/>
      <c r="G708" s="109"/>
      <c r="H708" s="109"/>
      <c r="I708" s="109"/>
      <c r="J708" s="109"/>
    </row>
    <row r="709" spans="1:10">
      <c r="A709" s="108"/>
      <c r="B709" s="109"/>
      <c r="C709" s="109"/>
      <c r="D709" s="109"/>
      <c r="E709" s="109"/>
      <c r="F709" s="109"/>
      <c r="G709" s="109"/>
      <c r="H709" s="109"/>
      <c r="I709" s="109"/>
      <c r="J709" s="109"/>
    </row>
    <row r="710" spans="1:10">
      <c r="A710" s="108"/>
      <c r="B710" s="109"/>
      <c r="C710" s="109"/>
      <c r="D710" s="109"/>
      <c r="E710" s="109"/>
      <c r="F710" s="109"/>
      <c r="G710" s="109"/>
      <c r="H710" s="109"/>
      <c r="I710" s="109"/>
      <c r="J710" s="109"/>
    </row>
    <row r="711" spans="1:10">
      <c r="A711" s="108"/>
      <c r="B711" s="109"/>
      <c r="C711" s="109"/>
      <c r="D711" s="109"/>
      <c r="E711" s="109"/>
      <c r="F711" s="109"/>
      <c r="G711" s="109"/>
      <c r="H711" s="109"/>
      <c r="I711" s="109"/>
      <c r="J711" s="109"/>
    </row>
    <row r="712" spans="1:10">
      <c r="A712" s="108"/>
      <c r="B712" s="109"/>
      <c r="C712" s="109"/>
      <c r="D712" s="109"/>
      <c r="E712" s="109"/>
      <c r="F712" s="109"/>
      <c r="G712" s="109"/>
      <c r="H712" s="109"/>
      <c r="I712" s="109"/>
      <c r="J712" s="109"/>
    </row>
    <row r="713" spans="1:10">
      <c r="A713" s="108"/>
      <c r="B713" s="109"/>
      <c r="C713" s="109"/>
      <c r="D713" s="109"/>
      <c r="E713" s="109"/>
      <c r="F713" s="109"/>
      <c r="G713" s="109"/>
      <c r="H713" s="109"/>
      <c r="I713" s="109"/>
      <c r="J713" s="109"/>
    </row>
    <row r="714" spans="1:10">
      <c r="A714" s="108"/>
      <c r="B714" s="109"/>
      <c r="C714" s="109"/>
      <c r="D714" s="109"/>
      <c r="E714" s="109"/>
      <c r="F714" s="109"/>
      <c r="G714" s="109"/>
      <c r="H714" s="109"/>
      <c r="I714" s="109"/>
      <c r="J714" s="109"/>
    </row>
    <row r="715" spans="1:10">
      <c r="A715" s="108"/>
      <c r="B715" s="109"/>
      <c r="C715" s="109"/>
      <c r="D715" s="109"/>
      <c r="E715" s="109"/>
      <c r="F715" s="109"/>
      <c r="G715" s="109"/>
      <c r="H715" s="109"/>
      <c r="I715" s="109"/>
      <c r="J715" s="109"/>
    </row>
    <row r="716" spans="1:10">
      <c r="A716" s="108"/>
      <c r="B716" s="109"/>
      <c r="C716" s="109"/>
      <c r="D716" s="109"/>
      <c r="E716" s="110"/>
      <c r="F716" s="109"/>
      <c r="G716" s="109"/>
      <c r="H716" s="109"/>
      <c r="I716" s="109"/>
      <c r="J716" s="109"/>
    </row>
    <row r="717" spans="1:10">
      <c r="A717" s="108"/>
      <c r="B717" s="109"/>
      <c r="C717" s="109"/>
      <c r="D717" s="109"/>
      <c r="E717" s="110"/>
      <c r="F717" s="109"/>
      <c r="G717" s="109"/>
      <c r="H717" s="109"/>
      <c r="I717" s="109"/>
      <c r="J717" s="109"/>
    </row>
    <row r="718" spans="1:10">
      <c r="A718" s="108"/>
      <c r="B718" s="109"/>
      <c r="C718" s="109"/>
      <c r="D718" s="109"/>
      <c r="E718" s="110"/>
      <c r="F718" s="109"/>
      <c r="G718" s="109"/>
      <c r="H718" s="109"/>
      <c r="I718" s="109"/>
      <c r="J718" s="109"/>
    </row>
    <row r="719" spans="1:10">
      <c r="A719" s="108"/>
      <c r="B719" s="109"/>
      <c r="C719" s="109"/>
      <c r="D719" s="109"/>
      <c r="E719" s="110"/>
      <c r="F719" s="109"/>
      <c r="G719" s="109"/>
      <c r="H719" s="109"/>
      <c r="I719" s="109"/>
      <c r="J719" s="109"/>
    </row>
    <row r="720" spans="1:10">
      <c r="A720" s="108"/>
      <c r="B720" s="109"/>
      <c r="C720" s="109"/>
      <c r="D720" s="109"/>
      <c r="E720" s="110"/>
      <c r="F720" s="109"/>
      <c r="G720" s="109"/>
      <c r="H720" s="109"/>
      <c r="I720" s="109"/>
      <c r="J720" s="109"/>
    </row>
    <row r="721" spans="1:10">
      <c r="A721" s="108"/>
      <c r="B721" s="109"/>
      <c r="C721" s="109"/>
      <c r="D721" s="109"/>
      <c r="E721" s="110"/>
      <c r="F721" s="109"/>
      <c r="G721" s="109"/>
      <c r="H721" s="109"/>
      <c r="I721" s="109"/>
      <c r="J721" s="109"/>
    </row>
    <row r="722" spans="1:10">
      <c r="A722" s="108"/>
      <c r="B722" s="109"/>
      <c r="C722" s="109"/>
      <c r="D722" s="109"/>
      <c r="E722" s="110"/>
      <c r="F722" s="109"/>
      <c r="G722" s="109"/>
      <c r="H722" s="109"/>
      <c r="I722" s="109"/>
      <c r="J722" s="109"/>
    </row>
    <row r="723" spans="1:10">
      <c r="A723" s="108"/>
      <c r="B723" s="109"/>
      <c r="C723" s="109"/>
      <c r="D723" s="109"/>
      <c r="E723" s="110"/>
      <c r="F723" s="109"/>
      <c r="G723" s="109"/>
      <c r="H723" s="109"/>
      <c r="I723" s="109"/>
      <c r="J723" s="109"/>
    </row>
    <row r="724" spans="1:10">
      <c r="A724" s="108"/>
      <c r="B724" s="109"/>
      <c r="C724" s="109"/>
      <c r="D724" s="109"/>
      <c r="E724" s="110"/>
      <c r="F724" s="109"/>
      <c r="G724" s="109"/>
      <c r="H724" s="109"/>
      <c r="I724" s="109"/>
      <c r="J724" s="109"/>
    </row>
    <row r="725" spans="1:10">
      <c r="A725" s="108"/>
      <c r="B725" s="109"/>
      <c r="C725" s="109"/>
      <c r="D725" s="109"/>
      <c r="E725" s="110"/>
      <c r="F725" s="109"/>
      <c r="G725" s="109"/>
      <c r="H725" s="109"/>
      <c r="I725" s="109"/>
      <c r="J725" s="109"/>
    </row>
    <row r="726" spans="1:10">
      <c r="A726" s="108"/>
      <c r="B726" s="109"/>
      <c r="C726" s="109"/>
      <c r="D726" s="109"/>
      <c r="E726" s="110"/>
      <c r="F726" s="109"/>
      <c r="G726" s="109"/>
      <c r="H726" s="109"/>
      <c r="I726" s="109"/>
      <c r="J726" s="109"/>
    </row>
    <row r="727" spans="1:10">
      <c r="A727" s="108"/>
      <c r="B727" s="109"/>
      <c r="C727" s="109"/>
      <c r="D727" s="109"/>
      <c r="E727" s="110"/>
      <c r="F727" s="109"/>
      <c r="G727" s="109"/>
      <c r="H727" s="109"/>
      <c r="I727" s="109"/>
      <c r="J727" s="109"/>
    </row>
    <row r="728" spans="1:10">
      <c r="A728" s="108"/>
      <c r="B728" s="109"/>
      <c r="C728" s="109"/>
      <c r="D728" s="109"/>
      <c r="E728" s="110"/>
      <c r="F728" s="109"/>
      <c r="G728" s="109"/>
      <c r="H728" s="109"/>
      <c r="I728" s="109"/>
      <c r="J728" s="109"/>
    </row>
    <row r="729" spans="1:10">
      <c r="A729" s="108"/>
      <c r="B729" s="109"/>
      <c r="C729" s="109"/>
      <c r="D729" s="109"/>
      <c r="E729" s="110"/>
      <c r="F729" s="109"/>
      <c r="G729" s="109"/>
      <c r="H729" s="109"/>
      <c r="I729" s="109"/>
      <c r="J729" s="109"/>
    </row>
    <row r="730" spans="1:10">
      <c r="A730" s="108"/>
      <c r="B730" s="109"/>
      <c r="C730" s="109"/>
      <c r="D730" s="109"/>
      <c r="E730" s="110"/>
      <c r="F730" s="109"/>
      <c r="G730" s="109"/>
      <c r="H730" s="109"/>
      <c r="I730" s="109"/>
      <c r="J730" s="109"/>
    </row>
    <row r="731" spans="1:10">
      <c r="A731" s="108"/>
      <c r="B731" s="109"/>
      <c r="C731" s="109"/>
      <c r="D731" s="109"/>
      <c r="E731" s="110"/>
      <c r="F731" s="109"/>
      <c r="G731" s="109"/>
      <c r="H731" s="109"/>
      <c r="I731" s="109"/>
      <c r="J731" s="109"/>
    </row>
    <row r="732" spans="1:10">
      <c r="A732" s="108"/>
      <c r="B732" s="109"/>
      <c r="C732" s="109"/>
      <c r="D732" s="109"/>
      <c r="E732" s="110"/>
      <c r="F732" s="109"/>
      <c r="G732" s="109"/>
      <c r="H732" s="109"/>
      <c r="I732" s="109"/>
      <c r="J732" s="109"/>
    </row>
    <row r="733" spans="1:10">
      <c r="A733" s="108"/>
      <c r="B733" s="109"/>
      <c r="C733" s="109"/>
      <c r="D733" s="109"/>
      <c r="E733" s="110"/>
      <c r="F733" s="109"/>
      <c r="G733" s="109"/>
      <c r="H733" s="109"/>
      <c r="I733" s="109"/>
      <c r="J733" s="109"/>
    </row>
    <row r="734" spans="1:10">
      <c r="A734" s="108"/>
      <c r="B734" s="109"/>
      <c r="C734" s="109"/>
      <c r="D734" s="109"/>
      <c r="E734" s="110"/>
      <c r="F734" s="109"/>
      <c r="G734" s="109"/>
      <c r="H734" s="109"/>
      <c r="I734" s="109"/>
      <c r="J734" s="109"/>
    </row>
    <row r="735" spans="1:10">
      <c r="A735" s="108"/>
      <c r="B735" s="109"/>
      <c r="C735" s="109"/>
      <c r="D735" s="109"/>
      <c r="E735" s="110"/>
      <c r="F735" s="109"/>
      <c r="G735" s="109"/>
      <c r="H735" s="109"/>
      <c r="I735" s="109"/>
      <c r="J735" s="109"/>
    </row>
    <row r="736" spans="1:10">
      <c r="A736" s="108"/>
      <c r="B736" s="109"/>
      <c r="C736" s="109"/>
      <c r="D736" s="109"/>
      <c r="E736" s="110"/>
      <c r="F736" s="109"/>
      <c r="G736" s="109"/>
      <c r="H736" s="109"/>
      <c r="I736" s="109"/>
      <c r="J736" s="109"/>
    </row>
    <row r="737" spans="1:10">
      <c r="A737" s="108"/>
      <c r="B737" s="109"/>
      <c r="C737" s="109"/>
      <c r="D737" s="109"/>
      <c r="E737" s="110"/>
      <c r="F737" s="109"/>
      <c r="G737" s="109"/>
      <c r="H737" s="109"/>
      <c r="I737" s="109"/>
      <c r="J737" s="109"/>
    </row>
    <row r="738" spans="1:10">
      <c r="A738" s="108"/>
      <c r="B738" s="109"/>
      <c r="C738" s="109"/>
      <c r="D738" s="109"/>
      <c r="E738" s="110"/>
      <c r="F738" s="109"/>
      <c r="G738" s="109"/>
      <c r="H738" s="109"/>
      <c r="I738" s="109"/>
      <c r="J738" s="109"/>
    </row>
    <row r="739" spans="1:10">
      <c r="A739" s="108"/>
      <c r="B739" s="109"/>
      <c r="C739" s="109"/>
      <c r="D739" s="109"/>
      <c r="E739" s="110"/>
      <c r="F739" s="109"/>
      <c r="G739" s="109"/>
      <c r="H739" s="109"/>
      <c r="I739" s="109"/>
      <c r="J739" s="109"/>
    </row>
    <row r="740" spans="1:10">
      <c r="A740" s="108"/>
      <c r="B740" s="109"/>
      <c r="C740" s="109"/>
      <c r="D740" s="109"/>
      <c r="E740" s="110"/>
      <c r="F740" s="109"/>
      <c r="G740" s="109"/>
      <c r="H740" s="109"/>
      <c r="I740" s="109"/>
      <c r="J740" s="109"/>
    </row>
    <row r="741" spans="1:10">
      <c r="A741" s="108"/>
      <c r="B741" s="109"/>
      <c r="C741" s="109"/>
      <c r="D741" s="109"/>
      <c r="E741" s="110"/>
      <c r="F741" s="109"/>
      <c r="G741" s="109"/>
      <c r="H741" s="109"/>
      <c r="I741" s="109"/>
      <c r="J741" s="109"/>
    </row>
    <row r="742" spans="1:10">
      <c r="A742" s="108"/>
      <c r="B742" s="109"/>
      <c r="C742" s="109"/>
      <c r="D742" s="109"/>
      <c r="E742" s="110"/>
      <c r="F742" s="109"/>
      <c r="G742" s="109"/>
      <c r="H742" s="109"/>
      <c r="I742" s="109"/>
      <c r="J742" s="109"/>
    </row>
    <row r="743" spans="1:10">
      <c r="A743" s="108"/>
      <c r="B743" s="109"/>
      <c r="C743" s="109"/>
      <c r="D743" s="109"/>
      <c r="E743" s="110"/>
      <c r="F743" s="109"/>
      <c r="G743" s="109"/>
      <c r="H743" s="109"/>
      <c r="I743" s="109"/>
      <c r="J743" s="109"/>
    </row>
    <row r="744" spans="1:10">
      <c r="A744" s="108"/>
      <c r="B744" s="109"/>
      <c r="C744" s="109"/>
      <c r="D744" s="109"/>
      <c r="E744" s="110"/>
      <c r="F744" s="109"/>
      <c r="G744" s="109"/>
      <c r="H744" s="109"/>
      <c r="I744" s="109"/>
      <c r="J744" s="109"/>
    </row>
    <row r="745" spans="1:10">
      <c r="A745" s="108"/>
      <c r="B745" s="109"/>
      <c r="C745" s="109"/>
      <c r="D745" s="109"/>
      <c r="E745" s="110"/>
      <c r="F745" s="109"/>
      <c r="G745" s="109"/>
      <c r="H745" s="109"/>
      <c r="I745" s="109"/>
      <c r="J745" s="109"/>
    </row>
    <row r="746" spans="1:10">
      <c r="A746" s="108"/>
      <c r="B746" s="109"/>
      <c r="C746" s="109"/>
      <c r="D746" s="109"/>
      <c r="E746" s="110"/>
      <c r="F746" s="109"/>
      <c r="G746" s="109"/>
      <c r="H746" s="109"/>
      <c r="I746" s="109"/>
      <c r="J746" s="109"/>
    </row>
    <row r="747" spans="1:10">
      <c r="A747" s="108"/>
      <c r="B747" s="109"/>
      <c r="C747" s="109"/>
      <c r="D747" s="109"/>
      <c r="E747" s="110"/>
      <c r="F747" s="109"/>
      <c r="G747" s="109"/>
      <c r="H747" s="109"/>
      <c r="I747" s="109"/>
      <c r="J747" s="109"/>
    </row>
    <row r="748" spans="1:10">
      <c r="A748" s="108"/>
      <c r="B748" s="109"/>
      <c r="C748" s="109"/>
      <c r="D748" s="109"/>
      <c r="E748" s="110"/>
      <c r="F748" s="109"/>
      <c r="G748" s="109"/>
      <c r="H748" s="109"/>
      <c r="I748" s="109"/>
      <c r="J748" s="109"/>
    </row>
    <row r="749" spans="1:10">
      <c r="A749" s="108"/>
      <c r="B749" s="109"/>
      <c r="C749" s="109"/>
      <c r="D749" s="109"/>
      <c r="E749" s="110"/>
      <c r="F749" s="109"/>
      <c r="G749" s="109"/>
      <c r="H749" s="109"/>
      <c r="I749" s="109"/>
      <c r="J749" s="109"/>
    </row>
    <row r="750" spans="1:10">
      <c r="A750" s="108"/>
      <c r="B750" s="109"/>
      <c r="C750" s="109"/>
      <c r="D750" s="109"/>
      <c r="E750" s="110"/>
      <c r="F750" s="109"/>
      <c r="G750" s="109"/>
      <c r="H750" s="109"/>
      <c r="I750" s="109"/>
      <c r="J750" s="109"/>
    </row>
    <row r="751" spans="1:10">
      <c r="A751" s="108"/>
      <c r="B751" s="109"/>
      <c r="C751" s="109"/>
      <c r="D751" s="109"/>
      <c r="E751" s="110"/>
      <c r="F751" s="109"/>
      <c r="G751" s="109"/>
      <c r="H751" s="109"/>
      <c r="I751" s="109"/>
      <c r="J751" s="109"/>
    </row>
    <row r="752" spans="1:10">
      <c r="A752" s="108"/>
      <c r="B752" s="109"/>
      <c r="C752" s="109"/>
      <c r="D752" s="109"/>
      <c r="E752" s="110"/>
      <c r="F752" s="109"/>
      <c r="G752" s="109"/>
      <c r="H752" s="109"/>
      <c r="I752" s="109"/>
      <c r="J752" s="109"/>
    </row>
    <row r="753" spans="1:10">
      <c r="A753" s="108"/>
      <c r="B753" s="109"/>
      <c r="C753" s="109"/>
      <c r="D753" s="109"/>
      <c r="E753" s="110"/>
      <c r="F753" s="109"/>
      <c r="G753" s="109"/>
      <c r="H753" s="109"/>
      <c r="I753" s="109"/>
      <c r="J753" s="109"/>
    </row>
    <row r="754" spans="1:10">
      <c r="A754" s="108"/>
      <c r="B754" s="109"/>
      <c r="C754" s="109"/>
      <c r="D754" s="109"/>
      <c r="E754" s="110"/>
      <c r="F754" s="109"/>
      <c r="G754" s="109"/>
      <c r="H754" s="109"/>
      <c r="I754" s="109"/>
      <c r="J754" s="109"/>
    </row>
    <row r="755" spans="1:10">
      <c r="A755" s="108"/>
      <c r="B755" s="109"/>
      <c r="C755" s="109"/>
      <c r="D755" s="109"/>
      <c r="E755" s="110"/>
      <c r="F755" s="109"/>
      <c r="G755" s="109"/>
      <c r="H755" s="109"/>
      <c r="I755" s="109"/>
      <c r="J755" s="109"/>
    </row>
    <row r="756" spans="1:10">
      <c r="A756" s="108"/>
      <c r="B756" s="109"/>
      <c r="C756" s="109"/>
      <c r="D756" s="109"/>
      <c r="E756" s="110"/>
      <c r="F756" s="109"/>
      <c r="G756" s="109"/>
      <c r="H756" s="109"/>
      <c r="I756" s="109"/>
      <c r="J756" s="109"/>
    </row>
    <row r="757" spans="1:10">
      <c r="A757" s="108"/>
      <c r="B757" s="109"/>
      <c r="C757" s="109"/>
      <c r="D757" s="109"/>
      <c r="E757" s="110"/>
      <c r="F757" s="109"/>
      <c r="G757" s="109"/>
      <c r="H757" s="109"/>
      <c r="I757" s="109"/>
      <c r="J757" s="109"/>
    </row>
    <row r="758" spans="1:10">
      <c r="A758" s="108"/>
      <c r="B758" s="109"/>
      <c r="C758" s="109"/>
      <c r="D758" s="109"/>
      <c r="E758" s="110"/>
      <c r="F758" s="109"/>
      <c r="G758" s="109"/>
      <c r="H758" s="109"/>
      <c r="I758" s="109"/>
      <c r="J758" s="109"/>
    </row>
    <row r="759" spans="1:10">
      <c r="A759" s="108"/>
      <c r="B759" s="109"/>
      <c r="C759" s="109"/>
      <c r="D759" s="109"/>
      <c r="E759" s="110"/>
      <c r="F759" s="109"/>
      <c r="G759" s="109"/>
      <c r="H759" s="109"/>
      <c r="I759" s="109"/>
      <c r="J759" s="109"/>
    </row>
    <row r="760" spans="1:10">
      <c r="A760" s="108"/>
      <c r="B760" s="109"/>
      <c r="C760" s="109"/>
      <c r="D760" s="109"/>
      <c r="E760" s="110"/>
      <c r="F760" s="109"/>
      <c r="G760" s="109"/>
      <c r="H760" s="109"/>
      <c r="I760" s="109"/>
      <c r="J760" s="109"/>
    </row>
    <row r="761" spans="1:10">
      <c r="A761" s="108"/>
      <c r="B761" s="109"/>
      <c r="C761" s="109"/>
      <c r="D761" s="109"/>
      <c r="E761" s="110"/>
      <c r="F761" s="109"/>
      <c r="G761" s="109"/>
      <c r="H761" s="109"/>
      <c r="I761" s="109"/>
      <c r="J761" s="109"/>
    </row>
    <row r="762" spans="1:10">
      <c r="A762" s="108"/>
      <c r="B762" s="109"/>
      <c r="C762" s="109"/>
      <c r="D762" s="109"/>
      <c r="E762" s="110"/>
      <c r="F762" s="109"/>
      <c r="G762" s="109"/>
      <c r="H762" s="109"/>
      <c r="I762" s="109"/>
      <c r="J762" s="109"/>
    </row>
    <row r="763" spans="1:10">
      <c r="A763" s="108"/>
      <c r="B763" s="109"/>
      <c r="C763" s="109"/>
      <c r="D763" s="109"/>
      <c r="E763" s="110"/>
      <c r="F763" s="109"/>
      <c r="G763" s="109"/>
      <c r="H763" s="109"/>
      <c r="I763" s="109"/>
      <c r="J763" s="109"/>
    </row>
    <row r="764" spans="1:10">
      <c r="A764" s="108"/>
      <c r="B764" s="109"/>
      <c r="C764" s="109"/>
      <c r="D764" s="109"/>
      <c r="E764" s="110"/>
      <c r="F764" s="109"/>
      <c r="G764" s="109"/>
      <c r="H764" s="109"/>
      <c r="I764" s="109"/>
      <c r="J764" s="109"/>
    </row>
    <row r="765" spans="1:10">
      <c r="A765" s="108"/>
      <c r="B765" s="109"/>
      <c r="C765" s="109"/>
      <c r="D765" s="109"/>
      <c r="E765" s="110"/>
      <c r="F765" s="109"/>
      <c r="G765" s="109"/>
      <c r="H765" s="109"/>
      <c r="I765" s="109"/>
      <c r="J765" s="109"/>
    </row>
    <row r="766" spans="1:10">
      <c r="A766" s="108"/>
      <c r="B766" s="109"/>
      <c r="C766" s="109"/>
      <c r="D766" s="109"/>
      <c r="E766" s="110"/>
      <c r="F766" s="109"/>
      <c r="G766" s="109"/>
      <c r="H766" s="109"/>
      <c r="I766" s="109"/>
      <c r="J766" s="109"/>
    </row>
    <row r="767" spans="1:10">
      <c r="A767" s="108"/>
      <c r="B767" s="109"/>
      <c r="C767" s="109"/>
      <c r="D767" s="109"/>
      <c r="E767" s="110"/>
      <c r="F767" s="109"/>
      <c r="G767" s="109"/>
      <c r="H767" s="109"/>
      <c r="I767" s="109"/>
      <c r="J767" s="109"/>
    </row>
    <row r="768" spans="1:10">
      <c r="A768" s="108"/>
      <c r="B768" s="109"/>
      <c r="C768" s="109"/>
      <c r="D768" s="109"/>
      <c r="E768" s="110"/>
      <c r="F768" s="109"/>
      <c r="G768" s="109"/>
      <c r="H768" s="109"/>
      <c r="I768" s="109"/>
      <c r="J768" s="109"/>
    </row>
    <row r="769" spans="1:10">
      <c r="A769" s="108"/>
      <c r="B769" s="109"/>
      <c r="C769" s="109"/>
      <c r="D769" s="109"/>
      <c r="E769" s="110"/>
      <c r="F769" s="109"/>
      <c r="G769" s="109"/>
      <c r="H769" s="109"/>
      <c r="I769" s="109"/>
      <c r="J769" s="109"/>
    </row>
    <row r="770" spans="1:10">
      <c r="A770" s="108"/>
      <c r="B770" s="109"/>
      <c r="C770" s="109"/>
      <c r="D770" s="109"/>
      <c r="E770" s="110"/>
      <c r="F770" s="109"/>
      <c r="G770" s="109"/>
      <c r="H770" s="109"/>
      <c r="I770" s="109"/>
      <c r="J770" s="109"/>
    </row>
    <row r="771" spans="1:10">
      <c r="A771" s="108"/>
      <c r="B771" s="109"/>
      <c r="C771" s="109"/>
      <c r="D771" s="109"/>
      <c r="E771" s="110"/>
      <c r="F771" s="109"/>
      <c r="G771" s="109"/>
      <c r="H771" s="109"/>
      <c r="I771" s="109"/>
      <c r="J771" s="109"/>
    </row>
    <row r="772" spans="1:10">
      <c r="A772" s="108"/>
      <c r="B772" s="109"/>
      <c r="C772" s="109"/>
      <c r="D772" s="109"/>
      <c r="E772" s="110"/>
      <c r="F772" s="109"/>
      <c r="G772" s="109"/>
      <c r="H772" s="109"/>
      <c r="I772" s="109"/>
      <c r="J772" s="109"/>
    </row>
    <row r="773" spans="1:10">
      <c r="A773" s="108"/>
      <c r="B773" s="109"/>
      <c r="C773" s="109"/>
      <c r="D773" s="109"/>
      <c r="E773" s="110"/>
      <c r="F773" s="109"/>
      <c r="G773" s="109"/>
      <c r="H773" s="109"/>
      <c r="I773" s="109"/>
      <c r="J773" s="109"/>
    </row>
    <row r="774" spans="1:10">
      <c r="A774" s="108"/>
      <c r="B774" s="109"/>
      <c r="C774" s="109"/>
      <c r="D774" s="109"/>
      <c r="E774" s="110"/>
      <c r="F774" s="109"/>
      <c r="G774" s="109"/>
      <c r="H774" s="109"/>
      <c r="I774" s="109"/>
      <c r="J774" s="109"/>
    </row>
    <row r="775" spans="1:10">
      <c r="A775" s="108"/>
      <c r="B775" s="109"/>
      <c r="C775" s="109"/>
      <c r="D775" s="109"/>
      <c r="E775" s="110"/>
      <c r="F775" s="109"/>
      <c r="G775" s="109"/>
      <c r="H775" s="109"/>
      <c r="I775" s="109"/>
      <c r="J775" s="109"/>
    </row>
    <row r="776" spans="1:10">
      <c r="A776" s="108"/>
      <c r="B776" s="109"/>
      <c r="C776" s="109"/>
      <c r="D776" s="109"/>
      <c r="E776" s="110"/>
      <c r="F776" s="109"/>
      <c r="G776" s="109"/>
      <c r="H776" s="109"/>
      <c r="I776" s="109"/>
      <c r="J776" s="109"/>
    </row>
    <row r="777" spans="1:10">
      <c r="A777" s="108"/>
      <c r="B777" s="109"/>
      <c r="C777" s="109"/>
      <c r="D777" s="109"/>
      <c r="E777" s="110"/>
      <c r="F777" s="109"/>
      <c r="G777" s="109"/>
      <c r="H777" s="109"/>
      <c r="I777" s="109"/>
      <c r="J777" s="109"/>
    </row>
    <row r="778" spans="1:10">
      <c r="A778" s="108"/>
      <c r="B778" s="109"/>
      <c r="C778" s="109"/>
      <c r="D778" s="109"/>
      <c r="E778" s="110"/>
      <c r="F778" s="109"/>
      <c r="G778" s="109"/>
      <c r="H778" s="109"/>
      <c r="I778" s="109"/>
      <c r="J778" s="109"/>
    </row>
    <row r="779" spans="1:10">
      <c r="A779" s="108"/>
      <c r="B779" s="109"/>
      <c r="C779" s="109"/>
      <c r="D779" s="109"/>
      <c r="E779" s="110"/>
      <c r="F779" s="109"/>
      <c r="G779" s="109"/>
      <c r="H779" s="109"/>
      <c r="I779" s="109"/>
      <c r="J779" s="109"/>
    </row>
    <row r="780" spans="1:10">
      <c r="A780" s="108"/>
      <c r="B780" s="109"/>
      <c r="C780" s="109"/>
      <c r="D780" s="109"/>
      <c r="E780" s="110"/>
      <c r="F780" s="109"/>
      <c r="G780" s="109"/>
      <c r="H780" s="109"/>
      <c r="I780" s="109"/>
      <c r="J780" s="109"/>
    </row>
    <row r="781" spans="1:10">
      <c r="A781" s="108"/>
      <c r="B781" s="109"/>
      <c r="C781" s="109"/>
      <c r="D781" s="109"/>
      <c r="E781" s="110"/>
      <c r="F781" s="109"/>
      <c r="G781" s="109"/>
      <c r="H781" s="109"/>
      <c r="I781" s="109"/>
      <c r="J781" s="109"/>
    </row>
    <row r="782" spans="1:10">
      <c r="A782" s="108"/>
      <c r="B782" s="109"/>
      <c r="C782" s="109"/>
      <c r="D782" s="109"/>
      <c r="E782" s="110"/>
      <c r="F782" s="109"/>
      <c r="G782" s="109"/>
      <c r="H782" s="109"/>
      <c r="I782" s="109"/>
      <c r="J782" s="109"/>
    </row>
    <row r="783" spans="1:10">
      <c r="A783" s="108"/>
      <c r="B783" s="109"/>
      <c r="C783" s="109"/>
      <c r="D783" s="109"/>
      <c r="E783" s="110"/>
      <c r="F783" s="109"/>
      <c r="G783" s="109"/>
      <c r="H783" s="109"/>
      <c r="I783" s="109"/>
      <c r="J783" s="109"/>
    </row>
    <row r="784" spans="1:10">
      <c r="A784" s="108"/>
      <c r="B784" s="109"/>
      <c r="C784" s="109"/>
      <c r="D784" s="109"/>
      <c r="E784" s="110"/>
      <c r="F784" s="109"/>
      <c r="G784" s="109"/>
      <c r="H784" s="109"/>
      <c r="I784" s="109"/>
      <c r="J784" s="109"/>
    </row>
    <row r="785" spans="1:10">
      <c r="A785" s="108"/>
      <c r="B785" s="109"/>
      <c r="C785" s="109"/>
      <c r="D785" s="109"/>
      <c r="E785" s="110"/>
      <c r="F785" s="109"/>
      <c r="G785" s="109"/>
      <c r="H785" s="109"/>
      <c r="I785" s="109"/>
      <c r="J785" s="109"/>
    </row>
    <row r="786" spans="1:10">
      <c r="A786" s="108"/>
      <c r="B786" s="109"/>
      <c r="C786" s="109"/>
      <c r="D786" s="109"/>
      <c r="E786" s="110"/>
      <c r="F786" s="109"/>
      <c r="G786" s="109"/>
      <c r="H786" s="109"/>
      <c r="I786" s="109"/>
      <c r="J786" s="109"/>
    </row>
    <row r="787" spans="1:10">
      <c r="A787" s="108"/>
      <c r="B787" s="109"/>
      <c r="C787" s="109"/>
      <c r="D787" s="109"/>
      <c r="E787" s="110"/>
      <c r="F787" s="109"/>
      <c r="G787" s="109"/>
      <c r="H787" s="109"/>
      <c r="I787" s="109"/>
      <c r="J787" s="109"/>
    </row>
    <row r="788" spans="1:10">
      <c r="A788" s="108"/>
      <c r="B788" s="109"/>
      <c r="C788" s="109"/>
      <c r="D788" s="109"/>
      <c r="E788" s="110"/>
      <c r="F788" s="109"/>
      <c r="G788" s="109"/>
      <c r="H788" s="109"/>
      <c r="I788" s="109"/>
      <c r="J788" s="109"/>
    </row>
    <row r="789" spans="1:10">
      <c r="A789" s="108"/>
      <c r="B789" s="109"/>
      <c r="C789" s="109"/>
      <c r="D789" s="109"/>
      <c r="E789" s="110"/>
      <c r="F789" s="109"/>
      <c r="G789" s="109"/>
      <c r="H789" s="109"/>
      <c r="I789" s="109"/>
      <c r="J789" s="109"/>
    </row>
    <row r="790" spans="1:10">
      <c r="A790" s="108"/>
      <c r="B790" s="109"/>
      <c r="C790" s="109"/>
      <c r="D790" s="109"/>
      <c r="E790" s="110"/>
      <c r="F790" s="109"/>
      <c r="G790" s="109"/>
      <c r="H790" s="109"/>
      <c r="I790" s="109"/>
      <c r="J790" s="109"/>
    </row>
    <row r="791" spans="1:10">
      <c r="A791" s="108"/>
      <c r="B791" s="109"/>
      <c r="C791" s="109"/>
      <c r="D791" s="109"/>
      <c r="E791" s="110"/>
      <c r="F791" s="109"/>
      <c r="G791" s="109"/>
      <c r="H791" s="109"/>
      <c r="I791" s="109"/>
      <c r="J791" s="109"/>
    </row>
    <row r="792" spans="1:10">
      <c r="A792" s="108"/>
      <c r="B792" s="109"/>
      <c r="C792" s="109"/>
      <c r="D792" s="109"/>
      <c r="E792" s="110"/>
      <c r="F792" s="109"/>
      <c r="G792" s="109"/>
      <c r="H792" s="109"/>
      <c r="I792" s="109"/>
      <c r="J792" s="109"/>
    </row>
    <row r="793" spans="1:10">
      <c r="A793" s="108"/>
      <c r="B793" s="109"/>
      <c r="C793" s="109"/>
      <c r="D793" s="109"/>
      <c r="E793" s="110"/>
      <c r="F793" s="109"/>
      <c r="G793" s="109"/>
      <c r="H793" s="109"/>
      <c r="I793" s="109"/>
      <c r="J793" s="109"/>
    </row>
    <row r="794" spans="1:10">
      <c r="A794" s="108"/>
      <c r="B794" s="109"/>
      <c r="C794" s="109"/>
      <c r="D794" s="109"/>
      <c r="E794" s="110"/>
      <c r="F794" s="109"/>
      <c r="G794" s="109"/>
      <c r="H794" s="109"/>
      <c r="I794" s="109"/>
      <c r="J794" s="109"/>
    </row>
    <row r="795" spans="1:10">
      <c r="A795" s="108"/>
      <c r="B795" s="109"/>
      <c r="C795" s="109"/>
      <c r="D795" s="109"/>
      <c r="E795" s="110"/>
      <c r="F795" s="109"/>
      <c r="G795" s="109"/>
      <c r="H795" s="109"/>
      <c r="I795" s="109"/>
      <c r="J795" s="109"/>
    </row>
    <row r="796" spans="1:10">
      <c r="A796" s="108"/>
      <c r="B796" s="109"/>
      <c r="C796" s="109"/>
      <c r="D796" s="109"/>
      <c r="E796" s="110"/>
      <c r="F796" s="109"/>
      <c r="G796" s="109"/>
      <c r="H796" s="109"/>
      <c r="I796" s="109"/>
      <c r="J796" s="109"/>
    </row>
    <row r="797" spans="1:10">
      <c r="A797" s="108"/>
      <c r="B797" s="109"/>
      <c r="C797" s="109"/>
      <c r="D797" s="109"/>
      <c r="E797" s="110"/>
      <c r="F797" s="109"/>
      <c r="G797" s="109"/>
      <c r="H797" s="109"/>
      <c r="I797" s="109"/>
      <c r="J797" s="109"/>
    </row>
    <row r="798" spans="1:10">
      <c r="A798" s="108"/>
      <c r="B798" s="109"/>
      <c r="C798" s="109"/>
      <c r="D798" s="109"/>
      <c r="E798" s="110"/>
      <c r="F798" s="109"/>
      <c r="G798" s="109"/>
      <c r="H798" s="109"/>
      <c r="I798" s="109"/>
      <c r="J798" s="109"/>
    </row>
    <row r="799" spans="1:10">
      <c r="A799" s="108"/>
      <c r="B799" s="109"/>
      <c r="C799" s="109"/>
      <c r="D799" s="109"/>
      <c r="E799" s="110"/>
      <c r="F799" s="109"/>
      <c r="G799" s="109"/>
      <c r="H799" s="109"/>
      <c r="I799" s="109"/>
      <c r="J799" s="109"/>
    </row>
    <row r="800" spans="1:10">
      <c r="A800" s="108"/>
      <c r="B800" s="109"/>
      <c r="C800" s="109"/>
      <c r="D800" s="109"/>
      <c r="E800" s="110"/>
      <c r="F800" s="109"/>
      <c r="G800" s="109"/>
      <c r="H800" s="109"/>
      <c r="I800" s="109"/>
      <c r="J800" s="109"/>
    </row>
    <row r="801" spans="1:10">
      <c r="A801" s="108"/>
      <c r="B801" s="109"/>
      <c r="C801" s="109"/>
      <c r="D801" s="109"/>
      <c r="E801" s="110"/>
      <c r="F801" s="109"/>
      <c r="G801" s="109"/>
      <c r="H801" s="109"/>
      <c r="I801" s="109"/>
      <c r="J801" s="109"/>
    </row>
    <row r="802" spans="1:10">
      <c r="A802" s="108"/>
      <c r="B802" s="109"/>
      <c r="C802" s="109"/>
      <c r="D802" s="109"/>
      <c r="E802" s="110"/>
      <c r="F802" s="109"/>
      <c r="G802" s="109"/>
      <c r="H802" s="109"/>
      <c r="I802" s="109"/>
      <c r="J802" s="109"/>
    </row>
    <row r="803" spans="1:10">
      <c r="A803" s="108"/>
      <c r="B803" s="109"/>
      <c r="C803" s="109"/>
      <c r="D803" s="109"/>
      <c r="E803" s="110"/>
      <c r="F803" s="109"/>
      <c r="G803" s="109"/>
      <c r="H803" s="109"/>
      <c r="I803" s="109"/>
      <c r="J803" s="109"/>
    </row>
    <row r="804" spans="1:10">
      <c r="A804" s="108"/>
      <c r="B804" s="109"/>
      <c r="C804" s="109"/>
      <c r="D804" s="109"/>
      <c r="E804" s="110"/>
      <c r="F804" s="109"/>
      <c r="G804" s="109"/>
      <c r="H804" s="109"/>
      <c r="I804" s="109"/>
      <c r="J804" s="109"/>
    </row>
    <row r="805" spans="1:10">
      <c r="A805" s="108"/>
      <c r="B805" s="109"/>
      <c r="C805" s="109"/>
      <c r="D805" s="109"/>
      <c r="E805" s="110"/>
      <c r="F805" s="109"/>
      <c r="G805" s="109"/>
      <c r="H805" s="109"/>
      <c r="I805" s="109"/>
      <c r="J805" s="109"/>
    </row>
    <row r="806" spans="1:10">
      <c r="A806" s="108"/>
      <c r="B806" s="109"/>
      <c r="C806" s="109"/>
      <c r="D806" s="109"/>
      <c r="E806" s="110"/>
      <c r="F806" s="109"/>
      <c r="G806" s="109"/>
      <c r="H806" s="109"/>
      <c r="I806" s="109"/>
      <c r="J806" s="109"/>
    </row>
    <row r="807" spans="1:10">
      <c r="A807" s="108"/>
      <c r="B807" s="109"/>
      <c r="C807" s="109"/>
      <c r="D807" s="109"/>
      <c r="E807" s="110"/>
      <c r="F807" s="109"/>
      <c r="G807" s="109"/>
      <c r="H807" s="109"/>
      <c r="I807" s="109"/>
      <c r="J807" s="109"/>
    </row>
    <row r="808" spans="1:10">
      <c r="A808" s="108"/>
      <c r="B808" s="109"/>
      <c r="C808" s="109"/>
      <c r="D808" s="109"/>
      <c r="E808" s="110"/>
      <c r="F808" s="109"/>
      <c r="G808" s="109"/>
      <c r="H808" s="109"/>
      <c r="I808" s="109"/>
      <c r="J808" s="109"/>
    </row>
    <row r="809" spans="1:10">
      <c r="A809" s="108"/>
      <c r="B809" s="109"/>
      <c r="C809" s="109"/>
      <c r="D809" s="109"/>
      <c r="E809" s="110"/>
      <c r="F809" s="109"/>
      <c r="G809" s="109"/>
      <c r="H809" s="109"/>
      <c r="I809" s="109"/>
      <c r="J809" s="109"/>
    </row>
    <row r="810" spans="1:10">
      <c r="A810" s="108"/>
      <c r="B810" s="109"/>
      <c r="C810" s="109"/>
      <c r="D810" s="109"/>
      <c r="E810" s="110"/>
      <c r="F810" s="109"/>
      <c r="G810" s="109"/>
      <c r="H810" s="109"/>
      <c r="I810" s="109"/>
      <c r="J810" s="109"/>
    </row>
    <row r="811" spans="1:10">
      <c r="A811" s="108"/>
      <c r="B811" s="109"/>
      <c r="C811" s="109"/>
      <c r="D811" s="109"/>
      <c r="E811" s="110"/>
      <c r="F811" s="109"/>
      <c r="G811" s="109"/>
      <c r="H811" s="109"/>
      <c r="I811" s="109"/>
      <c r="J811" s="109"/>
    </row>
    <row r="812" spans="1:10">
      <c r="A812" s="108"/>
      <c r="B812" s="109"/>
      <c r="C812" s="109"/>
      <c r="D812" s="109"/>
      <c r="E812" s="110"/>
      <c r="F812" s="109"/>
      <c r="G812" s="109"/>
      <c r="H812" s="109"/>
      <c r="I812" s="109"/>
      <c r="J812" s="109"/>
    </row>
    <row r="813" spans="1:10">
      <c r="A813" s="108"/>
      <c r="B813" s="109"/>
      <c r="C813" s="109"/>
      <c r="D813" s="109"/>
      <c r="E813" s="110"/>
      <c r="F813" s="109"/>
      <c r="G813" s="109"/>
      <c r="H813" s="109"/>
      <c r="I813" s="109"/>
      <c r="J813" s="109"/>
    </row>
    <row r="814" spans="1:10">
      <c r="A814" s="108"/>
      <c r="B814" s="109"/>
      <c r="C814" s="109"/>
      <c r="D814" s="109"/>
      <c r="E814" s="110"/>
      <c r="F814" s="109"/>
      <c r="G814" s="109"/>
      <c r="H814" s="109"/>
      <c r="I814" s="109"/>
      <c r="J814" s="109"/>
    </row>
    <row r="815" spans="1:10">
      <c r="A815" s="108"/>
      <c r="B815" s="109"/>
      <c r="C815" s="109"/>
      <c r="D815" s="109"/>
      <c r="E815" s="110"/>
      <c r="F815" s="109"/>
      <c r="G815" s="109"/>
      <c r="H815" s="109"/>
      <c r="I815" s="109"/>
      <c r="J815" s="109"/>
    </row>
    <row r="816" spans="1:10">
      <c r="A816" s="108"/>
      <c r="B816" s="109"/>
      <c r="C816" s="109"/>
      <c r="D816" s="109"/>
      <c r="E816" s="110"/>
      <c r="F816" s="109"/>
      <c r="G816" s="109"/>
      <c r="H816" s="109"/>
      <c r="I816" s="109"/>
      <c r="J816" s="109"/>
    </row>
    <row r="817" spans="1:10">
      <c r="A817" s="108"/>
      <c r="B817" s="109"/>
      <c r="C817" s="109"/>
      <c r="D817" s="109"/>
      <c r="E817" s="110"/>
      <c r="F817" s="109"/>
      <c r="G817" s="109"/>
      <c r="H817" s="109"/>
      <c r="I817" s="109"/>
      <c r="J817" s="109"/>
    </row>
    <row r="818" spans="1:10">
      <c r="A818" s="108"/>
      <c r="B818" s="109"/>
      <c r="C818" s="109"/>
      <c r="D818" s="109"/>
      <c r="E818" s="110"/>
      <c r="F818" s="109"/>
      <c r="G818" s="109"/>
      <c r="H818" s="109"/>
      <c r="I818" s="109"/>
      <c r="J818" s="109"/>
    </row>
    <row r="819" spans="1:10">
      <c r="A819" s="108"/>
      <c r="B819" s="109"/>
      <c r="C819" s="109"/>
      <c r="D819" s="109"/>
      <c r="E819" s="110"/>
      <c r="F819" s="109"/>
      <c r="G819" s="109"/>
      <c r="H819" s="109"/>
      <c r="I819" s="109"/>
      <c r="J819" s="109"/>
    </row>
    <row r="820" spans="1:10">
      <c r="A820" s="108"/>
      <c r="B820" s="109"/>
      <c r="C820" s="109"/>
      <c r="D820" s="109"/>
      <c r="E820" s="110"/>
      <c r="F820" s="109"/>
      <c r="G820" s="109"/>
      <c r="H820" s="109"/>
      <c r="I820" s="109"/>
      <c r="J820" s="109"/>
    </row>
    <row r="821" spans="1:10">
      <c r="A821" s="108"/>
      <c r="B821" s="109"/>
      <c r="C821" s="109"/>
      <c r="D821" s="109"/>
      <c r="E821" s="110"/>
      <c r="F821" s="109"/>
      <c r="G821" s="109"/>
      <c r="H821" s="109"/>
      <c r="I821" s="109"/>
      <c r="J821" s="109"/>
    </row>
    <row r="822" spans="1:10">
      <c r="A822" s="108"/>
      <c r="B822" s="109"/>
      <c r="C822" s="109"/>
      <c r="D822" s="109"/>
      <c r="E822" s="110"/>
      <c r="F822" s="109"/>
      <c r="G822" s="109"/>
      <c r="H822" s="109"/>
      <c r="I822" s="109"/>
      <c r="J822" s="109"/>
    </row>
    <row r="823" spans="1:10">
      <c r="A823" s="108"/>
      <c r="B823" s="109"/>
      <c r="C823" s="109"/>
      <c r="D823" s="109"/>
      <c r="E823" s="110"/>
      <c r="F823" s="109"/>
      <c r="G823" s="109"/>
      <c r="H823" s="109"/>
      <c r="I823" s="109"/>
      <c r="J823" s="109"/>
    </row>
    <row r="824" spans="1:10">
      <c r="A824" s="108"/>
      <c r="B824" s="109"/>
      <c r="C824" s="109"/>
      <c r="D824" s="109"/>
      <c r="E824" s="110"/>
      <c r="F824" s="109"/>
      <c r="G824" s="109"/>
      <c r="H824" s="109"/>
      <c r="I824" s="109"/>
      <c r="J824" s="109"/>
    </row>
    <row r="825" spans="1:10">
      <c r="A825" s="108"/>
      <c r="B825" s="109"/>
      <c r="C825" s="109"/>
      <c r="D825" s="109"/>
      <c r="E825" s="110"/>
      <c r="F825" s="109"/>
      <c r="G825" s="109"/>
      <c r="H825" s="109"/>
      <c r="I825" s="109"/>
      <c r="J825" s="109"/>
    </row>
    <row r="826" spans="1:10">
      <c r="A826" s="108"/>
      <c r="B826" s="109"/>
      <c r="C826" s="109"/>
      <c r="D826" s="109"/>
      <c r="E826" s="110"/>
      <c r="F826" s="109"/>
      <c r="G826" s="109"/>
      <c r="H826" s="109"/>
      <c r="I826" s="109"/>
      <c r="J826" s="109"/>
    </row>
    <row r="827" spans="1:10">
      <c r="A827" s="108"/>
      <c r="B827" s="109"/>
      <c r="C827" s="109"/>
      <c r="D827" s="109"/>
      <c r="E827" s="110"/>
      <c r="F827" s="109"/>
      <c r="G827" s="109"/>
      <c r="H827" s="109"/>
      <c r="I827" s="109"/>
      <c r="J827" s="109"/>
    </row>
    <row r="828" spans="1:10">
      <c r="A828" s="108"/>
      <c r="B828" s="109"/>
      <c r="C828" s="109"/>
      <c r="D828" s="109"/>
      <c r="E828" s="110"/>
      <c r="F828" s="109"/>
      <c r="G828" s="109"/>
      <c r="H828" s="109"/>
      <c r="I828" s="109"/>
      <c r="J828" s="109"/>
    </row>
    <row r="829" spans="1:10">
      <c r="A829" s="108"/>
      <c r="B829" s="109"/>
      <c r="C829" s="109"/>
      <c r="D829" s="109"/>
      <c r="E829" s="110"/>
      <c r="F829" s="109"/>
      <c r="G829" s="109"/>
      <c r="H829" s="109"/>
      <c r="I829" s="109"/>
      <c r="J829" s="109"/>
    </row>
    <row r="830" spans="1:10">
      <c r="A830" s="108"/>
      <c r="B830" s="109"/>
      <c r="C830" s="109"/>
      <c r="D830" s="109"/>
      <c r="E830" s="110"/>
      <c r="F830" s="109"/>
      <c r="G830" s="109"/>
      <c r="H830" s="109"/>
      <c r="I830" s="109"/>
      <c r="J830" s="109"/>
    </row>
    <row r="831" spans="1:10">
      <c r="A831" s="108"/>
      <c r="B831" s="109"/>
      <c r="C831" s="109"/>
      <c r="D831" s="109"/>
      <c r="E831" s="110"/>
      <c r="F831" s="109"/>
      <c r="G831" s="109"/>
      <c r="H831" s="109"/>
      <c r="I831" s="109"/>
      <c r="J831" s="109"/>
    </row>
    <row r="832" spans="1:10">
      <c r="A832" s="108"/>
      <c r="B832" s="109"/>
      <c r="C832" s="109"/>
      <c r="D832" s="109"/>
      <c r="E832" s="110"/>
      <c r="F832" s="109"/>
      <c r="G832" s="109"/>
      <c r="H832" s="109"/>
      <c r="I832" s="109"/>
      <c r="J832" s="109"/>
    </row>
    <row r="833" spans="1:10">
      <c r="A833" s="108"/>
      <c r="B833" s="109"/>
      <c r="C833" s="109"/>
      <c r="D833" s="109"/>
      <c r="E833" s="110"/>
      <c r="F833" s="109"/>
      <c r="G833" s="109"/>
      <c r="H833" s="109"/>
      <c r="I833" s="109"/>
      <c r="J833" s="109"/>
    </row>
    <row r="834" spans="1:10">
      <c r="A834" s="108"/>
      <c r="B834" s="109"/>
      <c r="C834" s="109"/>
      <c r="D834" s="109"/>
      <c r="E834" s="110"/>
      <c r="F834" s="109"/>
      <c r="G834" s="109"/>
      <c r="H834" s="109"/>
      <c r="I834" s="109"/>
      <c r="J834" s="109"/>
    </row>
    <row r="835" spans="1:10">
      <c r="A835" s="108"/>
      <c r="B835" s="109"/>
      <c r="C835" s="109"/>
      <c r="D835" s="109"/>
      <c r="E835" s="110"/>
      <c r="F835" s="109"/>
      <c r="G835" s="109"/>
      <c r="H835" s="109"/>
      <c r="I835" s="109"/>
      <c r="J835" s="109"/>
    </row>
    <row r="836" spans="1:10">
      <c r="A836" s="108"/>
      <c r="B836" s="109"/>
      <c r="C836" s="109"/>
      <c r="D836" s="109"/>
      <c r="E836" s="110"/>
      <c r="F836" s="109"/>
      <c r="G836" s="109"/>
      <c r="H836" s="109"/>
      <c r="I836" s="109"/>
      <c r="J836" s="109"/>
    </row>
    <row r="837" spans="1:10">
      <c r="A837" s="108"/>
      <c r="B837" s="109"/>
      <c r="C837" s="109"/>
      <c r="D837" s="109"/>
      <c r="E837" s="110"/>
      <c r="F837" s="109"/>
      <c r="G837" s="109"/>
      <c r="H837" s="109"/>
      <c r="I837" s="109"/>
      <c r="J837" s="109"/>
    </row>
    <row r="838" spans="1:10">
      <c r="A838" s="108"/>
      <c r="B838" s="109"/>
      <c r="C838" s="109"/>
      <c r="D838" s="109"/>
      <c r="E838" s="110"/>
      <c r="F838" s="109"/>
      <c r="G838" s="109"/>
      <c r="H838" s="109"/>
      <c r="I838" s="109"/>
      <c r="J838" s="109"/>
    </row>
    <row r="839" spans="1:10">
      <c r="A839" s="108"/>
      <c r="B839" s="109"/>
      <c r="C839" s="109"/>
      <c r="D839" s="109"/>
      <c r="E839" s="110"/>
      <c r="F839" s="109"/>
      <c r="G839" s="109"/>
      <c r="H839" s="109"/>
      <c r="I839" s="109"/>
      <c r="J839" s="109"/>
    </row>
    <row r="840" spans="1:10">
      <c r="A840" s="108"/>
      <c r="B840" s="109"/>
      <c r="C840" s="109"/>
      <c r="D840" s="109"/>
      <c r="E840" s="110"/>
      <c r="F840" s="109"/>
      <c r="G840" s="109"/>
      <c r="H840" s="109"/>
      <c r="I840" s="109"/>
      <c r="J840" s="109"/>
    </row>
    <row r="841" spans="1:10">
      <c r="A841" s="108"/>
      <c r="B841" s="109"/>
      <c r="C841" s="109"/>
      <c r="D841" s="109"/>
      <c r="E841" s="110"/>
      <c r="F841" s="109"/>
      <c r="G841" s="109"/>
      <c r="H841" s="109"/>
      <c r="I841" s="109"/>
      <c r="J841" s="109"/>
    </row>
    <row r="842" spans="1:10">
      <c r="A842" s="108"/>
      <c r="B842" s="109"/>
      <c r="C842" s="109"/>
      <c r="D842" s="109"/>
      <c r="E842" s="110"/>
      <c r="F842" s="109"/>
      <c r="G842" s="109"/>
      <c r="H842" s="109"/>
      <c r="I842" s="109"/>
      <c r="J842" s="109"/>
    </row>
    <row r="843" spans="1:10">
      <c r="A843" s="108"/>
      <c r="B843" s="109"/>
      <c r="C843" s="109"/>
      <c r="D843" s="109"/>
      <c r="E843" s="110"/>
      <c r="F843" s="109"/>
      <c r="G843" s="109"/>
      <c r="H843" s="109"/>
      <c r="I843" s="109"/>
      <c r="J843" s="109"/>
    </row>
    <row r="844" spans="1:10">
      <c r="A844" s="108"/>
      <c r="B844" s="109"/>
      <c r="C844" s="109"/>
      <c r="D844" s="109"/>
      <c r="E844" s="110"/>
      <c r="F844" s="109"/>
      <c r="G844" s="109"/>
      <c r="H844" s="109"/>
      <c r="I844" s="109"/>
      <c r="J844" s="109"/>
    </row>
    <row r="845" spans="1:10">
      <c r="A845" s="108"/>
      <c r="B845" s="109"/>
      <c r="C845" s="109"/>
      <c r="D845" s="109"/>
      <c r="E845" s="110"/>
      <c r="F845" s="109"/>
      <c r="G845" s="109"/>
      <c r="H845" s="109"/>
      <c r="I845" s="109"/>
      <c r="J845" s="109"/>
    </row>
    <row r="846" spans="1:10">
      <c r="A846" s="108"/>
      <c r="B846" s="109"/>
      <c r="C846" s="109"/>
      <c r="D846" s="109"/>
      <c r="E846" s="110"/>
      <c r="F846" s="109"/>
      <c r="G846" s="109"/>
      <c r="H846" s="109"/>
      <c r="I846" s="109"/>
      <c r="J846" s="109"/>
    </row>
    <row r="847" spans="1:10">
      <c r="A847" s="108"/>
      <c r="B847" s="109"/>
      <c r="C847" s="109"/>
      <c r="D847" s="109"/>
      <c r="E847" s="110"/>
      <c r="F847" s="109"/>
      <c r="G847" s="109"/>
      <c r="H847" s="109"/>
      <c r="I847" s="109"/>
      <c r="J847" s="109"/>
    </row>
    <row r="848" spans="1:10">
      <c r="A848" s="108"/>
      <c r="B848" s="109"/>
      <c r="C848" s="109"/>
      <c r="D848" s="109"/>
      <c r="E848" s="110"/>
      <c r="F848" s="109"/>
      <c r="G848" s="109"/>
      <c r="H848" s="109"/>
      <c r="I848" s="109"/>
      <c r="J848" s="109"/>
    </row>
    <row r="849" spans="1:10">
      <c r="A849" s="108"/>
      <c r="B849" s="109"/>
      <c r="C849" s="109"/>
      <c r="D849" s="109"/>
      <c r="E849" s="110"/>
      <c r="F849" s="109"/>
      <c r="G849" s="109"/>
      <c r="H849" s="109"/>
      <c r="I849" s="109"/>
      <c r="J849" s="109"/>
    </row>
    <row r="850" spans="1:10">
      <c r="A850" s="108"/>
      <c r="B850" s="109"/>
      <c r="C850" s="109"/>
      <c r="D850" s="109"/>
      <c r="E850" s="110"/>
      <c r="F850" s="109"/>
      <c r="G850" s="109"/>
      <c r="H850" s="109"/>
      <c r="I850" s="109"/>
      <c r="J850" s="109"/>
    </row>
    <row r="851" spans="1:10">
      <c r="A851" s="108"/>
      <c r="B851" s="109"/>
      <c r="C851" s="109"/>
      <c r="D851" s="109"/>
      <c r="E851" s="110"/>
      <c r="F851" s="109"/>
      <c r="G851" s="109"/>
      <c r="H851" s="109"/>
      <c r="I851" s="109"/>
      <c r="J851" s="109"/>
    </row>
    <row r="852" spans="1:10">
      <c r="A852" s="108"/>
      <c r="B852" s="109"/>
      <c r="C852" s="109"/>
      <c r="D852" s="109"/>
      <c r="E852" s="110"/>
      <c r="F852" s="109"/>
      <c r="G852" s="109"/>
      <c r="H852" s="109"/>
      <c r="I852" s="109"/>
      <c r="J852" s="109"/>
    </row>
    <row r="853" spans="1:10">
      <c r="A853" s="108"/>
      <c r="B853" s="109"/>
      <c r="C853" s="109"/>
      <c r="D853" s="109"/>
      <c r="E853" s="110"/>
      <c r="F853" s="109"/>
      <c r="G853" s="109"/>
      <c r="H853" s="109"/>
      <c r="I853" s="109"/>
      <c r="J853" s="109"/>
    </row>
    <row r="854" spans="1:10">
      <c r="A854" s="108"/>
      <c r="B854" s="109"/>
      <c r="C854" s="109"/>
      <c r="D854" s="109"/>
      <c r="E854" s="110"/>
      <c r="F854" s="109"/>
      <c r="G854" s="109"/>
      <c r="H854" s="109"/>
      <c r="I854" s="109"/>
      <c r="J854" s="109"/>
    </row>
    <row r="855" spans="1:10">
      <c r="A855" s="108"/>
      <c r="B855" s="109"/>
      <c r="C855" s="109"/>
      <c r="D855" s="109"/>
      <c r="E855" s="110"/>
      <c r="F855" s="109"/>
      <c r="G855" s="109"/>
      <c r="H855" s="109"/>
      <c r="I855" s="109"/>
      <c r="J855" s="109"/>
    </row>
    <row r="856" spans="1:10">
      <c r="A856" s="108"/>
      <c r="B856" s="109"/>
      <c r="C856" s="109"/>
      <c r="D856" s="109"/>
      <c r="E856" s="110"/>
      <c r="F856" s="109"/>
      <c r="G856" s="109"/>
      <c r="H856" s="109"/>
      <c r="I856" s="109"/>
      <c r="J856" s="109"/>
    </row>
    <row r="857" spans="1:10">
      <c r="A857" s="108"/>
      <c r="B857" s="109"/>
      <c r="C857" s="109"/>
      <c r="D857" s="109"/>
      <c r="E857" s="110"/>
      <c r="F857" s="109"/>
      <c r="G857" s="109"/>
      <c r="H857" s="109"/>
      <c r="I857" s="109"/>
      <c r="J857" s="109"/>
    </row>
    <row r="858" spans="1:10">
      <c r="A858" s="108"/>
      <c r="B858" s="109"/>
      <c r="C858" s="109"/>
      <c r="D858" s="109"/>
      <c r="E858" s="110"/>
      <c r="F858" s="109"/>
      <c r="G858" s="109"/>
      <c r="H858" s="109"/>
      <c r="I858" s="109"/>
      <c r="J858" s="109"/>
    </row>
    <row r="859" spans="1:10">
      <c r="A859" s="108"/>
      <c r="B859" s="109"/>
      <c r="C859" s="109"/>
      <c r="D859" s="109"/>
      <c r="E859" s="110"/>
      <c r="F859" s="109"/>
      <c r="G859" s="109"/>
      <c r="H859" s="109"/>
      <c r="I859" s="109"/>
      <c r="J859" s="109"/>
    </row>
    <row r="860" spans="1:10">
      <c r="A860" s="108"/>
      <c r="B860" s="109"/>
      <c r="C860" s="109"/>
      <c r="D860" s="109"/>
      <c r="E860" s="110"/>
      <c r="F860" s="109"/>
      <c r="G860" s="109"/>
      <c r="H860" s="109"/>
      <c r="I860" s="109"/>
      <c r="J860" s="109"/>
    </row>
    <row r="861" spans="1:10">
      <c r="A861" s="108"/>
      <c r="B861" s="109"/>
      <c r="C861" s="109"/>
      <c r="D861" s="109"/>
      <c r="E861" s="110"/>
      <c r="F861" s="109"/>
      <c r="G861" s="109"/>
      <c r="H861" s="109"/>
      <c r="I861" s="109"/>
      <c r="J861" s="109"/>
    </row>
    <row r="862" spans="1:10">
      <c r="A862" s="108"/>
      <c r="B862" s="109"/>
      <c r="C862" s="109"/>
      <c r="D862" s="109"/>
      <c r="E862" s="110"/>
      <c r="F862" s="109"/>
      <c r="G862" s="109"/>
      <c r="H862" s="109"/>
      <c r="I862" s="109"/>
      <c r="J862" s="109"/>
    </row>
    <row r="863" spans="1:10">
      <c r="A863" s="108"/>
      <c r="B863" s="109"/>
      <c r="C863" s="109"/>
      <c r="D863" s="109"/>
      <c r="E863" s="110"/>
      <c r="F863" s="109"/>
      <c r="G863" s="109"/>
      <c r="H863" s="109"/>
      <c r="I863" s="109"/>
      <c r="J863" s="109"/>
    </row>
    <row r="864" spans="1:10">
      <c r="A864" s="108"/>
      <c r="B864" s="109"/>
      <c r="C864" s="109"/>
      <c r="D864" s="109"/>
      <c r="E864" s="110"/>
      <c r="F864" s="109"/>
      <c r="G864" s="109"/>
      <c r="H864" s="109"/>
      <c r="I864" s="109"/>
      <c r="J864" s="109"/>
    </row>
    <row r="865" spans="1:10">
      <c r="A865" s="108"/>
      <c r="B865" s="109"/>
      <c r="C865" s="109"/>
      <c r="D865" s="109"/>
      <c r="E865" s="110"/>
      <c r="F865" s="109"/>
      <c r="G865" s="109"/>
      <c r="H865" s="109"/>
      <c r="I865" s="109"/>
      <c r="J865" s="109"/>
    </row>
    <row r="866" spans="1:10">
      <c r="A866" s="108"/>
      <c r="B866" s="109"/>
      <c r="C866" s="109"/>
      <c r="D866" s="109"/>
      <c r="E866" s="110"/>
      <c r="F866" s="109"/>
      <c r="G866" s="109"/>
      <c r="H866" s="109"/>
      <c r="I866" s="109"/>
      <c r="J866" s="109"/>
    </row>
    <row r="867" spans="1:10">
      <c r="A867" s="108"/>
      <c r="B867" s="109"/>
      <c r="C867" s="109"/>
      <c r="D867" s="109"/>
      <c r="E867" s="110"/>
      <c r="F867" s="109"/>
      <c r="G867" s="109"/>
      <c r="H867" s="109"/>
      <c r="I867" s="109"/>
      <c r="J867" s="109"/>
    </row>
    <row r="868" spans="1:10">
      <c r="A868" s="108"/>
      <c r="B868" s="109"/>
      <c r="C868" s="109"/>
      <c r="D868" s="109"/>
      <c r="E868" s="110"/>
      <c r="F868" s="109"/>
      <c r="G868" s="109"/>
      <c r="H868" s="109"/>
      <c r="I868" s="109"/>
      <c r="J868" s="109"/>
    </row>
    <row r="869" spans="1:10">
      <c r="A869" s="108"/>
      <c r="B869" s="109"/>
      <c r="C869" s="109"/>
      <c r="D869" s="109"/>
      <c r="E869" s="110"/>
      <c r="F869" s="109"/>
      <c r="G869" s="109"/>
      <c r="H869" s="109"/>
      <c r="I869" s="109"/>
      <c r="J869" s="109"/>
    </row>
    <row r="870" spans="1:10">
      <c r="A870" s="108"/>
      <c r="B870" s="109"/>
      <c r="C870" s="109"/>
      <c r="D870" s="109"/>
      <c r="E870" s="110"/>
      <c r="F870" s="109"/>
      <c r="G870" s="109"/>
      <c r="H870" s="109"/>
      <c r="I870" s="109"/>
      <c r="J870" s="109"/>
    </row>
    <row r="871" spans="1:10">
      <c r="A871" s="108"/>
      <c r="B871" s="109"/>
      <c r="C871" s="109"/>
      <c r="D871" s="109"/>
      <c r="E871" s="110"/>
      <c r="F871" s="109"/>
      <c r="G871" s="109"/>
      <c r="H871" s="109"/>
      <c r="I871" s="109"/>
      <c r="J871" s="109"/>
    </row>
    <row r="872" spans="1:10">
      <c r="A872" s="108"/>
      <c r="B872" s="109"/>
      <c r="C872" s="109"/>
      <c r="D872" s="109"/>
      <c r="E872" s="110"/>
      <c r="F872" s="109"/>
      <c r="G872" s="109"/>
      <c r="H872" s="109"/>
      <c r="I872" s="109"/>
      <c r="J872" s="109"/>
    </row>
    <row r="873" spans="1:10">
      <c r="A873" s="108"/>
      <c r="B873" s="109"/>
      <c r="C873" s="109"/>
      <c r="D873" s="109"/>
      <c r="E873" s="110"/>
      <c r="F873" s="109"/>
      <c r="G873" s="109"/>
      <c r="H873" s="109"/>
      <c r="I873" s="109"/>
      <c r="J873" s="109"/>
    </row>
  </sheetData>
  <mergeCells count="10">
    <mergeCell ref="H85:K85"/>
    <mergeCell ref="AZ4:BA4"/>
    <mergeCell ref="A1:B1"/>
    <mergeCell ref="A2:B2"/>
    <mergeCell ref="C1:R1"/>
    <mergeCell ref="AI4:AL4"/>
    <mergeCell ref="N79:O79"/>
    <mergeCell ref="A3:B3"/>
    <mergeCell ref="AM4:AP4"/>
    <mergeCell ref="C85:F85"/>
  </mergeCells>
  <phoneticPr fontId="0" type="noConversion"/>
  <printOptions horizontalCentered="1"/>
  <pageMargins left="0.2" right="0" top="1.37" bottom="0.42" header="0.6" footer="0.16"/>
  <pageSetup paperSize="5" scale="82" firstPageNumber="18" fitToWidth="14" orientation="portrait" useFirstPageNumber="1" r:id="rId1"/>
  <headerFooter alignWithMargins="0">
    <oddHeader>&amp;L&amp;"Arial,Bold"&amp;16TABLE 3: FY2012-13 Budget Letter &amp;20
&amp;16LEVEL 1 BASE PER PUPIL AND LEVEL 2 LOCAL INCENTIVE</oddHeader>
    <oddFooter>&amp;R&amp;12&amp;P</oddFooter>
  </headerFooter>
  <colBreaks count="11" manualBreakCount="11">
    <brk id="7" min="3" max="84" man="1"/>
    <brk id="11" min="3" max="84" man="1"/>
    <brk id="15" min="3" max="84" man="1"/>
    <brk id="20" min="3" max="84" man="1"/>
    <brk id="27" min="3" max="84" man="1"/>
    <brk id="34" min="3" max="84" man="1"/>
    <brk id="38" min="3" max="84" man="1"/>
    <brk id="44" min="3" max="84" man="1"/>
    <brk id="51" min="3" max="84" man="1"/>
    <brk id="56" min="2" max="84" man="1"/>
    <brk id="62" min="2" max="82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3:T163"/>
  <sheetViews>
    <sheetView view="pageBreakPreview" zoomScale="50" zoomScaleNormal="100" zoomScaleSheetLayoutView="5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4" sqref="A4:A5"/>
    </sheetView>
  </sheetViews>
  <sheetFormatPr defaultRowHeight="18"/>
  <cols>
    <col min="1" max="1" width="11.85546875" style="1235" customWidth="1"/>
    <col min="2" max="2" width="78.85546875" style="1235" customWidth="1"/>
    <col min="3" max="3" width="23.7109375" style="1235" customWidth="1"/>
    <col min="4" max="4" width="26.42578125" style="1235" customWidth="1"/>
    <col min="5" max="5" width="23.28515625" style="1235" customWidth="1"/>
    <col min="6" max="6" width="24" style="1254" customWidth="1"/>
    <col min="7" max="7" width="25.5703125" style="1235" customWidth="1"/>
    <col min="8" max="8" width="26.85546875" style="1235" customWidth="1"/>
    <col min="9" max="9" width="24" style="1254" customWidth="1"/>
    <col min="10" max="10" width="23.85546875" style="1235" customWidth="1"/>
    <col min="11" max="11" width="26.85546875" style="1235" customWidth="1"/>
    <col min="12" max="12" width="21.140625" style="1235" customWidth="1"/>
    <col min="13" max="13" width="20.85546875" style="1235" customWidth="1"/>
    <col min="14" max="14" width="24" style="1235" customWidth="1"/>
    <col min="15" max="16384" width="9.140625" style="1235"/>
  </cols>
  <sheetData>
    <row r="3" spans="1:20" ht="27" customHeight="1">
      <c r="F3" s="1714" t="s">
        <v>1328</v>
      </c>
      <c r="G3" s="1715"/>
      <c r="H3" s="1716"/>
      <c r="I3" s="1717" t="s">
        <v>956</v>
      </c>
      <c r="J3" s="1718"/>
      <c r="K3" s="1719"/>
    </row>
    <row r="4" spans="1:20" ht="51.75" customHeight="1">
      <c r="A4" s="1726" t="s">
        <v>203</v>
      </c>
      <c r="B4" s="1726" t="s">
        <v>878</v>
      </c>
      <c r="C4" s="1720" t="s">
        <v>964</v>
      </c>
      <c r="D4" s="1724" t="s">
        <v>1327</v>
      </c>
      <c r="E4" s="1711" t="s">
        <v>957</v>
      </c>
      <c r="F4" s="1724" t="s">
        <v>1329</v>
      </c>
      <c r="G4" s="1711" t="s">
        <v>1376</v>
      </c>
      <c r="H4" s="1711" t="s">
        <v>1377</v>
      </c>
      <c r="I4" s="1720" t="s">
        <v>960</v>
      </c>
      <c r="J4" s="1711" t="s">
        <v>1378</v>
      </c>
      <c r="K4" s="1722" t="s">
        <v>1379</v>
      </c>
      <c r="L4" s="1711" t="s">
        <v>1331</v>
      </c>
      <c r="M4" s="1711" t="s">
        <v>1380</v>
      </c>
      <c r="N4" s="1711" t="s">
        <v>1381</v>
      </c>
    </row>
    <row r="5" spans="1:20" ht="161.25" customHeight="1">
      <c r="A5" s="1727"/>
      <c r="B5" s="1726"/>
      <c r="C5" s="1728"/>
      <c r="D5" s="1725"/>
      <c r="E5" s="1712"/>
      <c r="F5" s="1725"/>
      <c r="G5" s="1712"/>
      <c r="H5" s="1713"/>
      <c r="I5" s="1721"/>
      <c r="J5" s="1712"/>
      <c r="K5" s="1723"/>
      <c r="L5" s="1712"/>
      <c r="M5" s="1713"/>
      <c r="N5" s="1713"/>
    </row>
    <row r="6" spans="1:20" s="1277" customFormat="1" ht="19.5" customHeight="1">
      <c r="A6" s="1269"/>
      <c r="B6" s="1276"/>
      <c r="C6" s="1276">
        <v>1</v>
      </c>
      <c r="D6" s="1276">
        <f>C6+1</f>
        <v>2</v>
      </c>
      <c r="E6" s="1276">
        <f t="shared" ref="E6:N6" si="0">D6+1</f>
        <v>3</v>
      </c>
      <c r="F6" s="1276">
        <f t="shared" si="0"/>
        <v>4</v>
      </c>
      <c r="G6" s="1276">
        <f t="shared" si="0"/>
        <v>5</v>
      </c>
      <c r="H6" s="1276">
        <f t="shared" si="0"/>
        <v>6</v>
      </c>
      <c r="I6" s="1276">
        <f t="shared" si="0"/>
        <v>7</v>
      </c>
      <c r="J6" s="1276">
        <f t="shared" si="0"/>
        <v>8</v>
      </c>
      <c r="K6" s="1276">
        <f t="shared" si="0"/>
        <v>9</v>
      </c>
      <c r="L6" s="1276">
        <f t="shared" si="0"/>
        <v>10</v>
      </c>
      <c r="M6" s="1276">
        <f t="shared" si="0"/>
        <v>11</v>
      </c>
      <c r="N6" s="1276">
        <f t="shared" si="0"/>
        <v>12</v>
      </c>
    </row>
    <row r="7" spans="1:20" s="1277" customFormat="1" ht="39" customHeight="1">
      <c r="A7" s="1269"/>
      <c r="B7" s="1276"/>
      <c r="C7" s="1327" t="s">
        <v>1232</v>
      </c>
      <c r="D7" s="1276" t="s">
        <v>1330</v>
      </c>
      <c r="E7" s="1276" t="s">
        <v>958</v>
      </c>
      <c r="F7" s="1276" t="s">
        <v>1330</v>
      </c>
      <c r="G7" s="1327" t="s">
        <v>1332</v>
      </c>
      <c r="H7" s="1276" t="s">
        <v>959</v>
      </c>
      <c r="I7" s="1327" t="s">
        <v>1232</v>
      </c>
      <c r="J7" s="1327" t="s">
        <v>1233</v>
      </c>
      <c r="K7" s="1276" t="s">
        <v>961</v>
      </c>
      <c r="L7" s="1276" t="s">
        <v>1234</v>
      </c>
      <c r="M7" s="1276" t="s">
        <v>963</v>
      </c>
      <c r="N7" s="1276" t="s">
        <v>962</v>
      </c>
    </row>
    <row r="8" spans="1:20">
      <c r="A8" s="1236">
        <v>1</v>
      </c>
      <c r="B8" s="1237" t="s">
        <v>879</v>
      </c>
      <c r="C8" s="1270">
        <v>49843446</v>
      </c>
      <c r="D8" s="1242">
        <f>'Table 2_State Distrib and Adjs'!AF7</f>
        <v>50320513</v>
      </c>
      <c r="E8" s="1242">
        <f>D8-C8</f>
        <v>477067</v>
      </c>
      <c r="F8" s="1242">
        <f>D8</f>
        <v>50320513</v>
      </c>
      <c r="G8" s="1238">
        <f>'Table 2A-1_EFT (Annual)'!AD6</f>
        <v>-79912.804323960445</v>
      </c>
      <c r="H8" s="1242">
        <f>F8+G8</f>
        <v>50240600.195676036</v>
      </c>
      <c r="I8" s="1242">
        <f>C8</f>
        <v>49843446</v>
      </c>
      <c r="J8" s="1238">
        <v>-37340.25173911803</v>
      </c>
      <c r="K8" s="1242">
        <f>I8+J8</f>
        <v>49806105.748260885</v>
      </c>
      <c r="L8" s="1242">
        <f>E8</f>
        <v>477067</v>
      </c>
      <c r="M8" s="1242">
        <f t="shared" ref="M8:M39" si="1">G8-J8</f>
        <v>-42572.552584842415</v>
      </c>
      <c r="N8" s="1242">
        <f>SUM(L8:M8)</f>
        <v>434494.44741515757</v>
      </c>
      <c r="O8" s="1271"/>
      <c r="P8" s="1271"/>
      <c r="Q8" s="1271"/>
      <c r="R8" s="1271"/>
      <c r="S8" s="1271"/>
      <c r="T8" s="1271"/>
    </row>
    <row r="9" spans="1:20">
      <c r="A9" s="1236">
        <v>2</v>
      </c>
      <c r="B9" s="1237" t="s">
        <v>880</v>
      </c>
      <c r="C9" s="1270">
        <v>27800076</v>
      </c>
      <c r="D9" s="1242">
        <f>'Table 2_State Distrib and Adjs'!AF8</f>
        <v>28001907</v>
      </c>
      <c r="E9" s="1242">
        <f t="shared" ref="E9:E72" si="2">D9-C9</f>
        <v>201831</v>
      </c>
      <c r="F9" s="1242">
        <f t="shared" ref="F9:F72" si="3">D9</f>
        <v>28001907</v>
      </c>
      <c r="G9" s="1238">
        <f>'Table 2A-1_EFT (Annual)'!AD7</f>
        <v>-30161.424448326001</v>
      </c>
      <c r="H9" s="1242">
        <f t="shared" ref="H9:H72" si="4">F9+G9</f>
        <v>27971745.575551674</v>
      </c>
      <c r="I9" s="1242">
        <f t="shared" ref="I9:I72" si="5">C9</f>
        <v>27800076</v>
      </c>
      <c r="J9" s="1238">
        <v>-9302.4</v>
      </c>
      <c r="K9" s="1242">
        <f t="shared" ref="K9:K72" si="6">I9+J9</f>
        <v>27790773.600000001</v>
      </c>
      <c r="L9" s="1242">
        <f t="shared" ref="L9:L72" si="7">E9</f>
        <v>201831</v>
      </c>
      <c r="M9" s="1242">
        <f t="shared" si="1"/>
        <v>-20859.024448326003</v>
      </c>
      <c r="N9" s="1242">
        <f t="shared" ref="N9:N72" si="8">SUM(L9:M9)</f>
        <v>180971.975551674</v>
      </c>
      <c r="O9" s="1271"/>
      <c r="P9" s="1271"/>
      <c r="Q9" s="1271"/>
      <c r="R9" s="1271"/>
      <c r="S9" s="1271"/>
      <c r="T9" s="1271"/>
    </row>
    <row r="10" spans="1:20">
      <c r="A10" s="1236">
        <v>3</v>
      </c>
      <c r="B10" s="1237" t="s">
        <v>881</v>
      </c>
      <c r="C10" s="1270">
        <v>92086082</v>
      </c>
      <c r="D10" s="1242">
        <f>'Table 2_State Distrib and Adjs'!AF9</f>
        <v>98862016</v>
      </c>
      <c r="E10" s="1242">
        <f t="shared" si="2"/>
        <v>6775934</v>
      </c>
      <c r="F10" s="1242">
        <f t="shared" si="3"/>
        <v>98862016</v>
      </c>
      <c r="G10" s="1238">
        <f>'Table 2A-1_EFT (Annual)'!AD8</f>
        <v>-287533.01609254489</v>
      </c>
      <c r="H10" s="1242">
        <f t="shared" si="4"/>
        <v>98574482.983907461</v>
      </c>
      <c r="I10" s="1242">
        <f t="shared" si="5"/>
        <v>92086082</v>
      </c>
      <c r="J10" s="1238">
        <v>-107353.89766409692</v>
      </c>
      <c r="K10" s="1242">
        <f t="shared" si="6"/>
        <v>91978728.1023359</v>
      </c>
      <c r="L10" s="1242">
        <f t="shared" si="7"/>
        <v>6775934</v>
      </c>
      <c r="M10" s="1242">
        <f t="shared" si="1"/>
        <v>-180179.11842844798</v>
      </c>
      <c r="N10" s="1242">
        <f t="shared" si="8"/>
        <v>6595754.8815715518</v>
      </c>
      <c r="O10" s="1271"/>
      <c r="P10" s="1271"/>
      <c r="Q10" s="1271"/>
      <c r="R10" s="1271"/>
      <c r="S10" s="1271"/>
      <c r="T10" s="1271"/>
    </row>
    <row r="11" spans="1:20">
      <c r="A11" s="1236">
        <v>4</v>
      </c>
      <c r="B11" s="1237" t="s">
        <v>882</v>
      </c>
      <c r="C11" s="1270">
        <v>23555461</v>
      </c>
      <c r="D11" s="1242">
        <f>'Table 2_State Distrib and Adjs'!AF10</f>
        <v>23707810</v>
      </c>
      <c r="E11" s="1242">
        <f t="shared" si="2"/>
        <v>152349</v>
      </c>
      <c r="F11" s="1242">
        <f t="shared" si="3"/>
        <v>23707810</v>
      </c>
      <c r="G11" s="1238">
        <f>'Table 2A-1_EFT (Annual)'!AD9</f>
        <v>-46149.074807734229</v>
      </c>
      <c r="H11" s="1242">
        <f t="shared" si="4"/>
        <v>23661660.925192267</v>
      </c>
      <c r="I11" s="1242">
        <f t="shared" si="5"/>
        <v>23555461</v>
      </c>
      <c r="J11" s="1238">
        <v>-31161.343631095649</v>
      </c>
      <c r="K11" s="1242">
        <f t="shared" si="6"/>
        <v>23524299.656368904</v>
      </c>
      <c r="L11" s="1242">
        <f t="shared" si="7"/>
        <v>152349</v>
      </c>
      <c r="M11" s="1242">
        <f t="shared" si="1"/>
        <v>-14987.731176638579</v>
      </c>
      <c r="N11" s="1242">
        <f t="shared" si="8"/>
        <v>137361.26882336143</v>
      </c>
      <c r="O11" s="1271"/>
      <c r="P11" s="1271"/>
      <c r="Q11" s="1271"/>
      <c r="R11" s="1271"/>
      <c r="S11" s="1271"/>
      <c r="T11" s="1271"/>
    </row>
    <row r="12" spans="1:20">
      <c r="A12" s="1239">
        <v>5</v>
      </c>
      <c r="B12" s="1240" t="s">
        <v>883</v>
      </c>
      <c r="C12" s="1272">
        <v>31431517</v>
      </c>
      <c r="D12" s="1243">
        <f>'Table 2_State Distrib and Adjs'!AF11</f>
        <v>30749531</v>
      </c>
      <c r="E12" s="1243">
        <f t="shared" si="2"/>
        <v>-681986</v>
      </c>
      <c r="F12" s="1243">
        <f t="shared" si="3"/>
        <v>30749531</v>
      </c>
      <c r="G12" s="1241">
        <f>'Table 2A-1_EFT (Annual)'!AD10</f>
        <v>-811183.1255272046</v>
      </c>
      <c r="H12" s="1243">
        <f t="shared" si="4"/>
        <v>29938347.874472797</v>
      </c>
      <c r="I12" s="1243">
        <f t="shared" si="5"/>
        <v>31431517</v>
      </c>
      <c r="J12" s="1241">
        <v>-39072.957998650665</v>
      </c>
      <c r="K12" s="1243">
        <f t="shared" si="6"/>
        <v>31392444.042001348</v>
      </c>
      <c r="L12" s="1243">
        <f t="shared" si="7"/>
        <v>-681986</v>
      </c>
      <c r="M12" s="1243">
        <f t="shared" si="1"/>
        <v>-772110.16752855398</v>
      </c>
      <c r="N12" s="1243">
        <f t="shared" si="8"/>
        <v>-1454096.1675285539</v>
      </c>
      <c r="O12" s="1271"/>
      <c r="P12" s="1271"/>
      <c r="Q12" s="1271"/>
      <c r="R12" s="1271"/>
      <c r="S12" s="1271"/>
      <c r="T12" s="1271"/>
    </row>
    <row r="13" spans="1:20">
      <c r="A13" s="1236">
        <v>6</v>
      </c>
      <c r="B13" s="1237" t="s">
        <v>884</v>
      </c>
      <c r="C13" s="1270">
        <v>37335627</v>
      </c>
      <c r="D13" s="1242">
        <f>'Table 2_State Distrib and Adjs'!AF12</f>
        <v>36503422</v>
      </c>
      <c r="E13" s="1242">
        <f t="shared" si="2"/>
        <v>-832205</v>
      </c>
      <c r="F13" s="1242">
        <f t="shared" si="3"/>
        <v>36503422</v>
      </c>
      <c r="G13" s="1238">
        <f>'Table 2A-1_EFT (Annual)'!AD11</f>
        <v>-79582.048099783351</v>
      </c>
      <c r="H13" s="1242">
        <f t="shared" si="4"/>
        <v>36423839.951900214</v>
      </c>
      <c r="I13" s="1242">
        <f t="shared" si="5"/>
        <v>37335627</v>
      </c>
      <c r="J13" s="1238">
        <v>-47830.502166831262</v>
      </c>
      <c r="K13" s="1242">
        <f t="shared" si="6"/>
        <v>37287796.49783317</v>
      </c>
      <c r="L13" s="1242">
        <f t="shared" si="7"/>
        <v>-832205</v>
      </c>
      <c r="M13" s="1242">
        <f t="shared" si="1"/>
        <v>-31751.545932952089</v>
      </c>
      <c r="N13" s="1242">
        <f t="shared" si="8"/>
        <v>-863956.54593295208</v>
      </c>
      <c r="O13" s="1271"/>
      <c r="P13" s="1271"/>
      <c r="Q13" s="1271"/>
      <c r="R13" s="1271"/>
      <c r="S13" s="1271"/>
      <c r="T13" s="1271"/>
    </row>
    <row r="14" spans="1:20">
      <c r="A14" s="1236">
        <v>7</v>
      </c>
      <c r="B14" s="1237" t="s">
        <v>885</v>
      </c>
      <c r="C14" s="1270">
        <v>5035013</v>
      </c>
      <c r="D14" s="1242">
        <f>'Table 2_State Distrib and Adjs'!AF13</f>
        <v>5084362</v>
      </c>
      <c r="E14" s="1242">
        <f t="shared" si="2"/>
        <v>49349</v>
      </c>
      <c r="F14" s="1242">
        <f t="shared" si="3"/>
        <v>5084362</v>
      </c>
      <c r="G14" s="1238">
        <f>'Table 2A-1_EFT (Annual)'!AD12</f>
        <v>-132215.62144246663</v>
      </c>
      <c r="H14" s="1242">
        <f t="shared" si="4"/>
        <v>4952146.378557533</v>
      </c>
      <c r="I14" s="1242">
        <f t="shared" si="5"/>
        <v>5035013</v>
      </c>
      <c r="J14" s="1238">
        <v>-81122.380000712365</v>
      </c>
      <c r="K14" s="1242">
        <f t="shared" si="6"/>
        <v>4953890.6199992876</v>
      </c>
      <c r="L14" s="1242">
        <f t="shared" si="7"/>
        <v>49349</v>
      </c>
      <c r="M14" s="1242">
        <f t="shared" si="1"/>
        <v>-51093.24144175426</v>
      </c>
      <c r="N14" s="1242">
        <f t="shared" si="8"/>
        <v>-1744.2414417542604</v>
      </c>
      <c r="O14" s="1271"/>
      <c r="P14" s="1271"/>
      <c r="Q14" s="1271"/>
      <c r="R14" s="1271"/>
      <c r="S14" s="1271"/>
      <c r="T14" s="1271"/>
    </row>
    <row r="15" spans="1:20">
      <c r="A15" s="1236">
        <v>8</v>
      </c>
      <c r="B15" s="1237" t="s">
        <v>886</v>
      </c>
      <c r="C15" s="1270">
        <v>95921990</v>
      </c>
      <c r="D15" s="1242">
        <f>'Table 2_State Distrib and Adjs'!AF14</f>
        <v>98625815</v>
      </c>
      <c r="E15" s="1242">
        <f t="shared" si="2"/>
        <v>2703825</v>
      </c>
      <c r="F15" s="1242">
        <f t="shared" si="3"/>
        <v>98625815</v>
      </c>
      <c r="G15" s="1238">
        <f>'Table 2A-1_EFT (Annual)'!AD13</f>
        <v>-295333.40580072679</v>
      </c>
      <c r="H15" s="1242">
        <f t="shared" si="4"/>
        <v>98330481.59419927</v>
      </c>
      <c r="I15" s="1242">
        <f t="shared" si="5"/>
        <v>95921990</v>
      </c>
      <c r="J15" s="1238">
        <v>-260995.08438172744</v>
      </c>
      <c r="K15" s="1242">
        <f t="shared" si="6"/>
        <v>95660994.915618271</v>
      </c>
      <c r="L15" s="1242">
        <f t="shared" si="7"/>
        <v>2703825</v>
      </c>
      <c r="M15" s="1242">
        <f t="shared" si="1"/>
        <v>-34338.321418999345</v>
      </c>
      <c r="N15" s="1242">
        <f t="shared" si="8"/>
        <v>2669486.6785810008</v>
      </c>
      <c r="O15" s="1271"/>
      <c r="P15" s="1271"/>
      <c r="Q15" s="1271"/>
      <c r="R15" s="1271"/>
      <c r="S15" s="1271"/>
      <c r="T15" s="1271"/>
    </row>
    <row r="16" spans="1:20">
      <c r="A16" s="1236">
        <v>9</v>
      </c>
      <c r="B16" s="1237" t="s">
        <v>887</v>
      </c>
      <c r="C16" s="1270">
        <v>208675976</v>
      </c>
      <c r="D16" s="1242">
        <f>'Table 2_State Distrib and Adjs'!AF15</f>
        <v>203240203</v>
      </c>
      <c r="E16" s="1242">
        <f t="shared" si="2"/>
        <v>-5435773</v>
      </c>
      <c r="F16" s="1242">
        <f t="shared" si="3"/>
        <v>203240203</v>
      </c>
      <c r="G16" s="1238">
        <f>'Table 2A-1_EFT (Annual)'!AD14</f>
        <v>-3183607.8331767856</v>
      </c>
      <c r="H16" s="1242">
        <f t="shared" si="4"/>
        <v>200056595.16682321</v>
      </c>
      <c r="I16" s="1242">
        <f t="shared" si="5"/>
        <v>208675976</v>
      </c>
      <c r="J16" s="1238">
        <v>-3116490.4782984722</v>
      </c>
      <c r="K16" s="1242">
        <f t="shared" si="6"/>
        <v>205559485.52170151</v>
      </c>
      <c r="L16" s="1242">
        <f t="shared" si="7"/>
        <v>-5435773</v>
      </c>
      <c r="M16" s="1242">
        <f t="shared" si="1"/>
        <v>-67117.354878313374</v>
      </c>
      <c r="N16" s="1242">
        <f t="shared" si="8"/>
        <v>-5502890.3548783138</v>
      </c>
      <c r="O16" s="1271"/>
      <c r="P16" s="1271"/>
      <c r="Q16" s="1271"/>
      <c r="R16" s="1271"/>
      <c r="S16" s="1271"/>
      <c r="T16" s="1271"/>
    </row>
    <row r="17" spans="1:20">
      <c r="A17" s="1239">
        <v>10</v>
      </c>
      <c r="B17" s="1240" t="s">
        <v>657</v>
      </c>
      <c r="C17" s="1272">
        <v>154177458</v>
      </c>
      <c r="D17" s="1243">
        <f>'Table 2_State Distrib and Adjs'!AF16</f>
        <v>152054137</v>
      </c>
      <c r="E17" s="1243">
        <f t="shared" si="2"/>
        <v>-2123321</v>
      </c>
      <c r="F17" s="1243">
        <f t="shared" si="3"/>
        <v>152054137</v>
      </c>
      <c r="G17" s="1241">
        <f>'Table 2A-1_EFT (Annual)'!AD15</f>
        <v>-5135666.9655314218</v>
      </c>
      <c r="H17" s="1243">
        <f t="shared" si="4"/>
        <v>146918470.03446859</v>
      </c>
      <c r="I17" s="1243">
        <f t="shared" si="5"/>
        <v>154177458</v>
      </c>
      <c r="J17" s="1241">
        <v>-3013835.8885263875</v>
      </c>
      <c r="K17" s="1243">
        <f t="shared" si="6"/>
        <v>151163622.11147362</v>
      </c>
      <c r="L17" s="1243">
        <f t="shared" si="7"/>
        <v>-2123321</v>
      </c>
      <c r="M17" s="1243">
        <f t="shared" si="1"/>
        <v>-2121831.0770050343</v>
      </c>
      <c r="N17" s="1243">
        <f t="shared" si="8"/>
        <v>-4245152.0770050343</v>
      </c>
      <c r="O17" s="1271"/>
      <c r="P17" s="1271"/>
      <c r="Q17" s="1271"/>
      <c r="R17" s="1271"/>
      <c r="S17" s="1271"/>
      <c r="T17" s="1271"/>
    </row>
    <row r="18" spans="1:20">
      <c r="A18" s="1236">
        <v>11</v>
      </c>
      <c r="B18" s="1237" t="s">
        <v>888</v>
      </c>
      <c r="C18" s="1270">
        <v>11763571</v>
      </c>
      <c r="D18" s="1242">
        <f>'Table 2_State Distrib and Adjs'!AF17</f>
        <v>11752004</v>
      </c>
      <c r="E18" s="1242">
        <f t="shared" si="2"/>
        <v>-11567</v>
      </c>
      <c r="F18" s="1242">
        <f t="shared" si="3"/>
        <v>11752004</v>
      </c>
      <c r="G18" s="1238">
        <f>'Table 2A-1_EFT (Annual)'!AD16</f>
        <v>-15007.723851845136</v>
      </c>
      <c r="H18" s="1242">
        <f t="shared" si="4"/>
        <v>11736996.276148155</v>
      </c>
      <c r="I18" s="1242">
        <f t="shared" si="5"/>
        <v>11763571</v>
      </c>
      <c r="J18" s="1238">
        <v>-2581.2000000000003</v>
      </c>
      <c r="K18" s="1242">
        <f t="shared" si="6"/>
        <v>11760989.800000001</v>
      </c>
      <c r="L18" s="1242">
        <f t="shared" si="7"/>
        <v>-11567</v>
      </c>
      <c r="M18" s="1242">
        <f t="shared" si="1"/>
        <v>-12426.523851845135</v>
      </c>
      <c r="N18" s="1242">
        <f t="shared" si="8"/>
        <v>-23993.523851845137</v>
      </c>
      <c r="O18" s="1271"/>
      <c r="P18" s="1271"/>
      <c r="Q18" s="1271"/>
      <c r="R18" s="1271"/>
      <c r="S18" s="1271"/>
      <c r="T18" s="1271"/>
    </row>
    <row r="19" spans="1:20">
      <c r="A19" s="1236">
        <v>12</v>
      </c>
      <c r="B19" s="1237" t="s">
        <v>889</v>
      </c>
      <c r="C19" s="1270">
        <v>3339199</v>
      </c>
      <c r="D19" s="1242">
        <f>'Table 2_State Distrib and Adjs'!AF18</f>
        <v>3480123</v>
      </c>
      <c r="E19" s="1242">
        <f t="shared" si="2"/>
        <v>140924</v>
      </c>
      <c r="F19" s="1242">
        <f t="shared" si="3"/>
        <v>3480123</v>
      </c>
      <c r="G19" s="1238">
        <f>'Table 2A-1_EFT (Annual)'!AD17</f>
        <v>-22390.2</v>
      </c>
      <c r="H19" s="1242">
        <f t="shared" si="4"/>
        <v>3457732.8</v>
      </c>
      <c r="I19" s="1242">
        <f t="shared" si="5"/>
        <v>3339199</v>
      </c>
      <c r="J19" s="1238">
        <v>-9793.8000000000011</v>
      </c>
      <c r="K19" s="1242">
        <f t="shared" si="6"/>
        <v>3329405.2</v>
      </c>
      <c r="L19" s="1242">
        <f t="shared" si="7"/>
        <v>140924</v>
      </c>
      <c r="M19" s="1242">
        <f t="shared" si="1"/>
        <v>-12596.4</v>
      </c>
      <c r="N19" s="1242">
        <f t="shared" si="8"/>
        <v>128327.6</v>
      </c>
      <c r="O19" s="1271"/>
      <c r="P19" s="1271"/>
      <c r="Q19" s="1271"/>
      <c r="R19" s="1271"/>
      <c r="S19" s="1271"/>
      <c r="T19" s="1271"/>
    </row>
    <row r="20" spans="1:20">
      <c r="A20" s="1236">
        <v>13</v>
      </c>
      <c r="B20" s="1237" t="s">
        <v>890</v>
      </c>
      <c r="C20" s="1270">
        <v>10162460</v>
      </c>
      <c r="D20" s="1242">
        <f>'Table 2_State Distrib and Adjs'!AF19</f>
        <v>10366620</v>
      </c>
      <c r="E20" s="1242">
        <f t="shared" si="2"/>
        <v>204160</v>
      </c>
      <c r="F20" s="1242">
        <f t="shared" si="3"/>
        <v>10366620</v>
      </c>
      <c r="G20" s="1238">
        <f>'Table 2A-1_EFT (Annual)'!AD18</f>
        <v>-24928.200000000004</v>
      </c>
      <c r="H20" s="1242">
        <f t="shared" si="4"/>
        <v>10341691.800000001</v>
      </c>
      <c r="I20" s="1242">
        <f t="shared" si="5"/>
        <v>10162460</v>
      </c>
      <c r="J20" s="1238">
        <v>-12906</v>
      </c>
      <c r="K20" s="1242">
        <f t="shared" si="6"/>
        <v>10149554</v>
      </c>
      <c r="L20" s="1242">
        <f t="shared" si="7"/>
        <v>204160</v>
      </c>
      <c r="M20" s="1242">
        <f t="shared" si="1"/>
        <v>-12022.200000000004</v>
      </c>
      <c r="N20" s="1242">
        <f t="shared" si="8"/>
        <v>192137.8</v>
      </c>
      <c r="O20" s="1271"/>
      <c r="P20" s="1271"/>
      <c r="Q20" s="1271"/>
      <c r="R20" s="1271"/>
      <c r="S20" s="1271"/>
      <c r="T20" s="1271"/>
    </row>
    <row r="21" spans="1:20">
      <c r="A21" s="1236">
        <v>14</v>
      </c>
      <c r="B21" s="1237" t="s">
        <v>891</v>
      </c>
      <c r="C21" s="1270">
        <v>13123846</v>
      </c>
      <c r="D21" s="1242">
        <f>'Table 2_State Distrib and Adjs'!AF20</f>
        <v>11826724</v>
      </c>
      <c r="E21" s="1242">
        <f t="shared" si="2"/>
        <v>-1297122</v>
      </c>
      <c r="F21" s="1242">
        <f t="shared" si="3"/>
        <v>11826724</v>
      </c>
      <c r="G21" s="1238">
        <f>'Table 2A-1_EFT (Annual)'!AD19</f>
        <v>-44787.319079910492</v>
      </c>
      <c r="H21" s="1242">
        <f t="shared" si="4"/>
        <v>11781936.680920089</v>
      </c>
      <c r="I21" s="1242">
        <f t="shared" si="5"/>
        <v>13123846</v>
      </c>
      <c r="J21" s="1238">
        <v>-15150.199330334643</v>
      </c>
      <c r="K21" s="1242">
        <f t="shared" si="6"/>
        <v>13108695.800669665</v>
      </c>
      <c r="L21" s="1242">
        <f t="shared" si="7"/>
        <v>-1297122</v>
      </c>
      <c r="M21" s="1242">
        <f t="shared" si="1"/>
        <v>-29637.11974957585</v>
      </c>
      <c r="N21" s="1242">
        <f t="shared" si="8"/>
        <v>-1326759.1197495759</v>
      </c>
      <c r="O21" s="1271"/>
      <c r="P21" s="1271"/>
      <c r="Q21" s="1271"/>
      <c r="R21" s="1271"/>
      <c r="S21" s="1271"/>
      <c r="T21" s="1271"/>
    </row>
    <row r="22" spans="1:20">
      <c r="A22" s="1239">
        <v>15</v>
      </c>
      <c r="B22" s="1240" t="s">
        <v>746</v>
      </c>
      <c r="C22" s="1272">
        <v>21964966</v>
      </c>
      <c r="D22" s="1243">
        <f>'Table 2_State Distrib and Adjs'!AF21</f>
        <v>21663330</v>
      </c>
      <c r="E22" s="1243">
        <f t="shared" si="2"/>
        <v>-301636</v>
      </c>
      <c r="F22" s="1243">
        <f t="shared" si="3"/>
        <v>21663330</v>
      </c>
      <c r="G22" s="1241">
        <f>'Table 2A-1_EFT (Annual)'!AD20</f>
        <v>-25466.151395368302</v>
      </c>
      <c r="H22" s="1243">
        <f t="shared" si="4"/>
        <v>21637863.848604631</v>
      </c>
      <c r="I22" s="1243">
        <f t="shared" si="5"/>
        <v>21964966</v>
      </c>
      <c r="J22" s="1241">
        <v>-11536.818345503505</v>
      </c>
      <c r="K22" s="1243">
        <f t="shared" si="6"/>
        <v>21953429.181654498</v>
      </c>
      <c r="L22" s="1243">
        <f t="shared" si="7"/>
        <v>-301636</v>
      </c>
      <c r="M22" s="1243">
        <f t="shared" si="1"/>
        <v>-13929.333049864797</v>
      </c>
      <c r="N22" s="1243">
        <f t="shared" si="8"/>
        <v>-315565.3330498648</v>
      </c>
      <c r="O22" s="1271"/>
      <c r="P22" s="1271"/>
      <c r="Q22" s="1271"/>
      <c r="R22" s="1271"/>
      <c r="S22" s="1271"/>
      <c r="T22" s="1271"/>
    </row>
    <row r="23" spans="1:20">
      <c r="A23" s="1236">
        <v>16</v>
      </c>
      <c r="B23" s="1237" t="s">
        <v>892</v>
      </c>
      <c r="C23" s="1270">
        <v>10280254</v>
      </c>
      <c r="D23" s="1242">
        <f>'Table 2_State Distrib and Adjs'!AF22</f>
        <v>10424437</v>
      </c>
      <c r="E23" s="1242">
        <f t="shared" si="2"/>
        <v>144183</v>
      </c>
      <c r="F23" s="1242">
        <f t="shared" si="3"/>
        <v>10424437</v>
      </c>
      <c r="G23" s="1238">
        <f>'Table 2A-1_EFT (Annual)'!AD21</f>
        <v>-218712.00068960295</v>
      </c>
      <c r="H23" s="1242">
        <f t="shared" si="4"/>
        <v>10205724.999310397</v>
      </c>
      <c r="I23" s="1242">
        <f t="shared" si="5"/>
        <v>10280254</v>
      </c>
      <c r="J23" s="1238">
        <v>-153706.22482237517</v>
      </c>
      <c r="K23" s="1242">
        <f t="shared" si="6"/>
        <v>10126547.775177624</v>
      </c>
      <c r="L23" s="1242">
        <f t="shared" si="7"/>
        <v>144183</v>
      </c>
      <c r="M23" s="1242">
        <f t="shared" si="1"/>
        <v>-65005.775867227785</v>
      </c>
      <c r="N23" s="1242">
        <f t="shared" si="8"/>
        <v>79177.224132772215</v>
      </c>
      <c r="O23" s="1271"/>
      <c r="P23" s="1271"/>
      <c r="Q23" s="1271"/>
      <c r="R23" s="1271"/>
      <c r="S23" s="1271"/>
      <c r="T23" s="1271"/>
    </row>
    <row r="24" spans="1:20">
      <c r="A24" s="1236">
        <v>17</v>
      </c>
      <c r="B24" s="1237" t="s">
        <v>271</v>
      </c>
      <c r="C24" s="1270">
        <v>165754303</v>
      </c>
      <c r="D24" s="1242">
        <f>'Table 2_State Distrib and Adjs'!AF23</f>
        <v>168970836</v>
      </c>
      <c r="E24" s="1242">
        <f t="shared" si="2"/>
        <v>3216533</v>
      </c>
      <c r="F24" s="1242">
        <f t="shared" si="3"/>
        <v>168970836</v>
      </c>
      <c r="G24" s="1238">
        <f>'Table 2A-1_EFT (Annual)'!AD22</f>
        <v>-19458944.294798587</v>
      </c>
      <c r="H24" s="1242">
        <f t="shared" si="4"/>
        <v>149511891.70520142</v>
      </c>
      <c r="I24" s="1242">
        <f t="shared" si="5"/>
        <v>165754303</v>
      </c>
      <c r="J24" s="1238">
        <v>-14445567.239497075</v>
      </c>
      <c r="K24" s="1242">
        <f t="shared" si="6"/>
        <v>151308735.76050293</v>
      </c>
      <c r="L24" s="1242">
        <f t="shared" si="7"/>
        <v>3216533</v>
      </c>
      <c r="M24" s="1242">
        <f t="shared" si="1"/>
        <v>-5013377.0553015117</v>
      </c>
      <c r="N24" s="1242">
        <f t="shared" si="8"/>
        <v>-1796844.0553015117</v>
      </c>
      <c r="O24" s="1271"/>
      <c r="P24" s="1271"/>
      <c r="Q24" s="1271"/>
      <c r="R24" s="1271"/>
      <c r="S24" s="1271"/>
      <c r="T24" s="1271"/>
    </row>
    <row r="25" spans="1:20">
      <c r="A25" s="1236">
        <v>18</v>
      </c>
      <c r="B25" s="1237" t="s">
        <v>893</v>
      </c>
      <c r="C25" s="1270">
        <v>7739044</v>
      </c>
      <c r="D25" s="1242">
        <f>'Table 2_State Distrib and Adjs'!AF24</f>
        <v>7589773</v>
      </c>
      <c r="E25" s="1242">
        <f t="shared" si="2"/>
        <v>-149271</v>
      </c>
      <c r="F25" s="1242">
        <f t="shared" si="3"/>
        <v>7589773</v>
      </c>
      <c r="G25" s="1238">
        <f>'Table 2A-1_EFT (Annual)'!AD23</f>
        <v>-25700.870172030976</v>
      </c>
      <c r="H25" s="1242">
        <f t="shared" si="4"/>
        <v>7564072.1298279688</v>
      </c>
      <c r="I25" s="1242">
        <f t="shared" si="5"/>
        <v>7739044</v>
      </c>
      <c r="J25" s="1238">
        <v>-13363.086843011282</v>
      </c>
      <c r="K25" s="1242">
        <f t="shared" si="6"/>
        <v>7725680.913156989</v>
      </c>
      <c r="L25" s="1242">
        <f t="shared" si="7"/>
        <v>-149271</v>
      </c>
      <c r="M25" s="1242">
        <f t="shared" si="1"/>
        <v>-12337.783329019694</v>
      </c>
      <c r="N25" s="1242">
        <f t="shared" si="8"/>
        <v>-161608.7833290197</v>
      </c>
      <c r="O25" s="1271"/>
      <c r="P25" s="1271"/>
      <c r="Q25" s="1271"/>
      <c r="R25" s="1271"/>
      <c r="S25" s="1271"/>
      <c r="T25" s="1271"/>
    </row>
    <row r="26" spans="1:20">
      <c r="A26" s="1236">
        <v>19</v>
      </c>
      <c r="B26" s="1237" t="s">
        <v>894</v>
      </c>
      <c r="C26" s="1270">
        <v>11900892</v>
      </c>
      <c r="D26" s="1242">
        <f>'Table 2_State Distrib and Adjs'!AF25</f>
        <v>11788226</v>
      </c>
      <c r="E26" s="1242">
        <f t="shared" si="2"/>
        <v>-112666</v>
      </c>
      <c r="F26" s="1242">
        <f t="shared" si="3"/>
        <v>11788226</v>
      </c>
      <c r="G26" s="1238">
        <f>'Table 2A-1_EFT (Annual)'!AD24</f>
        <v>-59954.019432531371</v>
      </c>
      <c r="H26" s="1242">
        <f t="shared" si="4"/>
        <v>11728271.980567468</v>
      </c>
      <c r="I26" s="1242">
        <f t="shared" si="5"/>
        <v>11900892</v>
      </c>
      <c r="J26" s="1238">
        <v>-10742.438596322201</v>
      </c>
      <c r="K26" s="1242">
        <f t="shared" si="6"/>
        <v>11890149.561403677</v>
      </c>
      <c r="L26" s="1242">
        <f t="shared" si="7"/>
        <v>-112666</v>
      </c>
      <c r="M26" s="1242">
        <f t="shared" si="1"/>
        <v>-49211.58083620917</v>
      </c>
      <c r="N26" s="1242">
        <f t="shared" si="8"/>
        <v>-161877.58083620918</v>
      </c>
      <c r="O26" s="1271"/>
      <c r="P26" s="1271"/>
      <c r="Q26" s="1271"/>
      <c r="R26" s="1271"/>
      <c r="S26" s="1271"/>
      <c r="T26" s="1271"/>
    </row>
    <row r="27" spans="1:20">
      <c r="A27" s="1239">
        <v>20</v>
      </c>
      <c r="B27" s="1240" t="s">
        <v>895</v>
      </c>
      <c r="C27" s="1272">
        <v>34315912</v>
      </c>
      <c r="D27" s="1243">
        <f>'Table 2_State Distrib and Adjs'!AF26</f>
        <v>34973638</v>
      </c>
      <c r="E27" s="1243">
        <f t="shared" si="2"/>
        <v>657726</v>
      </c>
      <c r="F27" s="1243">
        <f t="shared" si="3"/>
        <v>34973638</v>
      </c>
      <c r="G27" s="1241">
        <f>'Table 2A-1_EFT (Annual)'!AD25</f>
        <v>-48901.171032261314</v>
      </c>
      <c r="H27" s="1243">
        <f t="shared" si="4"/>
        <v>34924736.828967735</v>
      </c>
      <c r="I27" s="1243">
        <f t="shared" si="5"/>
        <v>34315912</v>
      </c>
      <c r="J27" s="1241">
        <v>-26761.980892835243</v>
      </c>
      <c r="K27" s="1243">
        <f t="shared" si="6"/>
        <v>34289150.019107163</v>
      </c>
      <c r="L27" s="1243">
        <f t="shared" si="7"/>
        <v>657726</v>
      </c>
      <c r="M27" s="1243">
        <f t="shared" si="1"/>
        <v>-22139.190139426071</v>
      </c>
      <c r="N27" s="1243">
        <f t="shared" si="8"/>
        <v>635586.80986057397</v>
      </c>
      <c r="O27" s="1271"/>
      <c r="P27" s="1271"/>
      <c r="Q27" s="1271"/>
      <c r="R27" s="1271"/>
      <c r="S27" s="1271"/>
      <c r="T27" s="1271"/>
    </row>
    <row r="28" spans="1:20">
      <c r="A28" s="1236">
        <v>21</v>
      </c>
      <c r="B28" s="1237" t="s">
        <v>896</v>
      </c>
      <c r="C28" s="1270">
        <v>18036901</v>
      </c>
      <c r="D28" s="1242">
        <f>'Table 2_State Distrib and Adjs'!AF27</f>
        <v>18612885</v>
      </c>
      <c r="E28" s="1242">
        <f t="shared" si="2"/>
        <v>575984</v>
      </c>
      <c r="F28" s="1242">
        <f t="shared" si="3"/>
        <v>18612885</v>
      </c>
      <c r="G28" s="1238">
        <f>'Table 2A-1_EFT (Annual)'!AD26</f>
        <v>-229767.13869498606</v>
      </c>
      <c r="H28" s="1242">
        <f t="shared" si="4"/>
        <v>18383117.861305013</v>
      </c>
      <c r="I28" s="1242">
        <f t="shared" si="5"/>
        <v>18036901</v>
      </c>
      <c r="J28" s="1238">
        <v>-46866.714798927082</v>
      </c>
      <c r="K28" s="1242">
        <f t="shared" si="6"/>
        <v>17990034.285201073</v>
      </c>
      <c r="L28" s="1242">
        <f t="shared" si="7"/>
        <v>575984</v>
      </c>
      <c r="M28" s="1242">
        <f t="shared" si="1"/>
        <v>-182900.42389605899</v>
      </c>
      <c r="N28" s="1242">
        <f t="shared" si="8"/>
        <v>393083.57610394101</v>
      </c>
      <c r="O28" s="1271"/>
      <c r="P28" s="1271"/>
      <c r="Q28" s="1271"/>
      <c r="R28" s="1271"/>
      <c r="S28" s="1271"/>
      <c r="T28" s="1271"/>
    </row>
    <row r="29" spans="1:20">
      <c r="A29" s="1236">
        <v>22</v>
      </c>
      <c r="B29" s="1237" t="s">
        <v>897</v>
      </c>
      <c r="C29" s="1270">
        <v>22010736</v>
      </c>
      <c r="D29" s="1242">
        <f>'Table 2_State Distrib and Adjs'!AF28</f>
        <v>21897238</v>
      </c>
      <c r="E29" s="1242">
        <f t="shared" si="2"/>
        <v>-113498</v>
      </c>
      <c r="F29" s="1242">
        <f t="shared" si="3"/>
        <v>21897238</v>
      </c>
      <c r="G29" s="1238">
        <f>'Table 2A-1_EFT (Annual)'!AD27</f>
        <v>-21699.582241862063</v>
      </c>
      <c r="H29" s="1242">
        <f t="shared" si="4"/>
        <v>21875538.417758137</v>
      </c>
      <c r="I29" s="1242">
        <f t="shared" si="5"/>
        <v>22010736</v>
      </c>
      <c r="J29" s="1238">
        <v>-7735.4521945536308</v>
      </c>
      <c r="K29" s="1242">
        <f t="shared" si="6"/>
        <v>22003000.547805447</v>
      </c>
      <c r="L29" s="1242">
        <f t="shared" si="7"/>
        <v>-113498</v>
      </c>
      <c r="M29" s="1242">
        <f t="shared" si="1"/>
        <v>-13964.130047308432</v>
      </c>
      <c r="N29" s="1242">
        <f t="shared" si="8"/>
        <v>-127462.13004730843</v>
      </c>
      <c r="O29" s="1271"/>
      <c r="P29" s="1271"/>
      <c r="Q29" s="1271"/>
      <c r="R29" s="1271"/>
      <c r="S29" s="1271"/>
      <c r="T29" s="1271"/>
    </row>
    <row r="30" spans="1:20">
      <c r="A30" s="1236">
        <v>23</v>
      </c>
      <c r="B30" s="1237" t="s">
        <v>898</v>
      </c>
      <c r="C30" s="1270">
        <v>72564754</v>
      </c>
      <c r="D30" s="1242">
        <f>'Table 2_State Distrib and Adjs'!AF29</f>
        <v>72920970</v>
      </c>
      <c r="E30" s="1242">
        <f t="shared" si="2"/>
        <v>356216</v>
      </c>
      <c r="F30" s="1242">
        <f t="shared" si="3"/>
        <v>72920970</v>
      </c>
      <c r="G30" s="1238">
        <f>'Table 2A-1_EFT (Annual)'!AD28</f>
        <v>-367814.63909024087</v>
      </c>
      <c r="H30" s="1242">
        <f t="shared" si="4"/>
        <v>72553155.36090976</v>
      </c>
      <c r="I30" s="1242">
        <f t="shared" si="5"/>
        <v>72564754</v>
      </c>
      <c r="J30" s="1238">
        <v>-49463.069113423378</v>
      </c>
      <c r="K30" s="1242">
        <f t="shared" si="6"/>
        <v>72515290.930886582</v>
      </c>
      <c r="L30" s="1242">
        <f t="shared" si="7"/>
        <v>356216</v>
      </c>
      <c r="M30" s="1242">
        <f t="shared" si="1"/>
        <v>-318351.56997681747</v>
      </c>
      <c r="N30" s="1242">
        <f t="shared" si="8"/>
        <v>37864.430023182533</v>
      </c>
      <c r="O30" s="1271"/>
      <c r="P30" s="1271"/>
      <c r="Q30" s="1271"/>
      <c r="R30" s="1271"/>
      <c r="S30" s="1271"/>
      <c r="T30" s="1271"/>
    </row>
    <row r="31" spans="1:20">
      <c r="A31" s="1236">
        <v>24</v>
      </c>
      <c r="B31" s="1237" t="s">
        <v>899</v>
      </c>
      <c r="C31" s="1270">
        <v>14619554</v>
      </c>
      <c r="D31" s="1242">
        <f>'Table 2_State Distrib and Adjs'!AF30</f>
        <v>15624233</v>
      </c>
      <c r="E31" s="1242">
        <f t="shared" si="2"/>
        <v>1004679</v>
      </c>
      <c r="F31" s="1242">
        <f t="shared" si="3"/>
        <v>15624233</v>
      </c>
      <c r="G31" s="1238">
        <f>'Table 2A-1_EFT (Annual)'!AD29</f>
        <v>-134896.29328557834</v>
      </c>
      <c r="H31" s="1242">
        <f t="shared" si="4"/>
        <v>15489336.706714422</v>
      </c>
      <c r="I31" s="1242">
        <f t="shared" si="5"/>
        <v>14619554</v>
      </c>
      <c r="J31" s="1238">
        <v>-43398.484670112135</v>
      </c>
      <c r="K31" s="1242">
        <f t="shared" si="6"/>
        <v>14576155.515329888</v>
      </c>
      <c r="L31" s="1242">
        <f t="shared" si="7"/>
        <v>1004679</v>
      </c>
      <c r="M31" s="1242">
        <f t="shared" si="1"/>
        <v>-91497.808615466201</v>
      </c>
      <c r="N31" s="1242">
        <f t="shared" si="8"/>
        <v>913181.19138453377</v>
      </c>
      <c r="O31" s="1271"/>
      <c r="P31" s="1271"/>
      <c r="Q31" s="1271"/>
      <c r="R31" s="1271"/>
      <c r="S31" s="1271"/>
      <c r="T31" s="1271"/>
    </row>
    <row r="32" spans="1:20">
      <c r="A32" s="1239">
        <v>25</v>
      </c>
      <c r="B32" s="1240" t="s">
        <v>900</v>
      </c>
      <c r="C32" s="1272">
        <v>9461064</v>
      </c>
      <c r="D32" s="1243">
        <f>'Table 2_State Distrib and Adjs'!AF31</f>
        <v>10013271</v>
      </c>
      <c r="E32" s="1243">
        <f t="shared" si="2"/>
        <v>552207</v>
      </c>
      <c r="F32" s="1243">
        <f t="shared" si="3"/>
        <v>10013271</v>
      </c>
      <c r="G32" s="1241">
        <f>'Table 2A-1_EFT (Annual)'!AD30</f>
        <v>-11063.278890654541</v>
      </c>
      <c r="H32" s="1243">
        <f t="shared" si="4"/>
        <v>10002207.721109346</v>
      </c>
      <c r="I32" s="1243">
        <f t="shared" si="5"/>
        <v>9461064</v>
      </c>
      <c r="J32" s="1241">
        <v>-39997.800000000003</v>
      </c>
      <c r="K32" s="1243">
        <f t="shared" si="6"/>
        <v>9421066.1999999993</v>
      </c>
      <c r="L32" s="1243">
        <f t="shared" si="7"/>
        <v>552207</v>
      </c>
      <c r="M32" s="1243">
        <f t="shared" si="1"/>
        <v>28934.521109345464</v>
      </c>
      <c r="N32" s="1243">
        <f t="shared" si="8"/>
        <v>581141.52110934549</v>
      </c>
      <c r="O32" s="1271"/>
      <c r="P32" s="1271"/>
      <c r="Q32" s="1271"/>
      <c r="R32" s="1271"/>
      <c r="S32" s="1271"/>
      <c r="T32" s="1271"/>
    </row>
    <row r="33" spans="1:20">
      <c r="A33" s="1236">
        <v>26</v>
      </c>
      <c r="B33" s="1237" t="s">
        <v>694</v>
      </c>
      <c r="C33" s="1270">
        <v>171038790</v>
      </c>
      <c r="D33" s="1242">
        <f>'Table 2_State Distrib and Adjs'!AF32</f>
        <v>173068627</v>
      </c>
      <c r="E33" s="1242">
        <f t="shared" si="2"/>
        <v>2029837</v>
      </c>
      <c r="F33" s="1242">
        <f t="shared" si="3"/>
        <v>173068627</v>
      </c>
      <c r="G33" s="1238">
        <f>'Table 2A-1_EFT (Annual)'!AD31</f>
        <v>-4054258.21755563</v>
      </c>
      <c r="H33" s="1242">
        <f t="shared" si="4"/>
        <v>169014368.78244436</v>
      </c>
      <c r="I33" s="1242">
        <f t="shared" si="5"/>
        <v>171038790</v>
      </c>
      <c r="J33" s="1238">
        <v>-858868.45338912844</v>
      </c>
      <c r="K33" s="1242">
        <f t="shared" si="6"/>
        <v>170179921.54661086</v>
      </c>
      <c r="L33" s="1242">
        <f t="shared" si="7"/>
        <v>2029837</v>
      </c>
      <c r="M33" s="1242">
        <f t="shared" si="1"/>
        <v>-3195389.7641665014</v>
      </c>
      <c r="N33" s="1242">
        <f t="shared" si="8"/>
        <v>-1165552.7641665014</v>
      </c>
      <c r="O33" s="1271"/>
      <c r="P33" s="1271"/>
      <c r="Q33" s="1271"/>
      <c r="R33" s="1271"/>
      <c r="S33" s="1271"/>
      <c r="T33" s="1271"/>
    </row>
    <row r="34" spans="1:20">
      <c r="A34" s="1236">
        <v>27</v>
      </c>
      <c r="B34" s="1237" t="s">
        <v>901</v>
      </c>
      <c r="C34" s="1270">
        <v>35843958</v>
      </c>
      <c r="D34" s="1242">
        <f>'Table 2_State Distrib and Adjs'!AF33</f>
        <v>35530770</v>
      </c>
      <c r="E34" s="1242">
        <f t="shared" si="2"/>
        <v>-313188</v>
      </c>
      <c r="F34" s="1242">
        <f t="shared" si="3"/>
        <v>35530770</v>
      </c>
      <c r="G34" s="1238">
        <f>'Table 2A-1_EFT (Annual)'!AD32</f>
        <v>-56886.956521763903</v>
      </c>
      <c r="H34" s="1242">
        <f t="shared" si="4"/>
        <v>35473883.043478236</v>
      </c>
      <c r="I34" s="1242">
        <f t="shared" si="5"/>
        <v>35843958</v>
      </c>
      <c r="J34" s="1238">
        <v>-39164.460313038013</v>
      </c>
      <c r="K34" s="1242">
        <f t="shared" si="6"/>
        <v>35804793.539686963</v>
      </c>
      <c r="L34" s="1242">
        <f t="shared" si="7"/>
        <v>-313188</v>
      </c>
      <c r="M34" s="1242">
        <f t="shared" si="1"/>
        <v>-17722.49620872589</v>
      </c>
      <c r="N34" s="1242">
        <f t="shared" si="8"/>
        <v>-330910.4962087259</v>
      </c>
      <c r="O34" s="1271"/>
      <c r="P34" s="1271"/>
      <c r="Q34" s="1271"/>
      <c r="R34" s="1271"/>
      <c r="S34" s="1271"/>
      <c r="T34" s="1271"/>
    </row>
    <row r="35" spans="1:20">
      <c r="A35" s="1236">
        <v>28</v>
      </c>
      <c r="B35" s="1237" t="s">
        <v>902</v>
      </c>
      <c r="C35" s="1270">
        <v>119913431</v>
      </c>
      <c r="D35" s="1242">
        <f>'Table 2_State Distrib and Adjs'!AF34</f>
        <v>114939850</v>
      </c>
      <c r="E35" s="1242">
        <f t="shared" si="2"/>
        <v>-4973581</v>
      </c>
      <c r="F35" s="1242">
        <f t="shared" si="3"/>
        <v>114939850</v>
      </c>
      <c r="G35" s="1238">
        <f>'Table 2A-1_EFT (Annual)'!AD33</f>
        <v>-432128.02938907407</v>
      </c>
      <c r="H35" s="1242">
        <f t="shared" si="4"/>
        <v>114507721.97061093</v>
      </c>
      <c r="I35" s="1242">
        <f t="shared" si="5"/>
        <v>119913431</v>
      </c>
      <c r="J35" s="1238">
        <v>-325572.30400698114</v>
      </c>
      <c r="K35" s="1242">
        <f t="shared" si="6"/>
        <v>119587858.69599302</v>
      </c>
      <c r="L35" s="1242">
        <f t="shared" si="7"/>
        <v>-4973581</v>
      </c>
      <c r="M35" s="1242">
        <f t="shared" si="1"/>
        <v>-106555.72538209293</v>
      </c>
      <c r="N35" s="1242">
        <f t="shared" si="8"/>
        <v>-5080136.7253820933</v>
      </c>
      <c r="O35" s="1271"/>
      <c r="P35" s="1271"/>
      <c r="Q35" s="1271"/>
      <c r="R35" s="1271"/>
      <c r="S35" s="1271"/>
      <c r="T35" s="1271"/>
    </row>
    <row r="36" spans="1:20">
      <c r="A36" s="1236">
        <v>29</v>
      </c>
      <c r="B36" s="1237" t="s">
        <v>903</v>
      </c>
      <c r="C36" s="1270">
        <v>66646911</v>
      </c>
      <c r="D36" s="1242">
        <f>'Table 2_State Distrib and Adjs'!AF35</f>
        <v>63512913</v>
      </c>
      <c r="E36" s="1242">
        <f t="shared" si="2"/>
        <v>-3133998</v>
      </c>
      <c r="F36" s="1242">
        <f t="shared" si="3"/>
        <v>63512913</v>
      </c>
      <c r="G36" s="1238">
        <f>'Table 2A-1_EFT (Annual)'!AD34</f>
        <v>-396255.38624184026</v>
      </c>
      <c r="H36" s="1242">
        <f t="shared" si="4"/>
        <v>63116657.613758162</v>
      </c>
      <c r="I36" s="1242">
        <f t="shared" si="5"/>
        <v>66646911</v>
      </c>
      <c r="J36" s="1238">
        <v>-137261.50435252854</v>
      </c>
      <c r="K36" s="1242">
        <f t="shared" si="6"/>
        <v>66509649.495647475</v>
      </c>
      <c r="L36" s="1242">
        <f t="shared" si="7"/>
        <v>-3133998</v>
      </c>
      <c r="M36" s="1242">
        <f t="shared" si="1"/>
        <v>-258993.88188931171</v>
      </c>
      <c r="N36" s="1242">
        <f t="shared" si="8"/>
        <v>-3392991.8818893116</v>
      </c>
      <c r="O36" s="1271"/>
      <c r="P36" s="1271"/>
      <c r="Q36" s="1271"/>
      <c r="R36" s="1271"/>
      <c r="S36" s="1271"/>
      <c r="T36" s="1271"/>
    </row>
    <row r="37" spans="1:20">
      <c r="A37" s="1239">
        <v>30</v>
      </c>
      <c r="B37" s="1240" t="s">
        <v>904</v>
      </c>
      <c r="C37" s="1272">
        <v>15857409</v>
      </c>
      <c r="D37" s="1243">
        <f>'Table 2_State Distrib and Adjs'!AF36</f>
        <v>15375094</v>
      </c>
      <c r="E37" s="1243">
        <f t="shared" si="2"/>
        <v>-482315</v>
      </c>
      <c r="F37" s="1243">
        <f t="shared" si="3"/>
        <v>15375094</v>
      </c>
      <c r="G37" s="1241">
        <f>'Table 2A-1_EFT (Annual)'!AD35</f>
        <v>-16847.905907724264</v>
      </c>
      <c r="H37" s="1243">
        <f t="shared" si="4"/>
        <v>15358246.094092276</v>
      </c>
      <c r="I37" s="1243">
        <f t="shared" si="5"/>
        <v>15857409</v>
      </c>
      <c r="J37" s="1241">
        <v>-26632.800000000003</v>
      </c>
      <c r="K37" s="1243">
        <f t="shared" si="6"/>
        <v>15830776.199999999</v>
      </c>
      <c r="L37" s="1243">
        <f t="shared" si="7"/>
        <v>-482315</v>
      </c>
      <c r="M37" s="1243">
        <f t="shared" si="1"/>
        <v>9784.8940922757392</v>
      </c>
      <c r="N37" s="1243">
        <f t="shared" si="8"/>
        <v>-472530.10590772424</v>
      </c>
      <c r="O37" s="1271"/>
      <c r="P37" s="1271"/>
      <c r="Q37" s="1271"/>
      <c r="R37" s="1271"/>
      <c r="S37" s="1271"/>
      <c r="T37" s="1271"/>
    </row>
    <row r="38" spans="1:20">
      <c r="A38" s="1236">
        <v>31</v>
      </c>
      <c r="B38" s="1237" t="s">
        <v>272</v>
      </c>
      <c r="C38" s="1270">
        <v>31378937</v>
      </c>
      <c r="D38" s="1242">
        <f>'Table 2_State Distrib and Adjs'!AF37</f>
        <v>30813758</v>
      </c>
      <c r="E38" s="1242">
        <f t="shared" si="2"/>
        <v>-565179</v>
      </c>
      <c r="F38" s="1242">
        <f t="shared" si="3"/>
        <v>30813758</v>
      </c>
      <c r="G38" s="1238">
        <f>'Table 2A-1_EFT (Annual)'!AD36</f>
        <v>-57483.122306233599</v>
      </c>
      <c r="H38" s="1242">
        <f t="shared" si="4"/>
        <v>30756274.877693765</v>
      </c>
      <c r="I38" s="1242">
        <f t="shared" si="5"/>
        <v>31378937</v>
      </c>
      <c r="J38" s="1238">
        <v>-70125.136967068189</v>
      </c>
      <c r="K38" s="1242">
        <f t="shared" si="6"/>
        <v>31308811.863032933</v>
      </c>
      <c r="L38" s="1242">
        <f t="shared" si="7"/>
        <v>-565179</v>
      </c>
      <c r="M38" s="1242">
        <f t="shared" si="1"/>
        <v>12642.014660834589</v>
      </c>
      <c r="N38" s="1242">
        <f t="shared" si="8"/>
        <v>-552536.98533916543</v>
      </c>
      <c r="O38" s="1271"/>
      <c r="P38" s="1271"/>
      <c r="Q38" s="1271"/>
      <c r="R38" s="1271"/>
      <c r="S38" s="1271"/>
      <c r="T38" s="1271"/>
    </row>
    <row r="39" spans="1:20">
      <c r="A39" s="1236">
        <v>32</v>
      </c>
      <c r="B39" s="1237" t="s">
        <v>905</v>
      </c>
      <c r="C39" s="1270">
        <v>143639245</v>
      </c>
      <c r="D39" s="1242">
        <f>'Table 2_State Distrib and Adjs'!AF38</f>
        <v>146883724</v>
      </c>
      <c r="E39" s="1242">
        <f t="shared" si="2"/>
        <v>3244479</v>
      </c>
      <c r="F39" s="1242">
        <f t="shared" si="3"/>
        <v>146883724</v>
      </c>
      <c r="G39" s="1238">
        <f>'Table 2A-1_EFT (Annual)'!AD37</f>
        <v>-198430.85847964126</v>
      </c>
      <c r="H39" s="1242">
        <f t="shared" si="4"/>
        <v>146685293.14152035</v>
      </c>
      <c r="I39" s="1242">
        <f t="shared" si="5"/>
        <v>143639245</v>
      </c>
      <c r="J39" s="1238">
        <v>-108620.39096483593</v>
      </c>
      <c r="K39" s="1242">
        <f t="shared" si="6"/>
        <v>143530624.60903516</v>
      </c>
      <c r="L39" s="1242">
        <f t="shared" si="7"/>
        <v>3244479</v>
      </c>
      <c r="M39" s="1242">
        <f t="shared" si="1"/>
        <v>-89810.467514805336</v>
      </c>
      <c r="N39" s="1242">
        <f t="shared" si="8"/>
        <v>3154668.5324851945</v>
      </c>
      <c r="O39" s="1271"/>
      <c r="P39" s="1271"/>
      <c r="Q39" s="1271"/>
      <c r="R39" s="1271"/>
      <c r="S39" s="1271"/>
      <c r="T39" s="1271"/>
    </row>
    <row r="40" spans="1:20">
      <c r="A40" s="1236">
        <v>33</v>
      </c>
      <c r="B40" s="1237" t="s">
        <v>906</v>
      </c>
      <c r="C40" s="1270">
        <v>11583176</v>
      </c>
      <c r="D40" s="1242">
        <f>'Table 2_State Distrib and Adjs'!AF39</f>
        <v>11281153</v>
      </c>
      <c r="E40" s="1242">
        <f t="shared" si="2"/>
        <v>-302023</v>
      </c>
      <c r="F40" s="1242">
        <f t="shared" si="3"/>
        <v>11281153</v>
      </c>
      <c r="G40" s="1238">
        <f>'Table 2A-1_EFT (Annual)'!AD38</f>
        <v>-430086.29650896264</v>
      </c>
      <c r="H40" s="1242">
        <f t="shared" si="4"/>
        <v>10851066.703491038</v>
      </c>
      <c r="I40" s="1242">
        <f t="shared" si="5"/>
        <v>11583176</v>
      </c>
      <c r="J40" s="1238">
        <v>-35482.052390871249</v>
      </c>
      <c r="K40" s="1242">
        <f t="shared" si="6"/>
        <v>11547693.947609128</v>
      </c>
      <c r="L40" s="1242">
        <f t="shared" si="7"/>
        <v>-302023</v>
      </c>
      <c r="M40" s="1242">
        <f t="shared" ref="M40:M76" si="9">G40-J40</f>
        <v>-394604.24411809142</v>
      </c>
      <c r="N40" s="1242">
        <f t="shared" si="8"/>
        <v>-696627.24411809142</v>
      </c>
      <c r="O40" s="1271"/>
      <c r="P40" s="1271"/>
      <c r="Q40" s="1271"/>
      <c r="R40" s="1271"/>
      <c r="S40" s="1271"/>
      <c r="T40" s="1271"/>
    </row>
    <row r="41" spans="1:20">
      <c r="A41" s="1236">
        <v>34</v>
      </c>
      <c r="B41" s="1237" t="s">
        <v>907</v>
      </c>
      <c r="C41" s="1270">
        <v>27928528</v>
      </c>
      <c r="D41" s="1242">
        <f>'Table 2_State Distrib and Adjs'!AF40</f>
        <v>27979021</v>
      </c>
      <c r="E41" s="1242">
        <f t="shared" si="2"/>
        <v>50493</v>
      </c>
      <c r="F41" s="1242">
        <f t="shared" si="3"/>
        <v>27979021</v>
      </c>
      <c r="G41" s="1238">
        <f>'Table 2A-1_EFT (Annual)'!AD39</f>
        <v>-63108.097846290322</v>
      </c>
      <c r="H41" s="1242">
        <f t="shared" si="4"/>
        <v>27915912.902153708</v>
      </c>
      <c r="I41" s="1242">
        <f t="shared" si="5"/>
        <v>27928528</v>
      </c>
      <c r="J41" s="1238">
        <v>-27475.199999999997</v>
      </c>
      <c r="K41" s="1242">
        <f t="shared" si="6"/>
        <v>27901052.800000001</v>
      </c>
      <c r="L41" s="1242">
        <f t="shared" si="7"/>
        <v>50493</v>
      </c>
      <c r="M41" s="1242">
        <f t="shared" si="9"/>
        <v>-35632.897846290325</v>
      </c>
      <c r="N41" s="1242">
        <f t="shared" si="8"/>
        <v>14860.102153709675</v>
      </c>
      <c r="O41" s="1271"/>
      <c r="P41" s="1271"/>
      <c r="Q41" s="1271"/>
      <c r="R41" s="1271"/>
      <c r="S41" s="1271"/>
      <c r="T41" s="1271"/>
    </row>
    <row r="42" spans="1:20">
      <c r="A42" s="1239">
        <v>35</v>
      </c>
      <c r="B42" s="1240" t="s">
        <v>908</v>
      </c>
      <c r="C42" s="1272">
        <v>35305967</v>
      </c>
      <c r="D42" s="1243">
        <f>'Table 2_State Distrib and Adjs'!AF41</f>
        <v>34518310</v>
      </c>
      <c r="E42" s="1243">
        <f t="shared" si="2"/>
        <v>-787657</v>
      </c>
      <c r="F42" s="1243">
        <f t="shared" si="3"/>
        <v>34518310</v>
      </c>
      <c r="G42" s="1241">
        <f>'Table 2A-1_EFT (Annual)'!AD40</f>
        <v>-103533.16419931022</v>
      </c>
      <c r="H42" s="1243">
        <f t="shared" si="4"/>
        <v>34414776.835800692</v>
      </c>
      <c r="I42" s="1243">
        <f t="shared" si="5"/>
        <v>35305967</v>
      </c>
      <c r="J42" s="1241">
        <v>-58104.831779960652</v>
      </c>
      <c r="K42" s="1243">
        <f t="shared" si="6"/>
        <v>35247862.168220036</v>
      </c>
      <c r="L42" s="1243">
        <f t="shared" si="7"/>
        <v>-787657</v>
      </c>
      <c r="M42" s="1243">
        <f t="shared" si="9"/>
        <v>-45428.332419349572</v>
      </c>
      <c r="N42" s="1243">
        <f t="shared" si="8"/>
        <v>-833085.33241934958</v>
      </c>
      <c r="O42" s="1271"/>
      <c r="P42" s="1271"/>
      <c r="Q42" s="1271"/>
      <c r="R42" s="1271"/>
      <c r="S42" s="1271"/>
      <c r="T42" s="1271"/>
    </row>
    <row r="43" spans="1:20">
      <c r="A43" s="1236">
        <v>36</v>
      </c>
      <c r="B43" s="1237" t="s">
        <v>262</v>
      </c>
      <c r="C43" s="1270">
        <v>40617521</v>
      </c>
      <c r="D43" s="1242">
        <f>'Table 2_State Distrib and Adjs'!AF42</f>
        <v>45035052</v>
      </c>
      <c r="E43" s="1242">
        <f t="shared" si="2"/>
        <v>4417531</v>
      </c>
      <c r="F43" s="1242">
        <f t="shared" si="3"/>
        <v>45035052</v>
      </c>
      <c r="G43" s="1238">
        <f>'Table 2A-1_EFT (Annual)'!AD41</f>
        <v>-128328639.56175753</v>
      </c>
      <c r="H43" s="1242">
        <f t="shared" si="4"/>
        <v>-83293587.561757535</v>
      </c>
      <c r="I43" s="1242">
        <f t="shared" si="5"/>
        <v>40617521</v>
      </c>
      <c r="J43" s="1238">
        <v>-111165768.58746861</v>
      </c>
      <c r="K43" s="1242">
        <f t="shared" si="6"/>
        <v>-70548247.587468609</v>
      </c>
      <c r="L43" s="1242">
        <f t="shared" si="7"/>
        <v>4417531</v>
      </c>
      <c r="M43" s="1242">
        <f t="shared" si="9"/>
        <v>-17162870.974288926</v>
      </c>
      <c r="N43" s="1242">
        <f t="shared" si="8"/>
        <v>-12745339.974288926</v>
      </c>
      <c r="O43" s="1271"/>
      <c r="P43" s="1271"/>
      <c r="Q43" s="1271"/>
      <c r="R43" s="1271"/>
      <c r="S43" s="1271"/>
      <c r="T43" s="1271"/>
    </row>
    <row r="44" spans="1:20">
      <c r="A44" s="1236">
        <v>37</v>
      </c>
      <c r="B44" s="1237" t="s">
        <v>273</v>
      </c>
      <c r="C44" s="1270">
        <v>116351640</v>
      </c>
      <c r="D44" s="1242">
        <f>'Table 2_State Distrib and Adjs'!AF43</f>
        <v>117844576</v>
      </c>
      <c r="E44" s="1242">
        <f t="shared" si="2"/>
        <v>1492936</v>
      </c>
      <c r="F44" s="1242">
        <f t="shared" si="3"/>
        <v>117844576</v>
      </c>
      <c r="G44" s="1238">
        <f>'Table 2A-1_EFT (Annual)'!AD42</f>
        <v>-594175.97340676084</v>
      </c>
      <c r="H44" s="1242">
        <f t="shared" si="4"/>
        <v>117250400.02659324</v>
      </c>
      <c r="I44" s="1242">
        <f t="shared" si="5"/>
        <v>116351640</v>
      </c>
      <c r="J44" s="1238">
        <v>-116517.97374480491</v>
      </c>
      <c r="K44" s="1242">
        <f t="shared" si="6"/>
        <v>116235122.02625519</v>
      </c>
      <c r="L44" s="1242">
        <f t="shared" si="7"/>
        <v>1492936</v>
      </c>
      <c r="M44" s="1242">
        <f t="shared" si="9"/>
        <v>-477657.99966195592</v>
      </c>
      <c r="N44" s="1242">
        <f t="shared" si="8"/>
        <v>1015278.000338044</v>
      </c>
      <c r="O44" s="1271"/>
      <c r="P44" s="1271"/>
      <c r="Q44" s="1271"/>
      <c r="R44" s="1271"/>
      <c r="S44" s="1271"/>
      <c r="T44" s="1271"/>
    </row>
    <row r="45" spans="1:20">
      <c r="A45" s="1236">
        <v>38</v>
      </c>
      <c r="B45" s="1237" t="s">
        <v>909</v>
      </c>
      <c r="C45" s="1270">
        <v>12032044</v>
      </c>
      <c r="D45" s="1242">
        <f>'Table 2_State Distrib and Adjs'!AF44</f>
        <v>11317998</v>
      </c>
      <c r="E45" s="1242">
        <f t="shared" si="2"/>
        <v>-714046</v>
      </c>
      <c r="F45" s="1242">
        <f t="shared" si="3"/>
        <v>11317998</v>
      </c>
      <c r="G45" s="1238">
        <f>'Table 2A-1_EFT (Annual)'!AD43</f>
        <v>-866481.69431282883</v>
      </c>
      <c r="H45" s="1242">
        <f t="shared" si="4"/>
        <v>10451516.30568717</v>
      </c>
      <c r="I45" s="1242">
        <f t="shared" si="5"/>
        <v>12032044</v>
      </c>
      <c r="J45" s="1238">
        <v>-70232.399999999994</v>
      </c>
      <c r="K45" s="1242">
        <f t="shared" si="6"/>
        <v>11961811.6</v>
      </c>
      <c r="L45" s="1242">
        <f t="shared" si="7"/>
        <v>-714046</v>
      </c>
      <c r="M45" s="1242">
        <f t="shared" si="9"/>
        <v>-796249.2943128288</v>
      </c>
      <c r="N45" s="1242">
        <f t="shared" si="8"/>
        <v>-1510295.2943128287</v>
      </c>
      <c r="O45" s="1271"/>
      <c r="P45" s="1271"/>
      <c r="Q45" s="1271"/>
      <c r="R45" s="1271"/>
      <c r="S45" s="1271"/>
      <c r="T45" s="1271"/>
    </row>
    <row r="46" spans="1:20">
      <c r="A46" s="1236">
        <v>39</v>
      </c>
      <c r="B46" s="1237" t="s">
        <v>910</v>
      </c>
      <c r="C46" s="1270">
        <v>11052606</v>
      </c>
      <c r="D46" s="1242">
        <f>'Table 2_State Distrib and Adjs'!AF45</f>
        <v>11533169</v>
      </c>
      <c r="E46" s="1242">
        <f t="shared" si="2"/>
        <v>480563</v>
      </c>
      <c r="F46" s="1242">
        <f t="shared" si="3"/>
        <v>11533169</v>
      </c>
      <c r="G46" s="1238">
        <f>'Table 2A-1_EFT (Annual)'!AD44</f>
        <v>-1234970.2271729626</v>
      </c>
      <c r="H46" s="1242">
        <f t="shared" si="4"/>
        <v>10298198.772827037</v>
      </c>
      <c r="I46" s="1242">
        <f t="shared" si="5"/>
        <v>11052606</v>
      </c>
      <c r="J46" s="1238">
        <v>-1247084.3695638839</v>
      </c>
      <c r="K46" s="1242">
        <f t="shared" si="6"/>
        <v>9805521.6304361168</v>
      </c>
      <c r="L46" s="1242">
        <f t="shared" si="7"/>
        <v>480563</v>
      </c>
      <c r="M46" s="1242">
        <f t="shared" si="9"/>
        <v>12114.142390921246</v>
      </c>
      <c r="N46" s="1242">
        <f t="shared" si="8"/>
        <v>492677.14239092125</v>
      </c>
      <c r="O46" s="1271"/>
      <c r="P46" s="1271"/>
      <c r="Q46" s="1271"/>
      <c r="R46" s="1271"/>
      <c r="S46" s="1271"/>
      <c r="T46" s="1271"/>
    </row>
    <row r="47" spans="1:20">
      <c r="A47" s="1239">
        <v>40</v>
      </c>
      <c r="B47" s="1240" t="s">
        <v>911</v>
      </c>
      <c r="C47" s="1272">
        <v>125122344</v>
      </c>
      <c r="D47" s="1243">
        <f>'Table 2_State Distrib and Adjs'!AF46</f>
        <v>127817357</v>
      </c>
      <c r="E47" s="1243">
        <f t="shared" si="2"/>
        <v>2695013</v>
      </c>
      <c r="F47" s="1243">
        <f t="shared" si="3"/>
        <v>127817357</v>
      </c>
      <c r="G47" s="1241">
        <f>'Table 2A-1_EFT (Annual)'!AD45</f>
        <v>-255382.39571620777</v>
      </c>
      <c r="H47" s="1243">
        <f t="shared" si="4"/>
        <v>127561974.60428379</v>
      </c>
      <c r="I47" s="1243">
        <f t="shared" si="5"/>
        <v>125122344</v>
      </c>
      <c r="J47" s="1241">
        <v>-154370.21950517435</v>
      </c>
      <c r="K47" s="1243">
        <f t="shared" si="6"/>
        <v>124967973.78049482</v>
      </c>
      <c r="L47" s="1243">
        <f t="shared" si="7"/>
        <v>2695013</v>
      </c>
      <c r="M47" s="1243">
        <f t="shared" si="9"/>
        <v>-101012.17621103342</v>
      </c>
      <c r="N47" s="1243">
        <f t="shared" si="8"/>
        <v>2594000.8237889665</v>
      </c>
      <c r="O47" s="1271"/>
      <c r="P47" s="1271"/>
      <c r="Q47" s="1271"/>
      <c r="R47" s="1271"/>
      <c r="S47" s="1271"/>
      <c r="T47" s="1271"/>
    </row>
    <row r="48" spans="1:20">
      <c r="A48" s="1236">
        <v>41</v>
      </c>
      <c r="B48" s="1237" t="s">
        <v>912</v>
      </c>
      <c r="C48" s="1270">
        <v>4428638</v>
      </c>
      <c r="D48" s="1242">
        <f>'Table 2_State Distrib and Adjs'!AF47</f>
        <v>3489487</v>
      </c>
      <c r="E48" s="1242">
        <f t="shared" si="2"/>
        <v>-939151</v>
      </c>
      <c r="F48" s="1242">
        <f t="shared" si="3"/>
        <v>3489487</v>
      </c>
      <c r="G48" s="1238">
        <f>'Table 2A-1_EFT (Annual)'!AD46</f>
        <v>-57757.600107007485</v>
      </c>
      <c r="H48" s="1242">
        <f t="shared" si="4"/>
        <v>3431729.3998929923</v>
      </c>
      <c r="I48" s="1242">
        <f t="shared" si="5"/>
        <v>4428638</v>
      </c>
      <c r="J48" s="1238">
        <v>-121227.89446778716</v>
      </c>
      <c r="K48" s="1242">
        <f t="shared" si="6"/>
        <v>4307410.1055322131</v>
      </c>
      <c r="L48" s="1242">
        <f t="shared" si="7"/>
        <v>-939151</v>
      </c>
      <c r="M48" s="1242">
        <f t="shared" si="9"/>
        <v>63470.294360779677</v>
      </c>
      <c r="N48" s="1242">
        <f t="shared" si="8"/>
        <v>-875680.70563922031</v>
      </c>
      <c r="O48" s="1271"/>
      <c r="P48" s="1271"/>
      <c r="Q48" s="1271"/>
      <c r="R48" s="1271"/>
      <c r="S48" s="1271"/>
      <c r="T48" s="1271"/>
    </row>
    <row r="49" spans="1:20">
      <c r="A49" s="1236">
        <v>42</v>
      </c>
      <c r="B49" s="1237" t="s">
        <v>913</v>
      </c>
      <c r="C49" s="1270">
        <v>19963108</v>
      </c>
      <c r="D49" s="1242">
        <f>'Table 2_State Distrib and Adjs'!AF48</f>
        <v>19815624</v>
      </c>
      <c r="E49" s="1242">
        <f t="shared" si="2"/>
        <v>-147484</v>
      </c>
      <c r="F49" s="1242">
        <f t="shared" si="3"/>
        <v>19815624</v>
      </c>
      <c r="G49" s="1238">
        <f>'Table 2A-1_EFT (Annual)'!AD47</f>
        <v>-964964.18299805559</v>
      </c>
      <c r="H49" s="1242">
        <f t="shared" si="4"/>
        <v>18850659.817001946</v>
      </c>
      <c r="I49" s="1242">
        <f t="shared" si="5"/>
        <v>19963108</v>
      </c>
      <c r="J49" s="1238">
        <v>-57652.194310123203</v>
      </c>
      <c r="K49" s="1242">
        <f t="shared" si="6"/>
        <v>19905455.805689875</v>
      </c>
      <c r="L49" s="1242">
        <f t="shared" si="7"/>
        <v>-147484</v>
      </c>
      <c r="M49" s="1242">
        <f t="shared" si="9"/>
        <v>-907311.98868793237</v>
      </c>
      <c r="N49" s="1242">
        <f t="shared" si="8"/>
        <v>-1054795.9886879325</v>
      </c>
      <c r="O49" s="1271"/>
      <c r="P49" s="1271"/>
      <c r="Q49" s="1271"/>
      <c r="R49" s="1271"/>
      <c r="S49" s="1271"/>
      <c r="T49" s="1271"/>
    </row>
    <row r="50" spans="1:20">
      <c r="A50" s="1236">
        <v>43</v>
      </c>
      <c r="B50" s="1237" t="s">
        <v>914</v>
      </c>
      <c r="C50" s="1270">
        <v>26013536</v>
      </c>
      <c r="D50" s="1242">
        <f>'Table 2_State Distrib and Adjs'!AF49</f>
        <v>24431186</v>
      </c>
      <c r="E50" s="1242">
        <f t="shared" si="2"/>
        <v>-1582350</v>
      </c>
      <c r="F50" s="1242">
        <f t="shared" si="3"/>
        <v>24431186</v>
      </c>
      <c r="G50" s="1238">
        <f>'Table 2A-1_EFT (Annual)'!AD48</f>
        <v>-114867.01933904516</v>
      </c>
      <c r="H50" s="1242">
        <f t="shared" si="4"/>
        <v>24316318.980660956</v>
      </c>
      <c r="I50" s="1242">
        <f t="shared" si="5"/>
        <v>26013536</v>
      </c>
      <c r="J50" s="1238">
        <v>-47070.573889455467</v>
      </c>
      <c r="K50" s="1242">
        <f t="shared" si="6"/>
        <v>25966465.426110543</v>
      </c>
      <c r="L50" s="1242">
        <f t="shared" si="7"/>
        <v>-1582350</v>
      </c>
      <c r="M50" s="1242">
        <f t="shared" si="9"/>
        <v>-67796.445449589693</v>
      </c>
      <c r="N50" s="1242">
        <f t="shared" si="8"/>
        <v>-1650146.4454495898</v>
      </c>
      <c r="O50" s="1271"/>
      <c r="P50" s="1271"/>
      <c r="Q50" s="1271"/>
      <c r="R50" s="1271"/>
      <c r="S50" s="1271"/>
      <c r="T50" s="1271"/>
    </row>
    <row r="51" spans="1:20">
      <c r="A51" s="1236">
        <v>44</v>
      </c>
      <c r="B51" s="1237" t="s">
        <v>915</v>
      </c>
      <c r="C51" s="1270">
        <v>27254564</v>
      </c>
      <c r="D51" s="1242">
        <f>'Table 2_State Distrib and Adjs'!AF50</f>
        <v>27915316</v>
      </c>
      <c r="E51" s="1242">
        <f t="shared" si="2"/>
        <v>660752</v>
      </c>
      <c r="F51" s="1242">
        <f t="shared" si="3"/>
        <v>27915316</v>
      </c>
      <c r="G51" s="1238">
        <f>'Table 2A-1_EFT (Annual)'!AD49</f>
        <v>-150399.57479460089</v>
      </c>
      <c r="H51" s="1242">
        <f t="shared" si="4"/>
        <v>27764916.425205398</v>
      </c>
      <c r="I51" s="1242">
        <f t="shared" si="5"/>
        <v>27254564</v>
      </c>
      <c r="J51" s="1238">
        <v>-71463.096668904662</v>
      </c>
      <c r="K51" s="1242">
        <f t="shared" si="6"/>
        <v>27183100.903331093</v>
      </c>
      <c r="L51" s="1242">
        <f t="shared" si="7"/>
        <v>660752</v>
      </c>
      <c r="M51" s="1242">
        <f t="shared" si="9"/>
        <v>-78936.478125696231</v>
      </c>
      <c r="N51" s="1242">
        <f t="shared" si="8"/>
        <v>581815.52187430381</v>
      </c>
      <c r="O51" s="1271"/>
      <c r="P51" s="1271"/>
      <c r="Q51" s="1271"/>
      <c r="R51" s="1271"/>
      <c r="S51" s="1271"/>
      <c r="T51" s="1271"/>
    </row>
    <row r="52" spans="1:20">
      <c r="A52" s="1239">
        <v>45</v>
      </c>
      <c r="B52" s="1240" t="s">
        <v>916</v>
      </c>
      <c r="C52" s="1272">
        <v>29994167</v>
      </c>
      <c r="D52" s="1243">
        <f>'Table 2_State Distrib and Adjs'!AF51</f>
        <v>29783752</v>
      </c>
      <c r="E52" s="1243">
        <f t="shared" si="2"/>
        <v>-210415</v>
      </c>
      <c r="F52" s="1243">
        <f t="shared" si="3"/>
        <v>29783752</v>
      </c>
      <c r="G52" s="1241">
        <f>'Table 2A-1_EFT (Annual)'!AD50</f>
        <v>-300927.30254357855</v>
      </c>
      <c r="H52" s="1243">
        <f t="shared" si="4"/>
        <v>29482824.697456423</v>
      </c>
      <c r="I52" s="1243">
        <f t="shared" si="5"/>
        <v>29994167</v>
      </c>
      <c r="J52" s="1241">
        <v>-140772.65237544125</v>
      </c>
      <c r="K52" s="1243">
        <f t="shared" si="6"/>
        <v>29853394.347624559</v>
      </c>
      <c r="L52" s="1243">
        <f t="shared" si="7"/>
        <v>-210415</v>
      </c>
      <c r="M52" s="1243">
        <f t="shared" si="9"/>
        <v>-160154.6501681373</v>
      </c>
      <c r="N52" s="1243">
        <f t="shared" si="8"/>
        <v>-370569.65016813728</v>
      </c>
      <c r="O52" s="1271"/>
      <c r="P52" s="1271"/>
      <c r="Q52" s="1271"/>
      <c r="R52" s="1271"/>
      <c r="S52" s="1271"/>
      <c r="T52" s="1271"/>
    </row>
    <row r="53" spans="1:20">
      <c r="A53" s="1236">
        <v>46</v>
      </c>
      <c r="B53" s="1237" t="s">
        <v>917</v>
      </c>
      <c r="C53" s="1270">
        <v>4862182</v>
      </c>
      <c r="D53" s="1242">
        <f>'Table 2_State Distrib and Adjs'!AF52</f>
        <v>4865679</v>
      </c>
      <c r="E53" s="1242">
        <f t="shared" si="2"/>
        <v>3497</v>
      </c>
      <c r="F53" s="1242">
        <f t="shared" si="3"/>
        <v>4865679</v>
      </c>
      <c r="G53" s="1238">
        <f>'Table 2A-1_EFT (Annual)'!AD51</f>
        <v>-335291.7</v>
      </c>
      <c r="H53" s="1242">
        <f t="shared" si="4"/>
        <v>4530387.3</v>
      </c>
      <c r="I53" s="1242">
        <f t="shared" si="5"/>
        <v>4862182</v>
      </c>
      <c r="J53" s="1238">
        <v>-421885.8</v>
      </c>
      <c r="K53" s="1242">
        <f t="shared" si="6"/>
        <v>4440296.2</v>
      </c>
      <c r="L53" s="1242">
        <f t="shared" si="7"/>
        <v>3497</v>
      </c>
      <c r="M53" s="1242">
        <f t="shared" si="9"/>
        <v>86594.099999999977</v>
      </c>
      <c r="N53" s="1242">
        <f t="shared" si="8"/>
        <v>90091.099999999977</v>
      </c>
      <c r="O53" s="1271"/>
      <c r="P53" s="1271"/>
      <c r="Q53" s="1271"/>
      <c r="R53" s="1271"/>
      <c r="S53" s="1271"/>
      <c r="T53" s="1271"/>
    </row>
    <row r="54" spans="1:20">
      <c r="A54" s="1236">
        <v>47</v>
      </c>
      <c r="B54" s="1237" t="s">
        <v>918</v>
      </c>
      <c r="C54" s="1270">
        <v>16145968</v>
      </c>
      <c r="D54" s="1242">
        <f>'Table 2_State Distrib and Adjs'!AF53</f>
        <v>14887375</v>
      </c>
      <c r="E54" s="1242">
        <f t="shared" si="2"/>
        <v>-1258593</v>
      </c>
      <c r="F54" s="1242">
        <f t="shared" si="3"/>
        <v>14887375</v>
      </c>
      <c r="G54" s="1238">
        <f>'Table 2A-1_EFT (Annual)'!AD52</f>
        <v>-80134.958467773424</v>
      </c>
      <c r="H54" s="1242">
        <f t="shared" si="4"/>
        <v>14807240.041532226</v>
      </c>
      <c r="I54" s="1242">
        <f t="shared" si="5"/>
        <v>16145968</v>
      </c>
      <c r="J54" s="1238">
        <v>-42813</v>
      </c>
      <c r="K54" s="1242">
        <f t="shared" si="6"/>
        <v>16103155</v>
      </c>
      <c r="L54" s="1242">
        <f t="shared" si="7"/>
        <v>-1258593</v>
      </c>
      <c r="M54" s="1242">
        <f t="shared" si="9"/>
        <v>-37321.958467773424</v>
      </c>
      <c r="N54" s="1242">
        <f t="shared" si="8"/>
        <v>-1295914.9584677734</v>
      </c>
      <c r="O54" s="1271"/>
      <c r="P54" s="1271"/>
      <c r="Q54" s="1271"/>
      <c r="R54" s="1271"/>
      <c r="S54" s="1271"/>
      <c r="T54" s="1271"/>
    </row>
    <row r="55" spans="1:20">
      <c r="A55" s="1236">
        <v>48</v>
      </c>
      <c r="B55" s="1237" t="s">
        <v>919</v>
      </c>
      <c r="C55" s="1270">
        <v>26043035</v>
      </c>
      <c r="D55" s="1242">
        <f>'Table 2_State Distrib and Adjs'!AF54</f>
        <v>31796601</v>
      </c>
      <c r="E55" s="1242">
        <f t="shared" si="2"/>
        <v>5753566</v>
      </c>
      <c r="F55" s="1242">
        <f t="shared" si="3"/>
        <v>31796601</v>
      </c>
      <c r="G55" s="1238">
        <f>'Table 2A-1_EFT (Annual)'!AD53</f>
        <v>-149206.24705258818</v>
      </c>
      <c r="H55" s="1242">
        <f t="shared" si="4"/>
        <v>31647394.752947412</v>
      </c>
      <c r="I55" s="1242">
        <f t="shared" si="5"/>
        <v>26043035</v>
      </c>
      <c r="J55" s="1238">
        <v>-86339.120525318896</v>
      </c>
      <c r="K55" s="1242">
        <f t="shared" si="6"/>
        <v>25956695.879474681</v>
      </c>
      <c r="L55" s="1242">
        <f t="shared" si="7"/>
        <v>5753566</v>
      </c>
      <c r="M55" s="1242">
        <f t="shared" si="9"/>
        <v>-62867.126527269284</v>
      </c>
      <c r="N55" s="1242">
        <f t="shared" si="8"/>
        <v>5690698.8734727306</v>
      </c>
      <c r="O55" s="1271"/>
      <c r="P55" s="1271"/>
      <c r="Q55" s="1271"/>
      <c r="R55" s="1271"/>
      <c r="S55" s="1271"/>
      <c r="T55" s="1271"/>
    </row>
    <row r="56" spans="1:20">
      <c r="A56" s="1236">
        <v>49</v>
      </c>
      <c r="B56" s="1237" t="s">
        <v>745</v>
      </c>
      <c r="C56" s="1270">
        <v>75756845</v>
      </c>
      <c r="D56" s="1242">
        <f>'Table 2_State Distrib and Adjs'!AF55</f>
        <v>77443833</v>
      </c>
      <c r="E56" s="1242">
        <f t="shared" si="2"/>
        <v>1686988</v>
      </c>
      <c r="F56" s="1242">
        <f t="shared" si="3"/>
        <v>77443833</v>
      </c>
      <c r="G56" s="1238">
        <f>'Table 2A-1_EFT (Annual)'!AD54</f>
        <v>-579214.39186358766</v>
      </c>
      <c r="H56" s="1242">
        <f t="shared" si="4"/>
        <v>76864618.608136415</v>
      </c>
      <c r="I56" s="1242">
        <f t="shared" si="5"/>
        <v>75756845</v>
      </c>
      <c r="J56" s="1238">
        <v>-102138.68899869427</v>
      </c>
      <c r="K56" s="1242">
        <f t="shared" si="6"/>
        <v>75654706.311001301</v>
      </c>
      <c r="L56" s="1242">
        <f t="shared" si="7"/>
        <v>1686988</v>
      </c>
      <c r="M56" s="1242">
        <f t="shared" si="9"/>
        <v>-477075.70286489336</v>
      </c>
      <c r="N56" s="1242">
        <f t="shared" si="8"/>
        <v>1209912.2971351068</v>
      </c>
      <c r="O56" s="1271"/>
      <c r="P56" s="1271"/>
      <c r="Q56" s="1271"/>
      <c r="R56" s="1271"/>
      <c r="S56" s="1271"/>
      <c r="T56" s="1271"/>
    </row>
    <row r="57" spans="1:20">
      <c r="A57" s="1239">
        <v>50</v>
      </c>
      <c r="B57" s="1240" t="s">
        <v>920</v>
      </c>
      <c r="C57" s="1272">
        <v>46150777</v>
      </c>
      <c r="D57" s="1243">
        <f>'Table 2_State Distrib and Adjs'!AF56</f>
        <v>45396431</v>
      </c>
      <c r="E57" s="1243">
        <f t="shared" si="2"/>
        <v>-754346</v>
      </c>
      <c r="F57" s="1243">
        <f t="shared" si="3"/>
        <v>45396431</v>
      </c>
      <c r="G57" s="1241">
        <f>'Table 2A-1_EFT (Annual)'!AD55</f>
        <v>-67301.275513524102</v>
      </c>
      <c r="H57" s="1243">
        <f t="shared" si="4"/>
        <v>45329129.724486478</v>
      </c>
      <c r="I57" s="1243">
        <f t="shared" si="5"/>
        <v>46150777</v>
      </c>
      <c r="J57" s="1241">
        <v>-59785.811635111735</v>
      </c>
      <c r="K57" s="1243">
        <f t="shared" si="6"/>
        <v>46090991.188364886</v>
      </c>
      <c r="L57" s="1243">
        <f t="shared" si="7"/>
        <v>-754346</v>
      </c>
      <c r="M57" s="1243">
        <f t="shared" si="9"/>
        <v>-7515.4638784123672</v>
      </c>
      <c r="N57" s="1243">
        <f t="shared" si="8"/>
        <v>-761861.46387841238</v>
      </c>
      <c r="O57" s="1271"/>
      <c r="P57" s="1271"/>
      <c r="Q57" s="1271"/>
      <c r="R57" s="1271"/>
      <c r="S57" s="1271"/>
      <c r="T57" s="1271"/>
    </row>
    <row r="58" spans="1:20">
      <c r="A58" s="1236">
        <v>51</v>
      </c>
      <c r="B58" s="1237" t="s">
        <v>921</v>
      </c>
      <c r="C58" s="1270">
        <v>47129645</v>
      </c>
      <c r="D58" s="1242">
        <f>'Table 2_State Distrib and Adjs'!AF57</f>
        <v>46010969</v>
      </c>
      <c r="E58" s="1242">
        <f t="shared" si="2"/>
        <v>-1118676</v>
      </c>
      <c r="F58" s="1242">
        <f t="shared" si="3"/>
        <v>46010969</v>
      </c>
      <c r="G58" s="1238">
        <f>'Table 2A-1_EFT (Annual)'!AD56</f>
        <v>-1223769.3956224462</v>
      </c>
      <c r="H58" s="1242">
        <f t="shared" si="4"/>
        <v>44787199.604377553</v>
      </c>
      <c r="I58" s="1242">
        <f t="shared" si="5"/>
        <v>47129645</v>
      </c>
      <c r="J58" s="1238">
        <v>-48519.258632779747</v>
      </c>
      <c r="K58" s="1242">
        <f t="shared" si="6"/>
        <v>47081125.741367221</v>
      </c>
      <c r="L58" s="1242">
        <f t="shared" si="7"/>
        <v>-1118676</v>
      </c>
      <c r="M58" s="1242">
        <f t="shared" si="9"/>
        <v>-1175250.1369896664</v>
      </c>
      <c r="N58" s="1242">
        <f t="shared" si="8"/>
        <v>-2293926.1369896661</v>
      </c>
      <c r="O58" s="1271"/>
      <c r="P58" s="1271"/>
      <c r="Q58" s="1271"/>
      <c r="R58" s="1271"/>
      <c r="S58" s="1271"/>
      <c r="T58" s="1271"/>
    </row>
    <row r="59" spans="1:20">
      <c r="A59" s="1236">
        <v>52</v>
      </c>
      <c r="B59" s="1237" t="s">
        <v>695</v>
      </c>
      <c r="C59" s="1270">
        <v>204014489</v>
      </c>
      <c r="D59" s="1242">
        <f>'Table 2_State Distrib and Adjs'!AF58</f>
        <v>203050726</v>
      </c>
      <c r="E59" s="1242">
        <f t="shared" si="2"/>
        <v>-963763</v>
      </c>
      <c r="F59" s="1242">
        <f t="shared" si="3"/>
        <v>203050726</v>
      </c>
      <c r="G59" s="1238">
        <f>'Table 2A-1_EFT (Annual)'!AD57</f>
        <v>-782003.4334912562</v>
      </c>
      <c r="H59" s="1242">
        <f t="shared" si="4"/>
        <v>202268722.56650874</v>
      </c>
      <c r="I59" s="1242">
        <f t="shared" si="5"/>
        <v>204014489</v>
      </c>
      <c r="J59" s="1238">
        <v>-556788.62928797188</v>
      </c>
      <c r="K59" s="1242">
        <f t="shared" si="6"/>
        <v>203457700.37071204</v>
      </c>
      <c r="L59" s="1242">
        <f t="shared" si="7"/>
        <v>-963763</v>
      </c>
      <c r="M59" s="1242">
        <f t="shared" si="9"/>
        <v>-225214.80420328432</v>
      </c>
      <c r="N59" s="1242">
        <f t="shared" si="8"/>
        <v>-1188977.8042032844</v>
      </c>
      <c r="O59" s="1271"/>
      <c r="P59" s="1271"/>
      <c r="Q59" s="1271"/>
      <c r="R59" s="1271"/>
      <c r="S59" s="1271"/>
      <c r="T59" s="1271"/>
    </row>
    <row r="60" spans="1:20">
      <c r="A60" s="1236">
        <v>53</v>
      </c>
      <c r="B60" s="1237" t="s">
        <v>922</v>
      </c>
      <c r="C60" s="1270">
        <v>101289495</v>
      </c>
      <c r="D60" s="1242">
        <f>'Table 2_State Distrib and Adjs'!AF59</f>
        <v>103628612</v>
      </c>
      <c r="E60" s="1242">
        <f t="shared" si="2"/>
        <v>2339117</v>
      </c>
      <c r="F60" s="1242">
        <f t="shared" si="3"/>
        <v>103628612</v>
      </c>
      <c r="G60" s="1238">
        <f>'Table 2A-1_EFT (Annual)'!AD58</f>
        <v>-179679.83051507588</v>
      </c>
      <c r="H60" s="1242">
        <f t="shared" si="4"/>
        <v>103448932.16948493</v>
      </c>
      <c r="I60" s="1242">
        <f t="shared" si="5"/>
        <v>101289495</v>
      </c>
      <c r="J60" s="1238">
        <v>-171459.47866415727</v>
      </c>
      <c r="K60" s="1242">
        <f t="shared" si="6"/>
        <v>101118035.52133584</v>
      </c>
      <c r="L60" s="1242">
        <f t="shared" si="7"/>
        <v>2339117</v>
      </c>
      <c r="M60" s="1242">
        <f t="shared" si="9"/>
        <v>-8220.3518509186106</v>
      </c>
      <c r="N60" s="1242">
        <f t="shared" si="8"/>
        <v>2330896.6481490815</v>
      </c>
      <c r="O60" s="1271"/>
      <c r="P60" s="1271"/>
      <c r="Q60" s="1271"/>
      <c r="R60" s="1271"/>
      <c r="S60" s="1271"/>
      <c r="T60" s="1271"/>
    </row>
    <row r="61" spans="1:20">
      <c r="A61" s="1236">
        <v>54</v>
      </c>
      <c r="B61" s="1237" t="s">
        <v>923</v>
      </c>
      <c r="C61" s="1270">
        <v>4454645</v>
      </c>
      <c r="D61" s="1242">
        <f>'Table 2_State Distrib and Adjs'!AF60</f>
        <v>4827062</v>
      </c>
      <c r="E61" s="1242">
        <f t="shared" si="2"/>
        <v>372417</v>
      </c>
      <c r="F61" s="1242">
        <f t="shared" si="3"/>
        <v>4827062</v>
      </c>
      <c r="G61" s="1238">
        <f>'Table 2A-1_EFT (Annual)'!AD59</f>
        <v>-18944.156810955035</v>
      </c>
      <c r="H61" s="1242">
        <f t="shared" si="4"/>
        <v>4808117.8431890449</v>
      </c>
      <c r="I61" s="1242">
        <f t="shared" si="5"/>
        <v>4454645</v>
      </c>
      <c r="J61" s="1238">
        <v>-2744.0128538941144</v>
      </c>
      <c r="K61" s="1242">
        <f t="shared" si="6"/>
        <v>4451900.9871461056</v>
      </c>
      <c r="L61" s="1242">
        <f t="shared" si="7"/>
        <v>372417</v>
      </c>
      <c r="M61" s="1242">
        <f t="shared" si="9"/>
        <v>-16200.143957060922</v>
      </c>
      <c r="N61" s="1242">
        <f t="shared" si="8"/>
        <v>356216.85604293906</v>
      </c>
      <c r="O61" s="1271"/>
      <c r="P61" s="1271"/>
      <c r="Q61" s="1271"/>
      <c r="R61" s="1271"/>
      <c r="S61" s="1271"/>
      <c r="T61" s="1271"/>
    </row>
    <row r="62" spans="1:20">
      <c r="A62" s="1239">
        <v>55</v>
      </c>
      <c r="B62" s="1240" t="s">
        <v>924</v>
      </c>
      <c r="C62" s="1272">
        <v>85642799</v>
      </c>
      <c r="D62" s="1243">
        <f>'Table 2_State Distrib and Adjs'!AF61</f>
        <v>86182747</v>
      </c>
      <c r="E62" s="1243">
        <f t="shared" si="2"/>
        <v>539948</v>
      </c>
      <c r="F62" s="1243">
        <f t="shared" si="3"/>
        <v>86182747</v>
      </c>
      <c r="G62" s="1241">
        <f>'Table 2A-1_EFT (Annual)'!AD60</f>
        <v>-310083.36625825008</v>
      </c>
      <c r="H62" s="1243">
        <f t="shared" si="4"/>
        <v>85872663.633741751</v>
      </c>
      <c r="I62" s="1243">
        <f t="shared" si="5"/>
        <v>85642799</v>
      </c>
      <c r="J62" s="1241">
        <v>-94914.473629143904</v>
      </c>
      <c r="K62" s="1243">
        <f t="shared" si="6"/>
        <v>85547884.526370853</v>
      </c>
      <c r="L62" s="1243">
        <f t="shared" si="7"/>
        <v>539948</v>
      </c>
      <c r="M62" s="1243">
        <f t="shared" si="9"/>
        <v>-215168.89262910618</v>
      </c>
      <c r="N62" s="1243">
        <f t="shared" si="8"/>
        <v>324779.10737089382</v>
      </c>
      <c r="O62" s="1271"/>
      <c r="P62" s="1271"/>
      <c r="Q62" s="1271"/>
      <c r="R62" s="1271"/>
      <c r="S62" s="1271"/>
      <c r="T62" s="1271"/>
    </row>
    <row r="63" spans="1:20">
      <c r="A63" s="1236">
        <v>56</v>
      </c>
      <c r="B63" s="1237" t="s">
        <v>274</v>
      </c>
      <c r="C63" s="1270">
        <v>14430369</v>
      </c>
      <c r="D63" s="1242">
        <f>'Table 2_State Distrib and Adjs'!AF62</f>
        <v>14006346</v>
      </c>
      <c r="E63" s="1242">
        <f t="shared" si="2"/>
        <v>-424023</v>
      </c>
      <c r="F63" s="1242">
        <f t="shared" si="3"/>
        <v>14006346</v>
      </c>
      <c r="G63" s="1238">
        <f>'Table 2A-1_EFT (Annual)'!AD61</f>
        <v>-946587.98660425632</v>
      </c>
      <c r="H63" s="1242">
        <f t="shared" si="4"/>
        <v>13059758.013395743</v>
      </c>
      <c r="I63" s="1242">
        <f t="shared" si="5"/>
        <v>14430369</v>
      </c>
      <c r="J63" s="1238">
        <v>-860559</v>
      </c>
      <c r="K63" s="1242">
        <f t="shared" si="6"/>
        <v>13569810</v>
      </c>
      <c r="L63" s="1242">
        <f t="shared" si="7"/>
        <v>-424023</v>
      </c>
      <c r="M63" s="1242">
        <f t="shared" si="9"/>
        <v>-86028.986604256323</v>
      </c>
      <c r="N63" s="1242">
        <f t="shared" si="8"/>
        <v>-510051.98660425632</v>
      </c>
      <c r="O63" s="1271"/>
      <c r="P63" s="1271"/>
      <c r="Q63" s="1271"/>
      <c r="R63" s="1271"/>
      <c r="S63" s="1271"/>
      <c r="T63" s="1271"/>
    </row>
    <row r="64" spans="1:20">
      <c r="A64" s="1236">
        <v>57</v>
      </c>
      <c r="B64" s="1237" t="s">
        <v>925</v>
      </c>
      <c r="C64" s="1270">
        <v>46367142</v>
      </c>
      <c r="D64" s="1242">
        <f>'Table 2_State Distrib and Adjs'!AF63</f>
        <v>45623067</v>
      </c>
      <c r="E64" s="1242">
        <f t="shared" si="2"/>
        <v>-744075</v>
      </c>
      <c r="F64" s="1242">
        <f t="shared" si="3"/>
        <v>45623067</v>
      </c>
      <c r="G64" s="1238">
        <f>'Table 2A-1_EFT (Annual)'!AD62</f>
        <v>-69769.939264116023</v>
      </c>
      <c r="H64" s="1242">
        <f t="shared" si="4"/>
        <v>45553297.060735881</v>
      </c>
      <c r="I64" s="1242">
        <f t="shared" si="5"/>
        <v>46367142</v>
      </c>
      <c r="J64" s="1238">
        <v>-49994.638548713992</v>
      </c>
      <c r="K64" s="1242">
        <f t="shared" si="6"/>
        <v>46317147.361451283</v>
      </c>
      <c r="L64" s="1242">
        <f t="shared" si="7"/>
        <v>-744075</v>
      </c>
      <c r="M64" s="1242">
        <f t="shared" si="9"/>
        <v>-19775.300715402031</v>
      </c>
      <c r="N64" s="1242">
        <f t="shared" si="8"/>
        <v>-763850.300715402</v>
      </c>
      <c r="O64" s="1271"/>
      <c r="P64" s="1271"/>
      <c r="Q64" s="1271"/>
      <c r="R64" s="1271"/>
      <c r="S64" s="1271"/>
      <c r="T64" s="1271"/>
    </row>
    <row r="65" spans="1:20">
      <c r="A65" s="1236">
        <v>58</v>
      </c>
      <c r="B65" s="1237" t="s">
        <v>926</v>
      </c>
      <c r="C65" s="1270">
        <v>55298835</v>
      </c>
      <c r="D65" s="1242">
        <f>'Table 2_State Distrib and Adjs'!AF64</f>
        <v>56711227</v>
      </c>
      <c r="E65" s="1242">
        <f t="shared" si="2"/>
        <v>1412392</v>
      </c>
      <c r="F65" s="1242">
        <f t="shared" si="3"/>
        <v>56711227</v>
      </c>
      <c r="G65" s="1238">
        <f>'Table 2A-1_EFT (Annual)'!AD63</f>
        <v>-109070.09824037443</v>
      </c>
      <c r="H65" s="1242">
        <f t="shared" si="4"/>
        <v>56602156.901759624</v>
      </c>
      <c r="I65" s="1242">
        <f t="shared" si="5"/>
        <v>55298835</v>
      </c>
      <c r="J65" s="1238">
        <v>-59994.084667219766</v>
      </c>
      <c r="K65" s="1242">
        <f t="shared" si="6"/>
        <v>55238840.915332779</v>
      </c>
      <c r="L65" s="1242">
        <f t="shared" si="7"/>
        <v>1412392</v>
      </c>
      <c r="M65" s="1242">
        <f t="shared" si="9"/>
        <v>-49076.013573154662</v>
      </c>
      <c r="N65" s="1242">
        <f t="shared" si="8"/>
        <v>1363315.9864268454</v>
      </c>
      <c r="O65" s="1271"/>
      <c r="P65" s="1271"/>
      <c r="Q65" s="1271"/>
      <c r="R65" s="1271"/>
      <c r="S65" s="1271"/>
      <c r="T65" s="1271"/>
    </row>
    <row r="66" spans="1:20">
      <c r="A66" s="1236">
        <v>59</v>
      </c>
      <c r="B66" s="1237" t="s">
        <v>927</v>
      </c>
      <c r="C66" s="1270">
        <v>35191744</v>
      </c>
      <c r="D66" s="1242">
        <f>'Table 2_State Distrib and Adjs'!AF65</f>
        <v>36226640</v>
      </c>
      <c r="E66" s="1242">
        <f t="shared" si="2"/>
        <v>1034896</v>
      </c>
      <c r="F66" s="1242">
        <f t="shared" si="3"/>
        <v>36226640</v>
      </c>
      <c r="G66" s="1238">
        <f>'Table 2A-1_EFT (Annual)'!AD64</f>
        <v>-43711.726388242874</v>
      </c>
      <c r="H66" s="1242">
        <f t="shared" si="4"/>
        <v>36182928.273611754</v>
      </c>
      <c r="I66" s="1242">
        <f t="shared" si="5"/>
        <v>35191744</v>
      </c>
      <c r="J66" s="1238">
        <v>-20952.138658718344</v>
      </c>
      <c r="K66" s="1242">
        <f t="shared" si="6"/>
        <v>35170791.861341283</v>
      </c>
      <c r="L66" s="1242">
        <f t="shared" si="7"/>
        <v>1034896</v>
      </c>
      <c r="M66" s="1242">
        <f t="shared" si="9"/>
        <v>-22759.58772952453</v>
      </c>
      <c r="N66" s="1242">
        <f t="shared" si="8"/>
        <v>1012136.4122704754</v>
      </c>
      <c r="O66" s="1271"/>
      <c r="P66" s="1271"/>
      <c r="Q66" s="1271"/>
      <c r="R66" s="1271"/>
      <c r="S66" s="1271"/>
      <c r="T66" s="1271"/>
    </row>
    <row r="67" spans="1:20">
      <c r="A67" s="1239">
        <v>60</v>
      </c>
      <c r="B67" s="1240" t="s">
        <v>928</v>
      </c>
      <c r="C67" s="1272">
        <v>37005340</v>
      </c>
      <c r="D67" s="1243">
        <f>'Table 2_State Distrib and Adjs'!AF66</f>
        <v>34873830</v>
      </c>
      <c r="E67" s="1243">
        <f t="shared" si="2"/>
        <v>-2131510</v>
      </c>
      <c r="F67" s="1243">
        <f t="shared" si="3"/>
        <v>34873830</v>
      </c>
      <c r="G67" s="1241">
        <f>'Table 2A-1_EFT (Annual)'!AD65</f>
        <v>-150633.39073757656</v>
      </c>
      <c r="H67" s="1243">
        <f t="shared" si="4"/>
        <v>34723196.609262422</v>
      </c>
      <c r="I67" s="1243">
        <f t="shared" si="5"/>
        <v>37005340</v>
      </c>
      <c r="J67" s="1241">
        <v>-89380.327984706353</v>
      </c>
      <c r="K67" s="1243">
        <f t="shared" si="6"/>
        <v>36915959.672015294</v>
      </c>
      <c r="L67" s="1243">
        <f t="shared" si="7"/>
        <v>-2131510</v>
      </c>
      <c r="M67" s="1243">
        <f t="shared" si="9"/>
        <v>-61253.062752870203</v>
      </c>
      <c r="N67" s="1243">
        <f t="shared" si="8"/>
        <v>-2192763.0627528704</v>
      </c>
      <c r="O67" s="1271"/>
      <c r="P67" s="1271"/>
      <c r="Q67" s="1271"/>
      <c r="R67" s="1271"/>
      <c r="S67" s="1271"/>
      <c r="T67" s="1271"/>
    </row>
    <row r="68" spans="1:20">
      <c r="A68" s="1236">
        <v>61</v>
      </c>
      <c r="B68" s="1237" t="s">
        <v>929</v>
      </c>
      <c r="C68" s="1270">
        <v>13024353</v>
      </c>
      <c r="D68" s="1242">
        <f>'Table 2_State Distrib and Adjs'!AF67</f>
        <v>13691184</v>
      </c>
      <c r="E68" s="1242">
        <f t="shared" si="2"/>
        <v>666831</v>
      </c>
      <c r="F68" s="1242">
        <f t="shared" si="3"/>
        <v>13691184</v>
      </c>
      <c r="G68" s="1238">
        <f>'Table 2A-1_EFT (Annual)'!AD66</f>
        <v>-155280.12888242418</v>
      </c>
      <c r="H68" s="1242">
        <f t="shared" si="4"/>
        <v>13535903.871117575</v>
      </c>
      <c r="I68" s="1242">
        <f t="shared" si="5"/>
        <v>13024353</v>
      </c>
      <c r="J68" s="1238">
        <v>-65136.899572274844</v>
      </c>
      <c r="K68" s="1242">
        <f t="shared" si="6"/>
        <v>12959216.100427724</v>
      </c>
      <c r="L68" s="1242">
        <f t="shared" si="7"/>
        <v>666831</v>
      </c>
      <c r="M68" s="1242">
        <f t="shared" si="9"/>
        <v>-90143.229310149327</v>
      </c>
      <c r="N68" s="1242">
        <f t="shared" si="8"/>
        <v>576687.77068985067</v>
      </c>
      <c r="O68" s="1271"/>
      <c r="P68" s="1271"/>
      <c r="Q68" s="1271"/>
      <c r="R68" s="1271"/>
      <c r="S68" s="1271"/>
      <c r="T68" s="1271"/>
    </row>
    <row r="69" spans="1:20">
      <c r="A69" s="1236">
        <v>62</v>
      </c>
      <c r="B69" s="1237" t="s">
        <v>930</v>
      </c>
      <c r="C69" s="1270">
        <v>12760451</v>
      </c>
      <c r="D69" s="1242">
        <f>'Table 2_State Distrib and Adjs'!AF68</f>
        <v>12751944</v>
      </c>
      <c r="E69" s="1242">
        <f t="shared" si="2"/>
        <v>-8507</v>
      </c>
      <c r="F69" s="1242">
        <f t="shared" si="3"/>
        <v>12751944</v>
      </c>
      <c r="G69" s="1238">
        <f>'Table 2A-1_EFT (Annual)'!AD67</f>
        <v>-60524.780107720901</v>
      </c>
      <c r="H69" s="1242">
        <f t="shared" si="4"/>
        <v>12691419.219892278</v>
      </c>
      <c r="I69" s="1242">
        <f t="shared" si="5"/>
        <v>12760451</v>
      </c>
      <c r="J69" s="1238">
        <v>-9256.0344933912675</v>
      </c>
      <c r="K69" s="1242">
        <f t="shared" si="6"/>
        <v>12751194.96550661</v>
      </c>
      <c r="L69" s="1242">
        <f t="shared" si="7"/>
        <v>-8507</v>
      </c>
      <c r="M69" s="1242">
        <f t="shared" si="9"/>
        <v>-51268.745614329629</v>
      </c>
      <c r="N69" s="1242">
        <f t="shared" si="8"/>
        <v>-59775.745614329629</v>
      </c>
      <c r="O69" s="1271"/>
      <c r="P69" s="1271"/>
      <c r="Q69" s="1271"/>
      <c r="R69" s="1271"/>
      <c r="S69" s="1271"/>
      <c r="T69" s="1271"/>
    </row>
    <row r="70" spans="1:20">
      <c r="A70" s="1236">
        <v>63</v>
      </c>
      <c r="B70" s="1237" t="s">
        <v>931</v>
      </c>
      <c r="C70" s="1270">
        <v>10352175</v>
      </c>
      <c r="D70" s="1242">
        <f>'Table 2_State Distrib and Adjs'!AF69</f>
        <v>10481805</v>
      </c>
      <c r="E70" s="1242">
        <f t="shared" si="2"/>
        <v>129630</v>
      </c>
      <c r="F70" s="1242">
        <f t="shared" si="3"/>
        <v>10481805</v>
      </c>
      <c r="G70" s="1238">
        <f>'Table 2A-1_EFT (Annual)'!AD68</f>
        <v>-57912.588597182963</v>
      </c>
      <c r="H70" s="1242">
        <f t="shared" si="4"/>
        <v>10423892.411402818</v>
      </c>
      <c r="I70" s="1242">
        <f t="shared" si="5"/>
        <v>10352175</v>
      </c>
      <c r="J70" s="1238">
        <v>-24145.339955319254</v>
      </c>
      <c r="K70" s="1242">
        <f t="shared" si="6"/>
        <v>10328029.660044681</v>
      </c>
      <c r="L70" s="1242">
        <f t="shared" si="7"/>
        <v>129630</v>
      </c>
      <c r="M70" s="1242">
        <f t="shared" si="9"/>
        <v>-33767.248641863713</v>
      </c>
      <c r="N70" s="1242">
        <f t="shared" si="8"/>
        <v>95862.751358136287</v>
      </c>
      <c r="O70" s="1271"/>
      <c r="P70" s="1271"/>
      <c r="Q70" s="1271"/>
      <c r="R70" s="1271"/>
      <c r="S70" s="1271"/>
      <c r="T70" s="1271"/>
    </row>
    <row r="71" spans="1:20">
      <c r="A71" s="1236">
        <v>64</v>
      </c>
      <c r="B71" s="1237" t="s">
        <v>932</v>
      </c>
      <c r="C71" s="1270">
        <v>15652168</v>
      </c>
      <c r="D71" s="1242">
        <f>'Table 2_State Distrib and Adjs'!AF70</f>
        <v>15621319</v>
      </c>
      <c r="E71" s="1242">
        <f t="shared" si="2"/>
        <v>-30849</v>
      </c>
      <c r="F71" s="1242">
        <f t="shared" si="3"/>
        <v>15621319</v>
      </c>
      <c r="G71" s="1238">
        <f>'Table 2A-1_EFT (Annual)'!AD69</f>
        <v>-14730.219108496545</v>
      </c>
      <c r="H71" s="1242">
        <f t="shared" si="4"/>
        <v>15606588.780891504</v>
      </c>
      <c r="I71" s="1242">
        <f t="shared" si="5"/>
        <v>15652168</v>
      </c>
      <c r="J71" s="1238">
        <v>-4543.2</v>
      </c>
      <c r="K71" s="1242">
        <f t="shared" si="6"/>
        <v>15647624.800000001</v>
      </c>
      <c r="L71" s="1242">
        <f t="shared" si="7"/>
        <v>-30849</v>
      </c>
      <c r="M71" s="1242">
        <f t="shared" si="9"/>
        <v>-10187.019108496545</v>
      </c>
      <c r="N71" s="1242">
        <f t="shared" si="8"/>
        <v>-41036.019108496548</v>
      </c>
      <c r="O71" s="1271"/>
      <c r="P71" s="1271"/>
      <c r="Q71" s="1271"/>
      <c r="R71" s="1271"/>
      <c r="S71" s="1271"/>
      <c r="T71" s="1271"/>
    </row>
    <row r="72" spans="1:20">
      <c r="A72" s="1239">
        <v>65</v>
      </c>
      <c r="B72" s="1240" t="s">
        <v>933</v>
      </c>
      <c r="C72" s="1272">
        <v>44789331</v>
      </c>
      <c r="D72" s="1243">
        <f>'Table 2_State Distrib and Adjs'!AF71</f>
        <v>44907424</v>
      </c>
      <c r="E72" s="1243">
        <f t="shared" si="2"/>
        <v>118093</v>
      </c>
      <c r="F72" s="1243">
        <f t="shared" si="3"/>
        <v>44907424</v>
      </c>
      <c r="G72" s="1241">
        <f>'Table 2A-1_EFT (Annual)'!AD70</f>
        <v>-877972.85329131118</v>
      </c>
      <c r="H72" s="1243">
        <f t="shared" si="4"/>
        <v>44029451.14670869</v>
      </c>
      <c r="I72" s="1243">
        <f t="shared" si="5"/>
        <v>44789331</v>
      </c>
      <c r="J72" s="1241">
        <v>-14763.548054013983</v>
      </c>
      <c r="K72" s="1243">
        <f t="shared" si="6"/>
        <v>44774567.451945983</v>
      </c>
      <c r="L72" s="1243">
        <f t="shared" si="7"/>
        <v>118093</v>
      </c>
      <c r="M72" s="1243">
        <f t="shared" si="9"/>
        <v>-863209.3052372972</v>
      </c>
      <c r="N72" s="1243">
        <f t="shared" si="8"/>
        <v>-745116.3052372972</v>
      </c>
      <c r="O72" s="1271"/>
      <c r="P72" s="1271"/>
      <c r="Q72" s="1271"/>
      <c r="R72" s="1271"/>
      <c r="S72" s="1271"/>
      <c r="T72" s="1271"/>
    </row>
    <row r="73" spans="1:20">
      <c r="A73" s="1244">
        <v>66</v>
      </c>
      <c r="B73" s="1245" t="s">
        <v>934</v>
      </c>
      <c r="C73" s="1270">
        <v>14212649</v>
      </c>
      <c r="D73" s="1273">
        <f>'Table 2_State Distrib and Adjs'!AF72</f>
        <v>14285552</v>
      </c>
      <c r="E73" s="1273">
        <f t="shared" ref="E73:E76" si="10">D73-C73</f>
        <v>72903</v>
      </c>
      <c r="F73" s="1273">
        <f t="shared" ref="F73:F76" si="11">D73</f>
        <v>14285552</v>
      </c>
      <c r="G73" s="1238">
        <f>'Table 2A-1_EFT (Annual)'!AD71</f>
        <v>-22555.787967259919</v>
      </c>
      <c r="H73" s="1273">
        <f t="shared" ref="H73:H76" si="12">F73+G73</f>
        <v>14262996.212032741</v>
      </c>
      <c r="I73" s="1273">
        <f t="shared" ref="I73:I76" si="13">C73</f>
        <v>14212649</v>
      </c>
      <c r="J73" s="1238">
        <v>-27640.63004949491</v>
      </c>
      <c r="K73" s="1273">
        <f t="shared" ref="K73:K76" si="14">I73+J73</f>
        <v>14185008.369950505</v>
      </c>
      <c r="L73" s="1273">
        <f t="shared" ref="L73:L76" si="15">E73</f>
        <v>72903</v>
      </c>
      <c r="M73" s="1273">
        <f t="shared" si="9"/>
        <v>5084.8420822349908</v>
      </c>
      <c r="N73" s="1273">
        <f t="shared" ref="N73:N76" si="16">SUM(L73:M73)</f>
        <v>77987.842082234987</v>
      </c>
      <c r="O73" s="1271"/>
      <c r="P73" s="1271"/>
      <c r="Q73" s="1271"/>
      <c r="R73" s="1271"/>
      <c r="S73" s="1271"/>
      <c r="T73" s="1271"/>
    </row>
    <row r="74" spans="1:20">
      <c r="A74" s="1236">
        <v>67</v>
      </c>
      <c r="B74" s="1237" t="s">
        <v>935</v>
      </c>
      <c r="C74" s="1270">
        <v>27819260</v>
      </c>
      <c r="D74" s="1242">
        <f>'Table 2_State Distrib and Adjs'!AF73</f>
        <v>29135898</v>
      </c>
      <c r="E74" s="1242">
        <f t="shared" si="10"/>
        <v>1316638</v>
      </c>
      <c r="F74" s="1242">
        <f t="shared" si="11"/>
        <v>29135898</v>
      </c>
      <c r="G74" s="1238">
        <f>'Table 2A-1_EFT (Annual)'!AD72</f>
        <v>-59570.873959002587</v>
      </c>
      <c r="H74" s="1242">
        <f t="shared" si="12"/>
        <v>29076327.126040999</v>
      </c>
      <c r="I74" s="1242">
        <f t="shared" si="13"/>
        <v>27819260</v>
      </c>
      <c r="J74" s="1238">
        <v>-37236.430168739302</v>
      </c>
      <c r="K74" s="1242">
        <f t="shared" si="14"/>
        <v>27782023.56983126</v>
      </c>
      <c r="L74" s="1242">
        <f t="shared" si="15"/>
        <v>1316638</v>
      </c>
      <c r="M74" s="1242">
        <f t="shared" si="9"/>
        <v>-22334.443790263285</v>
      </c>
      <c r="N74" s="1242">
        <f t="shared" si="16"/>
        <v>1294303.5562097367</v>
      </c>
      <c r="O74" s="1271"/>
      <c r="P74" s="1271"/>
      <c r="Q74" s="1271"/>
      <c r="R74" s="1271"/>
      <c r="S74" s="1271"/>
      <c r="T74" s="1271"/>
    </row>
    <row r="75" spans="1:20">
      <c r="A75" s="1236">
        <v>68</v>
      </c>
      <c r="B75" s="1237" t="s">
        <v>936</v>
      </c>
      <c r="C75" s="1270">
        <v>11995946</v>
      </c>
      <c r="D75" s="1242">
        <f>'Table 2_State Distrib and Adjs'!AF74</f>
        <v>11742502</v>
      </c>
      <c r="E75" s="1242">
        <f t="shared" si="10"/>
        <v>-253444</v>
      </c>
      <c r="F75" s="1242">
        <f t="shared" si="11"/>
        <v>11742502</v>
      </c>
      <c r="G75" s="1238">
        <f>'Table 2A-1_EFT (Annual)'!AD73</f>
        <v>-36344.700000000004</v>
      </c>
      <c r="H75" s="1242">
        <f t="shared" si="12"/>
        <v>11706157.300000001</v>
      </c>
      <c r="I75" s="1242">
        <f t="shared" si="13"/>
        <v>11995946</v>
      </c>
      <c r="J75" s="1238">
        <v>-14927</v>
      </c>
      <c r="K75" s="1242">
        <f t="shared" si="14"/>
        <v>11981019</v>
      </c>
      <c r="L75" s="1242">
        <f t="shared" si="15"/>
        <v>-253444</v>
      </c>
      <c r="M75" s="1242">
        <f t="shared" si="9"/>
        <v>-21417.700000000004</v>
      </c>
      <c r="N75" s="1242">
        <f t="shared" si="16"/>
        <v>-274861.7</v>
      </c>
      <c r="O75" s="1271"/>
      <c r="P75" s="1271"/>
      <c r="Q75" s="1271"/>
      <c r="R75" s="1271"/>
      <c r="S75" s="1271"/>
      <c r="T75" s="1271"/>
    </row>
    <row r="76" spans="1:20">
      <c r="A76" s="1246">
        <v>69</v>
      </c>
      <c r="B76" s="1247" t="s">
        <v>937</v>
      </c>
      <c r="C76" s="1270">
        <v>24075297</v>
      </c>
      <c r="D76" s="1243">
        <f>'Table 2_State Distrib and Adjs'!AF75</f>
        <v>24400463</v>
      </c>
      <c r="E76" s="1243">
        <f t="shared" si="10"/>
        <v>325166</v>
      </c>
      <c r="F76" s="1243">
        <f t="shared" si="11"/>
        <v>24400463</v>
      </c>
      <c r="G76" s="1238">
        <f>'Table 2A-1_EFT (Annual)'!AD74</f>
        <v>-46954.3</v>
      </c>
      <c r="H76" s="1243">
        <f t="shared" si="12"/>
        <v>24353508.699999999</v>
      </c>
      <c r="I76" s="1243">
        <f t="shared" si="13"/>
        <v>24075297</v>
      </c>
      <c r="J76" s="1238">
        <v>-21564.799999999999</v>
      </c>
      <c r="K76" s="1243">
        <f t="shared" si="14"/>
        <v>24053732.199999999</v>
      </c>
      <c r="L76" s="1243">
        <f t="shared" si="15"/>
        <v>325166</v>
      </c>
      <c r="M76" s="1243">
        <f t="shared" si="9"/>
        <v>-25389.500000000004</v>
      </c>
      <c r="N76" s="1243">
        <f t="shared" si="16"/>
        <v>299776.5</v>
      </c>
      <c r="O76" s="1271"/>
      <c r="P76" s="1271"/>
      <c r="Q76" s="1271"/>
      <c r="R76" s="1271"/>
      <c r="S76" s="1271"/>
      <c r="T76" s="1271"/>
    </row>
    <row r="77" spans="1:20" ht="18.75" thickBot="1">
      <c r="A77" s="1248"/>
      <c r="B77" s="1249" t="s">
        <v>938</v>
      </c>
      <c r="C77" s="1274">
        <f t="shared" ref="C77:L77" si="17">SUM(C8:C76)</f>
        <v>3199331562</v>
      </c>
      <c r="D77" s="1251">
        <f t="shared" si="17"/>
        <v>3214489997</v>
      </c>
      <c r="E77" s="1275">
        <f t="shared" si="17"/>
        <v>15158435</v>
      </c>
      <c r="F77" s="1251">
        <f t="shared" si="17"/>
        <v>3214489997</v>
      </c>
      <c r="G77" s="1250">
        <f t="shared" si="17"/>
        <v>-175846209.89775491</v>
      </c>
      <c r="H77" s="1250">
        <f t="shared" si="17"/>
        <v>3038643787.1022449</v>
      </c>
      <c r="I77" s="1251">
        <f t="shared" si="17"/>
        <v>3199331562</v>
      </c>
      <c r="J77" s="1250">
        <f t="shared" si="17"/>
        <v>-139401025.13604987</v>
      </c>
      <c r="K77" s="1250">
        <f t="shared" si="17"/>
        <v>3059930536.8639493</v>
      </c>
      <c r="L77" s="1251">
        <f t="shared" si="17"/>
        <v>15158435</v>
      </c>
      <c r="M77" s="1251">
        <f t="shared" ref="M77:N77" si="18">SUM(M8:M76)</f>
        <v>-36445184.761705071</v>
      </c>
      <c r="N77" s="1251">
        <f t="shared" si="18"/>
        <v>-21286749.761705048</v>
      </c>
      <c r="O77" s="1271"/>
      <c r="P77" s="1271"/>
      <c r="Q77" s="1271"/>
      <c r="R77" s="1271"/>
      <c r="S77" s="1271"/>
      <c r="T77" s="1271"/>
    </row>
    <row r="78" spans="1:20" ht="18.75" thickTop="1">
      <c r="A78" s="1366"/>
      <c r="B78" s="1364"/>
      <c r="C78" s="1270"/>
      <c r="D78" s="1368"/>
      <c r="E78" s="1367"/>
      <c r="F78" s="1265"/>
      <c r="G78" s="1265"/>
      <c r="H78" s="1265"/>
      <c r="I78" s="1265"/>
      <c r="J78" s="1265"/>
      <c r="K78" s="1265"/>
      <c r="L78" s="1271"/>
      <c r="M78" s="1271"/>
      <c r="N78" s="1271"/>
      <c r="O78" s="1271"/>
      <c r="P78" s="1271"/>
      <c r="Q78" s="1271"/>
      <c r="R78" s="1271"/>
      <c r="S78" s="1271"/>
      <c r="T78" s="1271"/>
    </row>
    <row r="79" spans="1:20">
      <c r="A79" s="1333"/>
      <c r="B79" s="1365"/>
      <c r="C79" s="1270"/>
      <c r="D79" s="1270"/>
      <c r="E79" s="1337"/>
      <c r="F79" s="1265"/>
      <c r="G79" s="1265"/>
      <c r="H79" s="1265"/>
      <c r="I79" s="1265"/>
      <c r="J79" s="1265"/>
      <c r="K79" s="1265"/>
      <c r="L79" s="1271"/>
      <c r="M79" s="1271"/>
      <c r="N79" s="1271"/>
      <c r="O79" s="1271"/>
      <c r="P79" s="1271"/>
      <c r="Q79" s="1271"/>
      <c r="R79" s="1271"/>
      <c r="S79" s="1271"/>
      <c r="T79" s="1271"/>
    </row>
    <row r="80" spans="1:20">
      <c r="A80" s="1328"/>
      <c r="B80" s="1329"/>
      <c r="C80" s="1330"/>
      <c r="D80" s="1330"/>
      <c r="E80" s="1330"/>
      <c r="F80" s="1267"/>
      <c r="G80" s="1267"/>
      <c r="H80" s="1267"/>
      <c r="I80" s="1267"/>
      <c r="J80" s="1267"/>
      <c r="K80" s="1267"/>
      <c r="L80" s="1271"/>
      <c r="M80" s="1271"/>
      <c r="N80" s="1271"/>
      <c r="O80" s="1271"/>
      <c r="P80" s="1271"/>
      <c r="Q80" s="1271"/>
      <c r="R80" s="1271"/>
      <c r="S80" s="1271"/>
      <c r="T80" s="1271"/>
    </row>
    <row r="81" spans="1:20" ht="6.75" customHeight="1">
      <c r="A81" s="1331"/>
      <c r="B81" s="1332"/>
      <c r="C81" s="1252"/>
      <c r="D81" s="1252"/>
      <c r="E81" s="1252"/>
      <c r="F81" s="1267"/>
      <c r="G81" s="1265"/>
      <c r="H81" s="1267"/>
      <c r="I81" s="1267"/>
      <c r="J81" s="1265"/>
      <c r="K81" s="1267"/>
      <c r="L81" s="1271"/>
      <c r="M81" s="1271"/>
      <c r="N81" s="1271"/>
      <c r="O81" s="1271"/>
      <c r="P81" s="1271"/>
      <c r="Q81" s="1271"/>
      <c r="R81" s="1271"/>
      <c r="S81" s="1271"/>
      <c r="T81" s="1271"/>
    </row>
    <row r="82" spans="1:20">
      <c r="A82" s="1328"/>
      <c r="B82" s="1333"/>
      <c r="C82" s="1270"/>
      <c r="D82" s="1270"/>
      <c r="E82" s="1270"/>
      <c r="F82" s="1265"/>
      <c r="G82" s="1265"/>
      <c r="H82" s="1265"/>
      <c r="I82" s="1265"/>
      <c r="J82" s="1265"/>
      <c r="K82" s="1265"/>
      <c r="L82" s="1271"/>
      <c r="M82" s="1271"/>
      <c r="N82" s="1271"/>
      <c r="O82" s="1271"/>
      <c r="P82" s="1271"/>
      <c r="Q82" s="1271"/>
      <c r="R82" s="1271"/>
      <c r="S82" s="1271"/>
      <c r="T82" s="1271"/>
    </row>
    <row r="83" spans="1:20">
      <c r="A83" s="1328"/>
      <c r="B83" s="1334"/>
      <c r="C83" s="1330"/>
      <c r="D83" s="1330"/>
      <c r="E83" s="1330"/>
      <c r="F83" s="1267"/>
      <c r="G83" s="1267"/>
      <c r="H83" s="1267"/>
      <c r="I83" s="1267"/>
      <c r="J83" s="1267"/>
      <c r="K83" s="1267"/>
      <c r="L83" s="1271"/>
      <c r="M83" s="1271"/>
      <c r="N83" s="1271"/>
      <c r="O83" s="1271"/>
      <c r="P83" s="1271"/>
      <c r="Q83" s="1271"/>
      <c r="R83" s="1271"/>
      <c r="S83" s="1271"/>
      <c r="T83" s="1271"/>
    </row>
    <row r="84" spans="1:20" ht="6.75" customHeight="1">
      <c r="A84" s="1331"/>
      <c r="B84" s="1332"/>
      <c r="C84" s="1252"/>
      <c r="D84" s="1252"/>
      <c r="E84" s="1252"/>
      <c r="F84" s="1267"/>
      <c r="G84" s="1265"/>
      <c r="H84" s="1267"/>
      <c r="I84" s="1267"/>
      <c r="J84" s="1265"/>
      <c r="K84" s="1267"/>
      <c r="L84" s="1271"/>
      <c r="M84" s="1271"/>
      <c r="N84" s="1271"/>
      <c r="O84" s="1271"/>
      <c r="P84" s="1271"/>
      <c r="Q84" s="1271"/>
      <c r="R84" s="1271"/>
      <c r="S84" s="1271"/>
      <c r="T84" s="1271"/>
    </row>
    <row r="85" spans="1:20">
      <c r="A85" s="1328"/>
      <c r="B85" s="1333"/>
      <c r="C85" s="1270"/>
      <c r="D85" s="1270"/>
      <c r="E85" s="1270"/>
      <c r="F85" s="1265"/>
      <c r="G85" s="1265"/>
      <c r="H85" s="1265"/>
      <c r="I85" s="1265"/>
      <c r="J85" s="1265"/>
      <c r="K85" s="1265"/>
      <c r="L85" s="1271"/>
      <c r="M85" s="1271"/>
      <c r="N85" s="1271"/>
      <c r="O85" s="1271"/>
      <c r="P85" s="1271"/>
      <c r="Q85" s="1271"/>
      <c r="R85" s="1271"/>
      <c r="S85" s="1271"/>
      <c r="T85" s="1271"/>
    </row>
    <row r="86" spans="1:20">
      <c r="A86" s="1328"/>
      <c r="B86" s="1329"/>
      <c r="C86" s="1330"/>
      <c r="D86" s="1330"/>
      <c r="E86" s="1330"/>
      <c r="F86" s="1267"/>
      <c r="G86" s="1267"/>
      <c r="H86" s="1267"/>
      <c r="I86" s="1267"/>
      <c r="J86" s="1267"/>
      <c r="K86" s="1267"/>
      <c r="L86" s="1271"/>
      <c r="M86" s="1271"/>
      <c r="N86" s="1271"/>
      <c r="O86" s="1271"/>
      <c r="P86" s="1271"/>
      <c r="Q86" s="1271"/>
      <c r="R86" s="1271"/>
      <c r="S86" s="1271"/>
      <c r="T86" s="1271"/>
    </row>
    <row r="87" spans="1:20" ht="6.75" customHeight="1">
      <c r="A87" s="1331"/>
      <c r="B87" s="1332"/>
      <c r="C87" s="1252"/>
      <c r="D87" s="1252"/>
      <c r="E87" s="1252"/>
      <c r="F87" s="1267"/>
      <c r="G87" s="1265"/>
      <c r="H87" s="1267"/>
      <c r="I87" s="1267"/>
      <c r="J87" s="1265"/>
      <c r="K87" s="1267"/>
      <c r="L87" s="1271"/>
      <c r="M87" s="1271"/>
      <c r="N87" s="1271"/>
      <c r="O87" s="1271"/>
      <c r="P87" s="1271"/>
      <c r="Q87" s="1271"/>
      <c r="R87" s="1271"/>
      <c r="S87" s="1271"/>
      <c r="T87" s="1271"/>
    </row>
    <row r="88" spans="1:20">
      <c r="A88" s="1335"/>
      <c r="B88" s="1336"/>
      <c r="C88" s="1270"/>
      <c r="D88" s="1270"/>
      <c r="E88" s="1337"/>
      <c r="F88" s="1265"/>
      <c r="G88" s="1265"/>
      <c r="H88" s="1265"/>
      <c r="I88" s="1265"/>
      <c r="J88" s="1265"/>
      <c r="K88" s="1265"/>
      <c r="L88" s="1271"/>
      <c r="M88" s="1271"/>
      <c r="N88" s="1271"/>
      <c r="O88" s="1271"/>
      <c r="P88" s="1271"/>
      <c r="Q88" s="1271"/>
      <c r="R88" s="1271"/>
      <c r="S88" s="1271"/>
      <c r="T88" s="1271"/>
    </row>
    <row r="89" spans="1:20">
      <c r="A89" s="1335"/>
      <c r="B89" s="1338"/>
      <c r="C89" s="1330"/>
      <c r="D89" s="1330"/>
      <c r="E89" s="1330"/>
      <c r="F89" s="1267"/>
      <c r="G89" s="1267"/>
      <c r="H89" s="1267"/>
      <c r="I89" s="1267"/>
      <c r="J89" s="1267"/>
      <c r="K89" s="1267"/>
      <c r="L89" s="1271"/>
      <c r="M89" s="1271"/>
      <c r="N89" s="1271"/>
      <c r="O89" s="1271"/>
      <c r="P89" s="1271"/>
      <c r="Q89" s="1271"/>
      <c r="R89" s="1271"/>
      <c r="S89" s="1271"/>
      <c r="T89" s="1271"/>
    </row>
    <row r="90" spans="1:20" ht="6.75" customHeight="1">
      <c r="A90" s="1331"/>
      <c r="B90" s="1332"/>
      <c r="C90" s="1252"/>
      <c r="D90" s="1252"/>
      <c r="E90" s="1252"/>
      <c r="F90" s="1267"/>
      <c r="G90" s="1265"/>
      <c r="H90" s="1267"/>
      <c r="I90" s="1267"/>
      <c r="J90" s="1265"/>
      <c r="K90" s="1267"/>
      <c r="L90" s="1271"/>
      <c r="M90" s="1271"/>
      <c r="N90" s="1271"/>
      <c r="O90" s="1271"/>
      <c r="P90" s="1271"/>
      <c r="Q90" s="1271"/>
      <c r="R90" s="1271"/>
      <c r="S90" s="1271"/>
      <c r="T90" s="1271"/>
    </row>
    <row r="91" spans="1:20">
      <c r="A91" s="1335"/>
      <c r="B91" s="1336"/>
      <c r="C91" s="1339"/>
      <c r="D91" s="1339"/>
      <c r="E91" s="1337"/>
      <c r="F91" s="1265"/>
      <c r="G91" s="1265"/>
      <c r="H91" s="1265"/>
      <c r="I91" s="1265"/>
      <c r="J91" s="1265"/>
      <c r="K91" s="1265"/>
      <c r="L91" s="1271"/>
      <c r="M91" s="1271"/>
      <c r="N91" s="1271"/>
      <c r="O91" s="1271"/>
      <c r="P91" s="1271"/>
      <c r="Q91" s="1271"/>
      <c r="R91" s="1271"/>
      <c r="S91" s="1271"/>
      <c r="T91" s="1271"/>
    </row>
    <row r="92" spans="1:20">
      <c r="A92" s="1335"/>
      <c r="B92" s="1338"/>
      <c r="C92" s="1330"/>
      <c r="D92" s="1330"/>
      <c r="E92" s="1330"/>
      <c r="F92" s="1267"/>
      <c r="G92" s="1267"/>
      <c r="H92" s="1267"/>
      <c r="I92" s="1267"/>
      <c r="J92" s="1267"/>
      <c r="K92" s="1267"/>
      <c r="L92" s="1271"/>
      <c r="M92" s="1271"/>
      <c r="N92" s="1271"/>
      <c r="O92" s="1271"/>
      <c r="P92" s="1271"/>
      <c r="Q92" s="1271"/>
      <c r="R92" s="1271"/>
      <c r="S92" s="1271"/>
      <c r="T92" s="1271"/>
    </row>
    <row r="93" spans="1:20" ht="6.75" customHeight="1">
      <c r="A93" s="1331"/>
      <c r="B93" s="1332"/>
      <c r="C93" s="1252"/>
      <c r="D93" s="1252"/>
      <c r="E93" s="1252"/>
      <c r="F93" s="1267"/>
      <c r="G93" s="1265"/>
      <c r="H93" s="1267"/>
      <c r="I93" s="1267"/>
      <c r="J93" s="1265"/>
      <c r="K93" s="1267"/>
      <c r="L93" s="1271"/>
      <c r="M93" s="1271"/>
      <c r="N93" s="1271"/>
      <c r="O93" s="1271"/>
      <c r="P93" s="1271"/>
      <c r="Q93" s="1271"/>
      <c r="R93" s="1271"/>
      <c r="S93" s="1271"/>
      <c r="T93" s="1271"/>
    </row>
    <row r="94" spans="1:20">
      <c r="A94" s="1340"/>
      <c r="B94" s="1336"/>
      <c r="C94" s="1339"/>
      <c r="D94" s="1339"/>
      <c r="E94" s="1337"/>
      <c r="F94" s="1265"/>
      <c r="G94" s="1265"/>
      <c r="H94" s="1265"/>
      <c r="I94" s="1265"/>
      <c r="J94" s="1265"/>
      <c r="K94" s="1265"/>
      <c r="L94" s="1271"/>
      <c r="M94" s="1271"/>
      <c r="N94" s="1271"/>
      <c r="O94" s="1271"/>
      <c r="P94" s="1271"/>
      <c r="Q94" s="1271"/>
      <c r="R94" s="1271"/>
      <c r="S94" s="1271"/>
      <c r="T94" s="1271"/>
    </row>
    <row r="95" spans="1:20">
      <c r="A95" s="1340"/>
      <c r="B95" s="1341"/>
      <c r="C95" s="1330"/>
      <c r="D95" s="1330"/>
      <c r="E95" s="1330"/>
      <c r="F95" s="1267"/>
      <c r="G95" s="1267"/>
      <c r="H95" s="1267"/>
      <c r="I95" s="1267"/>
      <c r="J95" s="1267"/>
      <c r="K95" s="1267"/>
      <c r="L95" s="1271"/>
      <c r="M95" s="1271"/>
      <c r="N95" s="1271"/>
      <c r="O95" s="1271"/>
      <c r="P95" s="1271"/>
      <c r="Q95" s="1271"/>
      <c r="R95" s="1271"/>
      <c r="S95" s="1271"/>
      <c r="T95" s="1271"/>
    </row>
    <row r="96" spans="1:20" ht="6.75" customHeight="1">
      <c r="A96" s="1331"/>
      <c r="B96" s="1332"/>
      <c r="C96" s="1252"/>
      <c r="D96" s="1252"/>
      <c r="E96" s="1252"/>
      <c r="F96" s="1267"/>
      <c r="G96" s="1265"/>
      <c r="H96" s="1267"/>
      <c r="I96" s="1267"/>
      <c r="J96" s="1265"/>
      <c r="K96" s="1267"/>
      <c r="L96" s="1271"/>
      <c r="M96" s="1271"/>
      <c r="N96" s="1271"/>
      <c r="O96" s="1271"/>
      <c r="P96" s="1271"/>
      <c r="Q96" s="1271"/>
      <c r="R96" s="1271"/>
      <c r="S96" s="1271"/>
      <c r="T96" s="1271"/>
    </row>
    <row r="97" spans="1:20" ht="18.75" customHeight="1">
      <c r="A97" s="1342"/>
      <c r="B97" s="1343"/>
      <c r="C97" s="1270"/>
      <c r="D97" s="1270"/>
      <c r="E97" s="1337"/>
      <c r="F97" s="1265"/>
      <c r="G97" s="1265"/>
      <c r="H97" s="1265"/>
      <c r="I97" s="1265"/>
      <c r="J97" s="1265"/>
      <c r="K97" s="1265"/>
      <c r="L97" s="1271"/>
      <c r="M97" s="1271"/>
      <c r="N97" s="1271"/>
      <c r="O97" s="1271"/>
      <c r="P97" s="1271"/>
      <c r="Q97" s="1271"/>
      <c r="R97" s="1271"/>
      <c r="S97" s="1271"/>
      <c r="T97" s="1271"/>
    </row>
    <row r="98" spans="1:20" ht="14.25" customHeight="1">
      <c r="A98" s="1342"/>
      <c r="B98" s="1336"/>
      <c r="C98" s="1270"/>
      <c r="D98" s="1270"/>
      <c r="E98" s="1337"/>
      <c r="F98" s="1265"/>
      <c r="G98" s="1265"/>
      <c r="H98" s="1265"/>
      <c r="I98" s="1265"/>
      <c r="J98" s="1265"/>
      <c r="K98" s="1265"/>
      <c r="L98" s="1271"/>
      <c r="M98" s="1271"/>
      <c r="N98" s="1271"/>
      <c r="O98" s="1271"/>
      <c r="P98" s="1271"/>
      <c r="Q98" s="1271"/>
      <c r="R98" s="1271"/>
      <c r="S98" s="1271"/>
      <c r="T98" s="1271"/>
    </row>
    <row r="99" spans="1:20" ht="14.25" customHeight="1">
      <c r="A99" s="1342"/>
      <c r="B99" s="1343"/>
      <c r="C99" s="1270"/>
      <c r="D99" s="1270"/>
      <c r="E99" s="1337"/>
      <c r="F99" s="1265"/>
      <c r="G99" s="1265"/>
      <c r="H99" s="1265"/>
      <c r="I99" s="1265"/>
      <c r="J99" s="1265"/>
      <c r="K99" s="1265"/>
      <c r="L99" s="1271"/>
      <c r="M99" s="1271"/>
      <c r="N99" s="1271"/>
      <c r="O99" s="1271"/>
      <c r="P99" s="1271"/>
      <c r="Q99" s="1271"/>
      <c r="R99" s="1271"/>
      <c r="S99" s="1271"/>
      <c r="T99" s="1271"/>
    </row>
    <row r="100" spans="1:20">
      <c r="A100" s="1342"/>
      <c r="B100" s="1336"/>
      <c r="C100" s="1270"/>
      <c r="D100" s="1270"/>
      <c r="E100" s="1337"/>
      <c r="F100" s="1265"/>
      <c r="G100" s="1265"/>
      <c r="H100" s="1265"/>
      <c r="I100" s="1265"/>
      <c r="J100" s="1265"/>
      <c r="K100" s="1265"/>
      <c r="L100" s="1271"/>
      <c r="M100" s="1271"/>
      <c r="N100" s="1271"/>
      <c r="O100" s="1271"/>
      <c r="P100" s="1271"/>
      <c r="Q100" s="1271"/>
      <c r="R100" s="1271"/>
      <c r="S100" s="1271"/>
      <c r="T100" s="1271"/>
    </row>
    <row r="101" spans="1:20">
      <c r="A101" s="1342"/>
      <c r="B101" s="1336"/>
      <c r="C101" s="1270"/>
      <c r="D101" s="1270"/>
      <c r="E101" s="1337"/>
      <c r="F101" s="1265"/>
      <c r="G101" s="1265"/>
      <c r="H101" s="1265"/>
      <c r="I101" s="1265"/>
      <c r="J101" s="1265"/>
      <c r="K101" s="1265"/>
      <c r="L101" s="1271"/>
      <c r="M101" s="1271"/>
      <c r="N101" s="1271"/>
      <c r="O101" s="1271"/>
      <c r="P101" s="1271"/>
      <c r="Q101" s="1271"/>
      <c r="R101" s="1271"/>
      <c r="S101" s="1271"/>
      <c r="T101" s="1271"/>
    </row>
    <row r="102" spans="1:20">
      <c r="A102" s="1342"/>
      <c r="B102" s="1336"/>
      <c r="C102" s="1270"/>
      <c r="D102" s="1270"/>
      <c r="E102" s="1337"/>
      <c r="F102" s="1265"/>
      <c r="G102" s="1265"/>
      <c r="H102" s="1265"/>
      <c r="I102" s="1265"/>
      <c r="J102" s="1265"/>
      <c r="K102" s="1265"/>
      <c r="L102" s="1271"/>
      <c r="M102" s="1271"/>
      <c r="N102" s="1271"/>
      <c r="O102" s="1271"/>
      <c r="P102" s="1271"/>
      <c r="Q102" s="1271"/>
      <c r="R102" s="1271"/>
      <c r="S102" s="1271"/>
      <c r="T102" s="1271"/>
    </row>
    <row r="103" spans="1:20">
      <c r="A103" s="1342"/>
      <c r="B103" s="1336"/>
      <c r="C103" s="1270"/>
      <c r="D103" s="1270"/>
      <c r="E103" s="1337"/>
      <c r="F103" s="1265"/>
      <c r="G103" s="1265"/>
      <c r="H103" s="1265"/>
      <c r="I103" s="1265"/>
      <c r="J103" s="1265"/>
      <c r="K103" s="1265"/>
      <c r="L103" s="1271"/>
      <c r="M103" s="1271"/>
      <c r="N103" s="1271"/>
      <c r="O103" s="1271"/>
      <c r="P103" s="1271"/>
      <c r="Q103" s="1271"/>
      <c r="R103" s="1271"/>
      <c r="S103" s="1271"/>
      <c r="T103" s="1271"/>
    </row>
    <row r="104" spans="1:20">
      <c r="A104" s="1342"/>
      <c r="B104" s="1336"/>
      <c r="C104" s="1270"/>
      <c r="D104" s="1270"/>
      <c r="E104" s="1337"/>
      <c r="F104" s="1265"/>
      <c r="G104" s="1265"/>
      <c r="H104" s="1265"/>
      <c r="I104" s="1265"/>
      <c r="J104" s="1265"/>
      <c r="K104" s="1265"/>
      <c r="L104" s="1271"/>
      <c r="M104" s="1271"/>
      <c r="N104" s="1271"/>
      <c r="O104" s="1271"/>
      <c r="P104" s="1271"/>
      <c r="Q104" s="1271"/>
      <c r="R104" s="1271"/>
      <c r="S104" s="1271"/>
      <c r="T104" s="1271"/>
    </row>
    <row r="105" spans="1:20">
      <c r="A105" s="1342"/>
      <c r="B105" s="1338"/>
      <c r="C105" s="1330"/>
      <c r="D105" s="1330"/>
      <c r="E105" s="1330"/>
      <c r="F105" s="1267"/>
      <c r="G105" s="1267"/>
      <c r="H105" s="1267"/>
      <c r="I105" s="1267"/>
      <c r="J105" s="1267"/>
      <c r="K105" s="1267"/>
      <c r="L105" s="1271"/>
      <c r="M105" s="1271"/>
      <c r="N105" s="1271"/>
      <c r="O105" s="1271"/>
      <c r="P105" s="1271"/>
      <c r="Q105" s="1271"/>
      <c r="R105" s="1271"/>
      <c r="S105" s="1271"/>
      <c r="T105" s="1271"/>
    </row>
    <row r="106" spans="1:20" ht="6.75" customHeight="1">
      <c r="A106" s="1331"/>
      <c r="B106" s="1332"/>
      <c r="C106" s="1252"/>
      <c r="D106" s="1252"/>
      <c r="E106" s="1252"/>
      <c r="F106" s="1267"/>
      <c r="G106" s="1265"/>
      <c r="H106" s="1267"/>
      <c r="I106" s="1267"/>
      <c r="J106" s="1265"/>
      <c r="K106" s="1267"/>
      <c r="L106" s="1271"/>
      <c r="M106" s="1271"/>
      <c r="N106" s="1271"/>
      <c r="O106" s="1271"/>
      <c r="P106" s="1271"/>
      <c r="Q106" s="1271"/>
      <c r="R106" s="1271"/>
      <c r="S106" s="1271"/>
      <c r="T106" s="1271"/>
    </row>
    <row r="107" spans="1:20">
      <c r="A107" s="1342"/>
      <c r="B107" s="1344"/>
      <c r="C107" s="1270"/>
      <c r="D107" s="1270"/>
      <c r="E107" s="1337"/>
      <c r="F107" s="1265"/>
      <c r="G107" s="1265"/>
      <c r="H107" s="1265"/>
      <c r="I107" s="1265"/>
      <c r="J107" s="1265"/>
      <c r="K107" s="1265"/>
      <c r="L107" s="1271"/>
      <c r="M107" s="1271"/>
      <c r="N107" s="1271"/>
      <c r="O107" s="1271"/>
      <c r="P107" s="1271"/>
      <c r="Q107" s="1271"/>
      <c r="R107" s="1271"/>
      <c r="S107" s="1271"/>
      <c r="T107" s="1271"/>
    </row>
    <row r="108" spans="1:20">
      <c r="A108" s="1342"/>
      <c r="B108" s="1344"/>
      <c r="C108" s="1270"/>
      <c r="D108" s="1270"/>
      <c r="E108" s="1337"/>
      <c r="F108" s="1265"/>
      <c r="G108" s="1265"/>
      <c r="H108" s="1265"/>
      <c r="I108" s="1265"/>
      <c r="J108" s="1265"/>
      <c r="K108" s="1265"/>
      <c r="L108" s="1271"/>
      <c r="M108" s="1271"/>
      <c r="N108" s="1271"/>
      <c r="O108" s="1271"/>
      <c r="P108" s="1271"/>
      <c r="Q108" s="1271"/>
      <c r="R108" s="1271"/>
      <c r="S108" s="1271"/>
      <c r="T108" s="1271"/>
    </row>
    <row r="109" spans="1:20">
      <c r="A109" s="1342"/>
      <c r="B109" s="1338"/>
      <c r="C109" s="1330"/>
      <c r="D109" s="1330"/>
      <c r="E109" s="1330"/>
      <c r="F109" s="1267"/>
      <c r="G109" s="1267"/>
      <c r="H109" s="1267"/>
      <c r="I109" s="1267"/>
      <c r="J109" s="1267"/>
      <c r="K109" s="1267"/>
      <c r="L109" s="1271"/>
      <c r="M109" s="1271"/>
      <c r="N109" s="1271"/>
      <c r="O109" s="1271"/>
      <c r="P109" s="1271"/>
      <c r="Q109" s="1271"/>
      <c r="R109" s="1271"/>
      <c r="S109" s="1271"/>
      <c r="T109" s="1271"/>
    </row>
    <row r="110" spans="1:20" ht="6.75" customHeight="1">
      <c r="A110" s="1331"/>
      <c r="B110" s="1332"/>
      <c r="C110" s="1252"/>
      <c r="D110" s="1252"/>
      <c r="E110" s="1252"/>
      <c r="F110" s="1267"/>
      <c r="G110" s="1265"/>
      <c r="H110" s="1267"/>
      <c r="I110" s="1267"/>
      <c r="J110" s="1265"/>
      <c r="K110" s="1267"/>
      <c r="L110" s="1271"/>
      <c r="M110" s="1271"/>
      <c r="N110" s="1271"/>
      <c r="O110" s="1271"/>
      <c r="P110" s="1271"/>
      <c r="Q110" s="1271"/>
      <c r="R110" s="1271"/>
      <c r="S110" s="1271"/>
      <c r="T110" s="1271"/>
    </row>
    <row r="111" spans="1:20">
      <c r="A111" s="1345"/>
      <c r="B111" s="1346"/>
      <c r="C111" s="1270"/>
      <c r="D111" s="1270"/>
      <c r="E111" s="1337"/>
      <c r="F111" s="1265"/>
      <c r="G111" s="1265"/>
      <c r="H111" s="1265"/>
      <c r="I111" s="1265"/>
      <c r="J111" s="1265"/>
      <c r="K111" s="1265"/>
      <c r="L111" s="1271"/>
      <c r="M111" s="1271"/>
      <c r="N111" s="1271"/>
      <c r="O111" s="1271"/>
      <c r="P111" s="1271"/>
      <c r="Q111" s="1271"/>
      <c r="R111" s="1271"/>
      <c r="S111" s="1271"/>
      <c r="T111" s="1271"/>
    </row>
    <row r="112" spans="1:20">
      <c r="A112" s="1347"/>
      <c r="B112" s="1329"/>
      <c r="C112" s="1330"/>
      <c r="D112" s="1330"/>
      <c r="E112" s="1330"/>
      <c r="F112" s="1267"/>
      <c r="G112" s="1267"/>
      <c r="H112" s="1267"/>
      <c r="I112" s="1267"/>
      <c r="J112" s="1267"/>
      <c r="K112" s="1267"/>
      <c r="L112" s="1271"/>
      <c r="M112" s="1271"/>
      <c r="N112" s="1271"/>
      <c r="O112" s="1271"/>
      <c r="P112" s="1271"/>
      <c r="Q112" s="1271"/>
      <c r="R112" s="1271"/>
      <c r="S112" s="1271"/>
      <c r="T112" s="1271"/>
    </row>
    <row r="113" spans="1:20" ht="6.75" customHeight="1">
      <c r="A113" s="1331"/>
      <c r="B113" s="1332"/>
      <c r="C113" s="1252"/>
      <c r="D113" s="1252"/>
      <c r="E113" s="1252"/>
      <c r="F113" s="1267"/>
      <c r="G113" s="1265"/>
      <c r="H113" s="1267"/>
      <c r="I113" s="1267"/>
      <c r="J113" s="1265"/>
      <c r="K113" s="1267"/>
      <c r="L113" s="1271"/>
      <c r="M113" s="1271"/>
      <c r="N113" s="1271"/>
      <c r="O113" s="1271"/>
      <c r="P113" s="1271"/>
      <c r="Q113" s="1271"/>
      <c r="R113" s="1271"/>
      <c r="S113" s="1271"/>
      <c r="T113" s="1271"/>
    </row>
    <row r="114" spans="1:20">
      <c r="A114" s="1345"/>
      <c r="B114" s="1346"/>
      <c r="C114" s="1270"/>
      <c r="D114" s="1270"/>
      <c r="E114" s="1337"/>
      <c r="F114" s="1265"/>
      <c r="G114" s="1265"/>
      <c r="H114" s="1265"/>
      <c r="I114" s="1265"/>
      <c r="J114" s="1265"/>
      <c r="K114" s="1265"/>
      <c r="L114" s="1271"/>
      <c r="M114" s="1271"/>
      <c r="N114" s="1271"/>
      <c r="O114" s="1271"/>
      <c r="P114" s="1271"/>
      <c r="Q114" s="1271"/>
      <c r="R114" s="1271"/>
      <c r="S114" s="1271"/>
      <c r="T114" s="1271"/>
    </row>
    <row r="115" spans="1:20">
      <c r="A115" s="1347"/>
      <c r="B115" s="1329"/>
      <c r="C115" s="1330"/>
      <c r="D115" s="1330"/>
      <c r="E115" s="1330"/>
      <c r="F115" s="1267"/>
      <c r="G115" s="1267"/>
      <c r="H115" s="1267"/>
      <c r="I115" s="1267"/>
      <c r="J115" s="1267"/>
      <c r="K115" s="1267"/>
      <c r="L115" s="1271"/>
      <c r="M115" s="1271"/>
      <c r="N115" s="1271"/>
      <c r="O115" s="1271"/>
      <c r="P115" s="1271"/>
      <c r="Q115" s="1271"/>
      <c r="R115" s="1271"/>
      <c r="S115" s="1271"/>
      <c r="T115" s="1271"/>
    </row>
    <row r="116" spans="1:20" ht="6.75" customHeight="1">
      <c r="A116" s="1331"/>
      <c r="B116" s="1332"/>
      <c r="C116" s="1252"/>
      <c r="D116" s="1252"/>
      <c r="E116" s="1252"/>
      <c r="F116" s="1267"/>
      <c r="G116" s="1265"/>
      <c r="H116" s="1267"/>
      <c r="I116" s="1267"/>
      <c r="J116" s="1265"/>
      <c r="K116" s="1267"/>
      <c r="L116" s="1271"/>
      <c r="M116" s="1271"/>
      <c r="N116" s="1271"/>
      <c r="O116" s="1271"/>
      <c r="P116" s="1271"/>
      <c r="Q116" s="1271"/>
      <c r="R116" s="1271"/>
      <c r="S116" s="1271"/>
      <c r="T116" s="1271"/>
    </row>
    <row r="117" spans="1:20">
      <c r="A117" s="1345"/>
      <c r="B117" s="1346"/>
      <c r="C117" s="1270"/>
      <c r="D117" s="1270"/>
      <c r="E117" s="1337"/>
      <c r="F117" s="1265"/>
      <c r="G117" s="1265"/>
      <c r="H117" s="1265"/>
      <c r="I117" s="1265"/>
      <c r="J117" s="1265"/>
      <c r="K117" s="1265"/>
      <c r="L117" s="1271"/>
      <c r="M117" s="1271"/>
      <c r="N117" s="1271"/>
      <c r="O117" s="1271"/>
      <c r="P117" s="1271"/>
      <c r="Q117" s="1271"/>
      <c r="R117" s="1271"/>
      <c r="S117" s="1271"/>
      <c r="T117" s="1271"/>
    </row>
    <row r="118" spans="1:20">
      <c r="A118" s="1347"/>
      <c r="B118" s="1329"/>
      <c r="C118" s="1330"/>
      <c r="D118" s="1330"/>
      <c r="E118" s="1330"/>
      <c r="F118" s="1267"/>
      <c r="G118" s="1267"/>
      <c r="H118" s="1267"/>
      <c r="I118" s="1267"/>
      <c r="J118" s="1267"/>
      <c r="K118" s="1267"/>
      <c r="L118" s="1271"/>
      <c r="M118" s="1271"/>
      <c r="N118" s="1271"/>
      <c r="O118" s="1271"/>
      <c r="P118" s="1271"/>
      <c r="Q118" s="1271"/>
      <c r="R118" s="1271"/>
      <c r="S118" s="1271"/>
      <c r="T118" s="1271"/>
    </row>
    <row r="119" spans="1:20" ht="6.75" customHeight="1">
      <c r="A119" s="1331"/>
      <c r="B119" s="1332"/>
      <c r="C119" s="1252"/>
      <c r="D119" s="1252"/>
      <c r="E119" s="1252"/>
      <c r="F119" s="1267"/>
      <c r="G119" s="1265"/>
      <c r="H119" s="1267"/>
      <c r="I119" s="1267"/>
      <c r="J119" s="1265"/>
      <c r="K119" s="1267"/>
      <c r="L119" s="1271"/>
      <c r="M119" s="1271"/>
      <c r="N119" s="1271"/>
      <c r="O119" s="1271"/>
      <c r="P119" s="1271"/>
      <c r="Q119" s="1271"/>
      <c r="R119" s="1271"/>
      <c r="S119" s="1271"/>
      <c r="T119" s="1271"/>
    </row>
    <row r="120" spans="1:20">
      <c r="A120" s="1342"/>
      <c r="B120" s="1348"/>
      <c r="C120" s="1270"/>
      <c r="D120" s="1270"/>
      <c r="E120" s="1337"/>
      <c r="F120" s="1265"/>
      <c r="G120" s="1265"/>
      <c r="H120" s="1265"/>
      <c r="I120" s="1265"/>
      <c r="J120" s="1265"/>
      <c r="K120" s="1265"/>
      <c r="L120" s="1271"/>
      <c r="M120" s="1271"/>
      <c r="N120" s="1271"/>
      <c r="O120" s="1271"/>
      <c r="P120" s="1271"/>
      <c r="Q120" s="1271"/>
      <c r="R120" s="1271"/>
      <c r="S120" s="1271"/>
      <c r="T120" s="1271"/>
    </row>
    <row r="121" spans="1:20">
      <c r="A121" s="1342"/>
      <c r="B121" s="1329"/>
      <c r="C121" s="1330"/>
      <c r="D121" s="1330"/>
      <c r="E121" s="1330"/>
      <c r="F121" s="1267"/>
      <c r="G121" s="1267"/>
      <c r="H121" s="1267"/>
      <c r="I121" s="1267"/>
      <c r="J121" s="1267"/>
      <c r="K121" s="1267"/>
      <c r="L121" s="1271"/>
      <c r="M121" s="1271"/>
      <c r="N121" s="1271"/>
      <c r="O121" s="1271"/>
      <c r="P121" s="1271"/>
      <c r="Q121" s="1271"/>
      <c r="R121" s="1271"/>
      <c r="S121" s="1271"/>
      <c r="T121" s="1271"/>
    </row>
    <row r="122" spans="1:20" ht="6.75" customHeight="1">
      <c r="A122" s="1331"/>
      <c r="B122" s="1332"/>
      <c r="C122" s="1252"/>
      <c r="D122" s="1252"/>
      <c r="E122" s="1252"/>
      <c r="F122" s="1267"/>
      <c r="G122" s="1265"/>
      <c r="H122" s="1267"/>
      <c r="I122" s="1267"/>
      <c r="J122" s="1265"/>
      <c r="K122" s="1267"/>
      <c r="L122" s="1271"/>
      <c r="M122" s="1271"/>
      <c r="N122" s="1271"/>
      <c r="O122" s="1271"/>
      <c r="P122" s="1271"/>
      <c r="Q122" s="1271"/>
      <c r="R122" s="1271"/>
      <c r="S122" s="1271"/>
      <c r="T122" s="1271"/>
    </row>
    <row r="123" spans="1:20">
      <c r="A123" s="1342"/>
      <c r="B123" s="1348"/>
      <c r="C123" s="1270"/>
      <c r="D123" s="1270"/>
      <c r="E123" s="1337"/>
      <c r="F123" s="1265"/>
      <c r="G123" s="1265"/>
      <c r="H123" s="1265"/>
      <c r="I123" s="1265"/>
      <c r="J123" s="1265"/>
      <c r="K123" s="1265"/>
      <c r="L123" s="1271"/>
      <c r="M123" s="1271"/>
      <c r="N123" s="1271"/>
      <c r="O123" s="1271"/>
      <c r="P123" s="1271"/>
      <c r="Q123" s="1271"/>
      <c r="R123" s="1271"/>
      <c r="S123" s="1271"/>
      <c r="T123" s="1271"/>
    </row>
    <row r="124" spans="1:20">
      <c r="A124" s="1342"/>
      <c r="B124" s="1329"/>
      <c r="C124" s="1330"/>
      <c r="D124" s="1330"/>
      <c r="E124" s="1330"/>
      <c r="F124" s="1267"/>
      <c r="G124" s="1267"/>
      <c r="H124" s="1267"/>
      <c r="I124" s="1267"/>
      <c r="J124" s="1267"/>
      <c r="K124" s="1267"/>
      <c r="L124" s="1271"/>
      <c r="M124" s="1271"/>
      <c r="N124" s="1271"/>
      <c r="O124" s="1271"/>
      <c r="P124" s="1271"/>
      <c r="Q124" s="1271"/>
      <c r="R124" s="1271"/>
      <c r="S124" s="1271"/>
      <c r="T124" s="1271"/>
    </row>
    <row r="125" spans="1:20" ht="6.75" customHeight="1">
      <c r="A125" s="1331"/>
      <c r="B125" s="1332"/>
      <c r="C125" s="1252"/>
      <c r="D125" s="1252"/>
      <c r="E125" s="1252"/>
      <c r="F125" s="1267"/>
      <c r="G125" s="1265"/>
      <c r="H125" s="1267"/>
      <c r="I125" s="1267"/>
      <c r="J125" s="1265"/>
      <c r="K125" s="1267"/>
      <c r="L125" s="1271"/>
      <c r="M125" s="1271"/>
      <c r="N125" s="1271"/>
      <c r="O125" s="1271"/>
      <c r="P125" s="1271"/>
      <c r="Q125" s="1271"/>
      <c r="R125" s="1271"/>
      <c r="S125" s="1271"/>
      <c r="T125" s="1271"/>
    </row>
    <row r="126" spans="1:20">
      <c r="A126" s="1349"/>
      <c r="B126" s="1350"/>
      <c r="C126" s="1270"/>
      <c r="D126" s="1270"/>
      <c r="E126" s="1337"/>
      <c r="F126" s="1265"/>
      <c r="G126" s="1265"/>
      <c r="H126" s="1265"/>
      <c r="I126" s="1265"/>
      <c r="J126" s="1265"/>
      <c r="K126" s="1265"/>
      <c r="L126" s="1271"/>
      <c r="M126" s="1271"/>
      <c r="N126" s="1271"/>
      <c r="O126" s="1271"/>
      <c r="P126" s="1271"/>
      <c r="Q126" s="1271"/>
      <c r="R126" s="1271"/>
      <c r="S126" s="1271"/>
      <c r="T126" s="1271"/>
    </row>
    <row r="127" spans="1:20">
      <c r="A127" s="1342"/>
      <c r="B127" s="1329"/>
      <c r="C127" s="1330"/>
      <c r="D127" s="1330"/>
      <c r="E127" s="1330"/>
      <c r="F127" s="1267"/>
      <c r="G127" s="1267"/>
      <c r="H127" s="1267"/>
      <c r="I127" s="1267"/>
      <c r="J127" s="1267"/>
      <c r="K127" s="1267"/>
      <c r="L127" s="1271"/>
      <c r="M127" s="1271"/>
      <c r="N127" s="1271"/>
      <c r="O127" s="1271"/>
      <c r="P127" s="1271"/>
      <c r="Q127" s="1271"/>
      <c r="R127" s="1271"/>
      <c r="S127" s="1271"/>
      <c r="T127" s="1271"/>
    </row>
    <row r="128" spans="1:20" ht="6.75" customHeight="1">
      <c r="A128" s="1331"/>
      <c r="B128" s="1332"/>
      <c r="C128" s="1252"/>
      <c r="D128" s="1252"/>
      <c r="E128" s="1252"/>
      <c r="F128" s="1267"/>
      <c r="G128" s="1265"/>
      <c r="H128" s="1267"/>
      <c r="I128" s="1267"/>
      <c r="J128" s="1265"/>
      <c r="K128" s="1267"/>
      <c r="L128" s="1271"/>
      <c r="M128" s="1271"/>
      <c r="N128" s="1271"/>
      <c r="O128" s="1271"/>
      <c r="P128" s="1271"/>
      <c r="Q128" s="1271"/>
      <c r="R128" s="1271"/>
      <c r="S128" s="1271"/>
      <c r="T128" s="1271"/>
    </row>
    <row r="129" spans="1:20">
      <c r="A129" s="1342"/>
      <c r="B129" s="1350"/>
      <c r="C129" s="1270"/>
      <c r="D129" s="1270"/>
      <c r="E129" s="1337"/>
      <c r="F129" s="1265"/>
      <c r="G129" s="1265"/>
      <c r="H129" s="1265"/>
      <c r="I129" s="1265"/>
      <c r="J129" s="1265"/>
      <c r="K129" s="1265"/>
      <c r="L129" s="1271"/>
      <c r="M129" s="1271"/>
      <c r="N129" s="1271"/>
      <c r="O129" s="1271"/>
      <c r="P129" s="1271"/>
      <c r="Q129" s="1271"/>
      <c r="R129" s="1271"/>
      <c r="S129" s="1271"/>
      <c r="T129" s="1271"/>
    </row>
    <row r="130" spans="1:20">
      <c r="A130" s="1342"/>
      <c r="B130" s="1329"/>
      <c r="C130" s="1330"/>
      <c r="D130" s="1330"/>
      <c r="E130" s="1330"/>
      <c r="F130" s="1267"/>
      <c r="G130" s="1267"/>
      <c r="H130" s="1267"/>
      <c r="I130" s="1267"/>
      <c r="J130" s="1267"/>
      <c r="K130" s="1267"/>
      <c r="L130" s="1271"/>
      <c r="M130" s="1271"/>
      <c r="N130" s="1271"/>
      <c r="O130" s="1271"/>
      <c r="P130" s="1271"/>
      <c r="Q130" s="1271"/>
      <c r="R130" s="1271"/>
      <c r="S130" s="1271"/>
      <c r="T130" s="1271"/>
    </row>
    <row r="131" spans="1:20" ht="6.75" customHeight="1">
      <c r="A131" s="1331"/>
      <c r="B131" s="1332"/>
      <c r="C131" s="1252"/>
      <c r="D131" s="1252"/>
      <c r="E131" s="1252"/>
      <c r="F131" s="1267"/>
      <c r="G131" s="1265"/>
      <c r="H131" s="1267"/>
      <c r="I131" s="1267"/>
      <c r="J131" s="1265"/>
      <c r="K131" s="1267"/>
      <c r="L131" s="1271"/>
      <c r="M131" s="1271"/>
      <c r="N131" s="1271"/>
      <c r="O131" s="1271"/>
      <c r="P131" s="1271"/>
      <c r="Q131" s="1271"/>
      <c r="R131" s="1271"/>
      <c r="S131" s="1271"/>
      <c r="T131" s="1271"/>
    </row>
    <row r="132" spans="1:20">
      <c r="A132" s="1342"/>
      <c r="B132" s="1350"/>
      <c r="C132" s="1270"/>
      <c r="D132" s="1270"/>
      <c r="E132" s="1337"/>
      <c r="F132" s="1265"/>
      <c r="G132" s="1265"/>
      <c r="H132" s="1265"/>
      <c r="I132" s="1265"/>
      <c r="J132" s="1265"/>
      <c r="K132" s="1265"/>
      <c r="L132" s="1271"/>
      <c r="M132" s="1271"/>
      <c r="N132" s="1271"/>
      <c r="O132" s="1271"/>
      <c r="P132" s="1271"/>
      <c r="Q132" s="1271"/>
      <c r="R132" s="1271"/>
      <c r="S132" s="1271"/>
      <c r="T132" s="1271"/>
    </row>
    <row r="133" spans="1:20">
      <c r="A133" s="1342"/>
      <c r="B133" s="1329"/>
      <c r="C133" s="1330"/>
      <c r="D133" s="1330"/>
      <c r="E133" s="1330"/>
      <c r="F133" s="1267"/>
      <c r="G133" s="1267"/>
      <c r="H133" s="1267"/>
      <c r="I133" s="1267"/>
      <c r="J133" s="1267"/>
      <c r="K133" s="1267"/>
      <c r="L133" s="1271"/>
      <c r="M133" s="1271"/>
      <c r="N133" s="1271"/>
      <c r="O133" s="1271"/>
      <c r="P133" s="1271"/>
      <c r="Q133" s="1271"/>
      <c r="R133" s="1271"/>
      <c r="S133" s="1271"/>
      <c r="T133" s="1271"/>
    </row>
    <row r="134" spans="1:20" ht="6.75" customHeight="1">
      <c r="A134" s="1331"/>
      <c r="B134" s="1332"/>
      <c r="C134" s="1252"/>
      <c r="D134" s="1252"/>
      <c r="E134" s="1252"/>
      <c r="F134" s="1267"/>
      <c r="G134" s="1265"/>
      <c r="H134" s="1267"/>
      <c r="I134" s="1267"/>
      <c r="J134" s="1265"/>
      <c r="K134" s="1267"/>
      <c r="L134" s="1271"/>
      <c r="M134" s="1271"/>
      <c r="N134" s="1271"/>
      <c r="O134" s="1271"/>
      <c r="P134" s="1271"/>
      <c r="Q134" s="1271"/>
      <c r="R134" s="1271"/>
      <c r="S134" s="1271"/>
      <c r="T134" s="1271"/>
    </row>
    <row r="135" spans="1:20">
      <c r="A135" s="1342"/>
      <c r="B135" s="1350"/>
      <c r="C135" s="1270"/>
      <c r="D135" s="1270"/>
      <c r="E135" s="1337"/>
      <c r="F135" s="1265"/>
      <c r="G135" s="1265"/>
      <c r="H135" s="1265"/>
      <c r="I135" s="1265"/>
      <c r="J135" s="1265"/>
      <c r="K135" s="1265"/>
      <c r="L135" s="1271"/>
      <c r="M135" s="1271"/>
      <c r="N135" s="1271"/>
      <c r="O135" s="1271"/>
      <c r="P135" s="1271"/>
      <c r="Q135" s="1271"/>
      <c r="R135" s="1271"/>
      <c r="S135" s="1271"/>
      <c r="T135" s="1271"/>
    </row>
    <row r="136" spans="1:20">
      <c r="A136" s="1342"/>
      <c r="B136" s="1329"/>
      <c r="C136" s="1330"/>
      <c r="D136" s="1330"/>
      <c r="E136" s="1330"/>
      <c r="F136" s="1267"/>
      <c r="G136" s="1267"/>
      <c r="H136" s="1267"/>
      <c r="I136" s="1267"/>
      <c r="J136" s="1267"/>
      <c r="K136" s="1267"/>
      <c r="L136" s="1271"/>
      <c r="M136" s="1271"/>
      <c r="N136" s="1271"/>
      <c r="O136" s="1271"/>
      <c r="P136" s="1271"/>
      <c r="Q136" s="1271"/>
      <c r="R136" s="1271"/>
      <c r="S136" s="1271"/>
      <c r="T136" s="1271"/>
    </row>
    <row r="137" spans="1:20" ht="6.75" customHeight="1">
      <c r="A137" s="1331"/>
      <c r="B137" s="1332"/>
      <c r="C137" s="1252"/>
      <c r="D137" s="1252"/>
      <c r="E137" s="1252"/>
      <c r="F137" s="1267"/>
      <c r="G137" s="1265"/>
      <c r="H137" s="1267"/>
      <c r="I137" s="1267"/>
      <c r="J137" s="1265"/>
      <c r="K137" s="1267"/>
      <c r="L137" s="1271"/>
      <c r="M137" s="1271"/>
      <c r="N137" s="1271"/>
      <c r="O137" s="1271"/>
      <c r="P137" s="1271"/>
      <c r="Q137" s="1271"/>
      <c r="R137" s="1271"/>
      <c r="S137" s="1271"/>
      <c r="T137" s="1271"/>
    </row>
    <row r="138" spans="1:20">
      <c r="A138" s="1345"/>
      <c r="B138" s="1346"/>
      <c r="C138" s="1270"/>
      <c r="D138" s="1270"/>
      <c r="E138" s="1337"/>
      <c r="F138" s="1265"/>
      <c r="G138" s="1265"/>
      <c r="H138" s="1265"/>
      <c r="I138" s="1265"/>
      <c r="J138" s="1265"/>
      <c r="K138" s="1265"/>
      <c r="L138" s="1271"/>
      <c r="M138" s="1271"/>
      <c r="N138" s="1271"/>
      <c r="O138" s="1271"/>
      <c r="P138" s="1271"/>
      <c r="Q138" s="1271"/>
      <c r="R138" s="1271"/>
      <c r="S138" s="1271"/>
      <c r="T138" s="1271"/>
    </row>
    <row r="139" spans="1:20">
      <c r="A139" s="1351"/>
      <c r="B139" s="1329"/>
      <c r="C139" s="1330"/>
      <c r="D139" s="1330"/>
      <c r="E139" s="1330"/>
      <c r="F139" s="1267"/>
      <c r="G139" s="1267"/>
      <c r="H139" s="1267"/>
      <c r="I139" s="1267"/>
      <c r="J139" s="1267"/>
      <c r="K139" s="1267"/>
      <c r="L139" s="1271"/>
      <c r="M139" s="1271"/>
      <c r="N139" s="1271"/>
      <c r="O139" s="1271"/>
      <c r="P139" s="1271"/>
      <c r="Q139" s="1271"/>
      <c r="R139" s="1271"/>
      <c r="S139" s="1271"/>
      <c r="T139" s="1271"/>
    </row>
    <row r="140" spans="1:20" ht="6.75" customHeight="1">
      <c r="A140" s="1331"/>
      <c r="B140" s="1332"/>
      <c r="C140" s="1252"/>
      <c r="D140" s="1252"/>
      <c r="E140" s="1252"/>
      <c r="F140" s="1267"/>
      <c r="G140" s="1265"/>
      <c r="H140" s="1267"/>
      <c r="I140" s="1267"/>
      <c r="J140" s="1265"/>
      <c r="K140" s="1267"/>
      <c r="L140" s="1271"/>
      <c r="M140" s="1271"/>
      <c r="N140" s="1271"/>
      <c r="O140" s="1271"/>
      <c r="P140" s="1271"/>
      <c r="Q140" s="1271"/>
      <c r="R140" s="1271"/>
      <c r="S140" s="1271"/>
      <c r="T140" s="1271"/>
    </row>
    <row r="141" spans="1:20">
      <c r="A141" s="1335"/>
      <c r="B141" s="1336"/>
      <c r="C141" s="1270"/>
      <c r="D141" s="1270"/>
      <c r="E141" s="1337"/>
      <c r="F141" s="1265"/>
      <c r="G141" s="1265"/>
      <c r="H141" s="1265"/>
      <c r="I141" s="1265"/>
      <c r="J141" s="1265"/>
      <c r="K141" s="1265"/>
      <c r="L141" s="1271"/>
      <c r="M141" s="1271"/>
      <c r="N141" s="1271"/>
      <c r="O141" s="1271"/>
      <c r="P141" s="1271"/>
      <c r="Q141" s="1271"/>
      <c r="R141" s="1271"/>
      <c r="S141" s="1271"/>
      <c r="T141" s="1271"/>
    </row>
    <row r="142" spans="1:20">
      <c r="A142" s="1351"/>
      <c r="B142" s="1329"/>
      <c r="C142" s="1330"/>
      <c r="D142" s="1330"/>
      <c r="E142" s="1330"/>
      <c r="F142" s="1267"/>
      <c r="G142" s="1267"/>
      <c r="H142" s="1267"/>
      <c r="I142" s="1267"/>
      <c r="J142" s="1267"/>
      <c r="K142" s="1267"/>
      <c r="L142" s="1271"/>
      <c r="M142" s="1271"/>
      <c r="N142" s="1271"/>
      <c r="O142" s="1271"/>
      <c r="P142" s="1271"/>
      <c r="Q142" s="1271"/>
      <c r="R142" s="1271"/>
      <c r="S142" s="1271"/>
      <c r="T142" s="1271"/>
    </row>
    <row r="143" spans="1:20" ht="6.75" customHeight="1">
      <c r="A143" s="1331"/>
      <c r="B143" s="1332"/>
      <c r="C143" s="1252"/>
      <c r="D143" s="1252"/>
      <c r="E143" s="1252"/>
      <c r="F143" s="1267"/>
      <c r="G143" s="1265"/>
      <c r="H143" s="1267"/>
      <c r="I143" s="1267"/>
      <c r="J143" s="1265"/>
      <c r="K143" s="1267"/>
      <c r="L143" s="1271"/>
      <c r="M143" s="1271"/>
      <c r="N143" s="1271"/>
      <c r="O143" s="1271"/>
      <c r="P143" s="1271"/>
      <c r="Q143" s="1271"/>
      <c r="R143" s="1271"/>
      <c r="S143" s="1271"/>
      <c r="T143" s="1271"/>
    </row>
    <row r="144" spans="1:20" ht="18" customHeight="1">
      <c r="A144" s="1333"/>
      <c r="B144" s="1352"/>
      <c r="C144" s="1270"/>
      <c r="D144" s="1270"/>
      <c r="E144" s="1337"/>
      <c r="F144" s="1265"/>
      <c r="G144" s="1265"/>
      <c r="H144" s="1265"/>
      <c r="I144" s="1265"/>
      <c r="J144" s="1265"/>
      <c r="K144" s="1265"/>
      <c r="L144" s="1271"/>
      <c r="M144" s="1271"/>
      <c r="N144" s="1271"/>
      <c r="O144" s="1271"/>
      <c r="P144" s="1271"/>
      <c r="Q144" s="1271"/>
      <c r="R144" s="1271"/>
      <c r="S144" s="1271"/>
      <c r="T144" s="1271"/>
    </row>
    <row r="145" spans="1:20" ht="18" customHeight="1">
      <c r="A145" s="1333"/>
      <c r="B145" s="1353"/>
      <c r="C145" s="1270"/>
      <c r="D145" s="1270"/>
      <c r="E145" s="1337"/>
      <c r="F145" s="1265"/>
      <c r="G145" s="1265"/>
      <c r="H145" s="1265"/>
      <c r="I145" s="1265"/>
      <c r="J145" s="1265"/>
      <c r="K145" s="1265"/>
      <c r="L145" s="1271"/>
      <c r="M145" s="1271"/>
      <c r="N145" s="1271"/>
      <c r="O145" s="1271"/>
      <c r="P145" s="1271"/>
      <c r="Q145" s="1271"/>
      <c r="R145" s="1271"/>
      <c r="S145" s="1271"/>
      <c r="T145" s="1271"/>
    </row>
    <row r="146" spans="1:20" ht="18" customHeight="1">
      <c r="A146" s="1333"/>
      <c r="B146" s="1352"/>
      <c r="C146" s="1270"/>
      <c r="D146" s="1270"/>
      <c r="E146" s="1337"/>
      <c r="F146" s="1265"/>
      <c r="G146" s="1265"/>
      <c r="H146" s="1265"/>
      <c r="I146" s="1265"/>
      <c r="J146" s="1265"/>
      <c r="K146" s="1265"/>
      <c r="L146" s="1271"/>
      <c r="M146" s="1271"/>
      <c r="N146" s="1271"/>
      <c r="O146" s="1271"/>
      <c r="P146" s="1271"/>
      <c r="Q146" s="1271"/>
      <c r="R146" s="1271"/>
      <c r="S146" s="1271"/>
      <c r="T146" s="1271"/>
    </row>
    <row r="147" spans="1:20" ht="18" customHeight="1">
      <c r="A147" s="1333"/>
      <c r="B147" s="1352"/>
      <c r="C147" s="1270"/>
      <c r="D147" s="1270"/>
      <c r="E147" s="1337"/>
      <c r="F147" s="1265"/>
      <c r="G147" s="1265"/>
      <c r="H147" s="1265"/>
      <c r="I147" s="1265"/>
      <c r="J147" s="1265"/>
      <c r="K147" s="1265"/>
      <c r="L147" s="1271"/>
      <c r="M147" s="1271"/>
      <c r="N147" s="1271"/>
      <c r="O147" s="1271"/>
      <c r="P147" s="1271"/>
      <c r="Q147" s="1271"/>
      <c r="R147" s="1271"/>
      <c r="S147" s="1271"/>
      <c r="T147" s="1271"/>
    </row>
    <row r="148" spans="1:20" ht="18" customHeight="1">
      <c r="A148" s="1333"/>
      <c r="B148" s="1353"/>
      <c r="C148" s="1354"/>
      <c r="D148" s="1354"/>
      <c r="E148" s="1355"/>
      <c r="F148" s="1266"/>
      <c r="G148" s="1266"/>
      <c r="H148" s="1266"/>
      <c r="I148" s="1266"/>
      <c r="J148" s="1266"/>
      <c r="K148" s="1266"/>
    </row>
    <row r="149" spans="1:20" ht="17.25" customHeight="1">
      <c r="A149" s="1333"/>
      <c r="B149" s="1352"/>
      <c r="C149" s="1354"/>
      <c r="D149" s="1354"/>
      <c r="E149" s="1355"/>
      <c r="F149" s="1266"/>
      <c r="G149" s="1266"/>
      <c r="H149" s="1266"/>
      <c r="I149" s="1266"/>
      <c r="J149" s="1266"/>
      <c r="K149" s="1266"/>
    </row>
    <row r="150" spans="1:20">
      <c r="A150" s="1351"/>
      <c r="B150" s="1329"/>
      <c r="C150" s="1356"/>
      <c r="D150" s="1356"/>
      <c r="E150" s="1357"/>
      <c r="F150" s="1268"/>
      <c r="G150" s="1268"/>
      <c r="H150" s="1268"/>
      <c r="I150" s="1268"/>
      <c r="J150" s="1268"/>
      <c r="K150" s="1268"/>
    </row>
    <row r="151" spans="1:20">
      <c r="A151" s="1358"/>
      <c r="B151" s="1359"/>
      <c r="C151" s="1360"/>
      <c r="D151" s="1360"/>
      <c r="E151" s="1360"/>
      <c r="F151" s="1264"/>
      <c r="G151" s="1264"/>
      <c r="H151" s="1264"/>
      <c r="I151" s="1264"/>
      <c r="J151" s="1264"/>
      <c r="K151" s="1264"/>
    </row>
    <row r="152" spans="1:20">
      <c r="A152" s="1344"/>
      <c r="B152" s="1361"/>
      <c r="C152" s="1354"/>
      <c r="D152" s="1354"/>
      <c r="E152" s="1355"/>
      <c r="F152" s="1266"/>
      <c r="G152" s="1266"/>
      <c r="H152" s="1266"/>
      <c r="I152" s="1266"/>
      <c r="J152" s="1266"/>
      <c r="K152" s="1266"/>
    </row>
    <row r="153" spans="1:20">
      <c r="A153" s="1362"/>
      <c r="B153" s="1329"/>
      <c r="C153" s="1356"/>
      <c r="D153" s="1356"/>
      <c r="E153" s="1357"/>
      <c r="F153" s="1268"/>
      <c r="G153" s="1268"/>
      <c r="H153" s="1268"/>
      <c r="I153" s="1268"/>
      <c r="J153" s="1268"/>
      <c r="K153" s="1268"/>
    </row>
    <row r="154" spans="1:20" ht="6.75" customHeight="1">
      <c r="A154" s="1331"/>
      <c r="B154" s="1332"/>
      <c r="C154" s="1252"/>
      <c r="D154" s="1252"/>
      <c r="E154" s="1252"/>
      <c r="F154" s="1267"/>
      <c r="G154" s="1265"/>
      <c r="H154" s="1267"/>
      <c r="I154" s="1267"/>
      <c r="J154" s="1265"/>
      <c r="K154" s="1267"/>
      <c r="L154" s="1271"/>
      <c r="M154" s="1271"/>
      <c r="N154" s="1271"/>
      <c r="O154" s="1271"/>
      <c r="P154" s="1271"/>
      <c r="Q154" s="1271"/>
      <c r="R154" s="1271"/>
      <c r="S154" s="1271"/>
      <c r="T154" s="1271"/>
    </row>
    <row r="155" spans="1:20">
      <c r="A155" s="1345"/>
      <c r="B155" s="1346"/>
      <c r="C155" s="1354"/>
      <c r="D155" s="1354"/>
      <c r="E155" s="1355"/>
      <c r="F155" s="1266"/>
      <c r="G155" s="1266"/>
      <c r="H155" s="1266"/>
      <c r="I155" s="1266"/>
      <c r="J155" s="1266"/>
      <c r="K155" s="1266"/>
    </row>
    <row r="156" spans="1:20">
      <c r="A156" s="1351"/>
      <c r="B156" s="1329"/>
      <c r="C156" s="1356"/>
      <c r="D156" s="1356"/>
      <c r="E156" s="1357"/>
      <c r="F156" s="1268"/>
      <c r="G156" s="1268"/>
      <c r="H156" s="1268"/>
      <c r="I156" s="1268"/>
      <c r="J156" s="1268"/>
      <c r="K156" s="1268"/>
    </row>
    <row r="157" spans="1:20" ht="6.75" customHeight="1">
      <c r="A157" s="1331"/>
      <c r="B157" s="1332"/>
      <c r="C157" s="1252"/>
      <c r="D157" s="1252"/>
      <c r="E157" s="1252"/>
      <c r="F157" s="1267"/>
      <c r="G157" s="1265"/>
      <c r="H157" s="1267"/>
      <c r="I157" s="1267"/>
      <c r="J157" s="1265"/>
      <c r="K157" s="1267"/>
      <c r="L157" s="1271"/>
      <c r="M157" s="1271"/>
      <c r="N157" s="1271"/>
      <c r="O157" s="1271"/>
      <c r="P157" s="1271"/>
      <c r="Q157" s="1271"/>
      <c r="R157" s="1271"/>
      <c r="S157" s="1271"/>
      <c r="T157" s="1271"/>
    </row>
    <row r="158" spans="1:20">
      <c r="A158" s="1351"/>
      <c r="B158" s="1329"/>
      <c r="C158" s="1356"/>
      <c r="D158" s="1356"/>
      <c r="E158" s="1363"/>
      <c r="F158" s="1268"/>
      <c r="G158" s="1268"/>
      <c r="H158" s="1268"/>
      <c r="I158" s="1268"/>
      <c r="J158" s="1268"/>
      <c r="K158" s="1268"/>
    </row>
    <row r="159" spans="1:20" ht="6.75" customHeight="1">
      <c r="A159" s="1331"/>
      <c r="B159" s="1332"/>
      <c r="C159" s="1252"/>
      <c r="D159" s="1252"/>
      <c r="E159" s="1252"/>
      <c r="F159" s="1267"/>
      <c r="G159" s="1265"/>
      <c r="H159" s="1267"/>
      <c r="I159" s="1267"/>
      <c r="J159" s="1265"/>
      <c r="K159" s="1267"/>
      <c r="L159" s="1271"/>
      <c r="M159" s="1271"/>
      <c r="N159" s="1271"/>
      <c r="O159" s="1271"/>
      <c r="P159" s="1271"/>
      <c r="Q159" s="1271"/>
      <c r="R159" s="1271"/>
      <c r="S159" s="1271"/>
      <c r="T159" s="1271"/>
    </row>
    <row r="160" spans="1:20">
      <c r="A160" s="1351"/>
      <c r="B160" s="1329"/>
      <c r="C160" s="1356"/>
      <c r="D160" s="1356"/>
      <c r="E160" s="1363"/>
      <c r="F160" s="1268"/>
      <c r="G160" s="1268"/>
      <c r="H160" s="1268"/>
      <c r="I160" s="1268"/>
      <c r="J160" s="1268"/>
      <c r="K160" s="1268"/>
    </row>
    <row r="161" spans="1:11" ht="32.25" customHeight="1">
      <c r="A161" s="1253"/>
      <c r="F161" s="1264"/>
      <c r="G161" s="1264"/>
      <c r="H161" s="1264"/>
      <c r="I161" s="1264"/>
      <c r="J161" s="1264"/>
      <c r="K161" s="1264"/>
    </row>
    <row r="162" spans="1:11">
      <c r="F162" s="1264"/>
      <c r="G162" s="1264"/>
      <c r="H162" s="1264"/>
      <c r="I162" s="1264"/>
      <c r="J162" s="1264"/>
      <c r="K162" s="1264"/>
    </row>
    <row r="163" spans="1:11">
      <c r="D163" s="1255"/>
      <c r="F163" s="1264"/>
      <c r="G163" s="1264"/>
      <c r="H163" s="1264"/>
      <c r="I163" s="1264"/>
      <c r="J163" s="1264"/>
      <c r="K163" s="1264"/>
    </row>
  </sheetData>
  <mergeCells count="16">
    <mergeCell ref="E4:E5"/>
    <mergeCell ref="G4:G5"/>
    <mergeCell ref="H4:H5"/>
    <mergeCell ref="F4:F5"/>
    <mergeCell ref="A4:A5"/>
    <mergeCell ref="B4:B5"/>
    <mergeCell ref="C4:C5"/>
    <mergeCell ref="D4:D5"/>
    <mergeCell ref="L4:L5"/>
    <mergeCell ref="M4:M5"/>
    <mergeCell ref="N4:N5"/>
    <mergeCell ref="F3:H3"/>
    <mergeCell ref="I3:K3"/>
    <mergeCell ref="I4:I5"/>
    <mergeCell ref="J4:J5"/>
    <mergeCell ref="K4:K5"/>
  </mergeCells>
  <printOptions horizontalCentered="1"/>
  <pageMargins left="0.28000000000000003" right="0.28000000000000003" top="0.95" bottom="0.34" header="0.44" footer="0.3"/>
  <pageSetup paperSize="5" scale="59" firstPageNumber="28" orientation="portrait" useFirstPageNumber="1" r:id="rId1"/>
  <headerFooter>
    <oddHeader>&amp;L&amp;"Arial,Bold"&amp;22Table 3A: FY2012-13 Budget Letter 
Total Change in Funding Including Local Share Allocation</oddHeader>
    <oddFooter>&amp;R&amp;P</oddFooter>
  </headerFooter>
  <rowBreaks count="1" manualBreakCount="1">
    <brk id="77" max="13" man="1"/>
  </rowBreaks>
  <colBreaks count="3" manualBreakCount="3">
    <brk id="5" min="2" max="76" man="1"/>
    <brk id="8" min="2" max="76" man="1"/>
    <brk id="11" min="2" max="76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W88"/>
  <sheetViews>
    <sheetView view="pageBreakPreview" topLeftCell="A2" zoomScale="90" zoomScaleNormal="100" zoomScaleSheetLayoutView="90" workbookViewId="0">
      <pane xSplit="2" ySplit="4" topLeftCell="C6" activePane="bottomRight" state="frozen"/>
      <selection activeCell="A8" sqref="A8:A9"/>
      <selection pane="topRight" activeCell="A8" sqref="A8:A9"/>
      <selection pane="bottomLeft" activeCell="A8" sqref="A8:A9"/>
      <selection pane="bottomRight" activeCell="Q98" sqref="Q98"/>
    </sheetView>
  </sheetViews>
  <sheetFormatPr defaultColWidth="12.5703125" defaultRowHeight="12.75"/>
  <cols>
    <col min="1" max="1" width="4.28515625" style="2" customWidth="1"/>
    <col min="2" max="2" width="17.140625" style="2" customWidth="1"/>
    <col min="3" max="3" width="13.5703125" style="2" customWidth="1"/>
    <col min="4" max="4" width="13.42578125" style="2" customWidth="1"/>
    <col min="5" max="5" width="13.140625" style="2" customWidth="1"/>
    <col min="6" max="6" width="13.85546875" style="2" customWidth="1"/>
    <col min="7" max="7" width="13.7109375" style="2" customWidth="1"/>
    <col min="8" max="8" width="13.5703125" style="2" customWidth="1"/>
    <col min="9" max="9" width="10.7109375" style="2" customWidth="1"/>
    <col min="10" max="10" width="16.140625" style="2" customWidth="1"/>
    <col min="11" max="11" width="14.85546875" style="2" customWidth="1"/>
    <col min="12" max="12" width="14.140625" style="2" customWidth="1"/>
    <col min="13" max="13" width="14" style="2" customWidth="1"/>
    <col min="14" max="14" width="13.7109375" style="2" customWidth="1"/>
    <col min="15" max="15" width="15.28515625" style="2" customWidth="1"/>
    <col min="16" max="16" width="26.42578125" style="2" customWidth="1"/>
    <col min="17" max="17" width="28.28515625" style="2" customWidth="1"/>
    <col min="18" max="18" width="21" style="2" customWidth="1"/>
    <col min="19" max="19" width="1.5703125" style="2" customWidth="1"/>
    <col min="20" max="20" width="0.42578125" style="2" hidden="1" customWidth="1"/>
    <col min="21" max="21" width="12.5703125" style="2" hidden="1" customWidth="1"/>
    <col min="22" max="22" width="16" style="2" hidden="1" customWidth="1"/>
    <col min="23" max="23" width="12.5703125" style="2" hidden="1" customWidth="1"/>
    <col min="24" max="16384" width="12.5703125" style="2"/>
  </cols>
  <sheetData>
    <row r="1" spans="1:22" ht="40.5" hidden="1">
      <c r="A1" s="80" t="s">
        <v>223</v>
      </c>
      <c r="B1" s="127"/>
      <c r="C1" s="126" t="s">
        <v>81</v>
      </c>
      <c r="D1" s="126" t="s">
        <v>70</v>
      </c>
      <c r="E1" s="126" t="s">
        <v>81</v>
      </c>
      <c r="F1" s="126" t="s">
        <v>71</v>
      </c>
      <c r="G1" s="126"/>
      <c r="H1" s="126"/>
      <c r="I1" s="126"/>
      <c r="J1" s="126"/>
      <c r="K1" s="126"/>
      <c r="L1" s="126"/>
      <c r="M1" s="126"/>
      <c r="N1" s="126"/>
      <c r="O1" s="495"/>
    </row>
    <row r="2" spans="1:22" ht="74.25" customHeight="1">
      <c r="A2" s="1734" t="s">
        <v>203</v>
      </c>
      <c r="B2" s="1736" t="s">
        <v>288</v>
      </c>
      <c r="C2" s="1743" t="s">
        <v>796</v>
      </c>
      <c r="D2" s="1744"/>
      <c r="E2" s="1744"/>
      <c r="F2" s="1744"/>
      <c r="G2" s="1744"/>
      <c r="H2" s="1744"/>
      <c r="I2" s="1744"/>
      <c r="J2" s="1745"/>
      <c r="K2" s="1746" t="s">
        <v>0</v>
      </c>
      <c r="L2" s="1748"/>
      <c r="M2" s="1732" t="s">
        <v>600</v>
      </c>
      <c r="N2" s="1733"/>
      <c r="O2" s="1742" t="s">
        <v>614</v>
      </c>
      <c r="P2" s="1746" t="s">
        <v>608</v>
      </c>
      <c r="Q2" s="1747"/>
      <c r="R2" s="1667" t="s">
        <v>615</v>
      </c>
    </row>
    <row r="3" spans="1:22" ht="97.5" customHeight="1">
      <c r="A3" s="1735"/>
      <c r="B3" s="1735"/>
      <c r="C3" s="1670" t="s">
        <v>2</v>
      </c>
      <c r="D3" s="1670" t="s">
        <v>1</v>
      </c>
      <c r="E3" s="1670" t="s">
        <v>255</v>
      </c>
      <c r="F3" s="1670" t="s">
        <v>792</v>
      </c>
      <c r="G3" s="1670" t="s">
        <v>793</v>
      </c>
      <c r="H3" s="1740" t="s">
        <v>794</v>
      </c>
      <c r="I3" s="1740" t="s">
        <v>795</v>
      </c>
      <c r="J3" s="67" t="s">
        <v>642</v>
      </c>
      <c r="K3" s="1749" t="s">
        <v>836</v>
      </c>
      <c r="L3" s="67" t="s">
        <v>221</v>
      </c>
      <c r="M3" s="1670" t="s">
        <v>1004</v>
      </c>
      <c r="N3" s="67" t="s">
        <v>596</v>
      </c>
      <c r="O3" s="1668"/>
      <c r="P3" s="1737" t="s">
        <v>1382</v>
      </c>
      <c r="Q3" s="1670" t="s">
        <v>1454</v>
      </c>
      <c r="R3" s="1668"/>
      <c r="U3" s="1524" t="s">
        <v>1313</v>
      </c>
    </row>
    <row r="4" spans="1:22" ht="25.5" customHeight="1">
      <c r="A4" s="1735"/>
      <c r="B4" s="1735"/>
      <c r="C4" s="1672"/>
      <c r="D4" s="1672"/>
      <c r="E4" s="1672"/>
      <c r="F4" s="1672"/>
      <c r="G4" s="1672"/>
      <c r="H4" s="1741"/>
      <c r="I4" s="1741"/>
      <c r="J4" s="317">
        <f>-(F75)/I75</f>
        <v>35.749097619154774</v>
      </c>
      <c r="K4" s="1739"/>
      <c r="L4" s="315">
        <v>20000</v>
      </c>
      <c r="M4" s="1672"/>
      <c r="N4" s="316">
        <v>100</v>
      </c>
      <c r="O4" s="1669"/>
      <c r="P4" s="1738"/>
      <c r="Q4" s="1739"/>
      <c r="R4" s="1669"/>
    </row>
    <row r="5" spans="1:22" s="216" customFormat="1" ht="14.25" customHeight="1">
      <c r="A5" s="227"/>
      <c r="B5" s="310"/>
      <c r="C5" s="319">
        <v>1</v>
      </c>
      <c r="D5" s="319">
        <f t="shared" ref="D5:J5" si="0">C5+1</f>
        <v>2</v>
      </c>
      <c r="E5" s="319">
        <f t="shared" si="0"/>
        <v>3</v>
      </c>
      <c r="F5" s="319">
        <f t="shared" si="0"/>
        <v>4</v>
      </c>
      <c r="G5" s="319">
        <f t="shared" si="0"/>
        <v>5</v>
      </c>
      <c r="H5" s="319">
        <f t="shared" si="0"/>
        <v>6</v>
      </c>
      <c r="I5" s="319">
        <f t="shared" si="0"/>
        <v>7</v>
      </c>
      <c r="J5" s="319">
        <f t="shared" si="0"/>
        <v>8</v>
      </c>
      <c r="K5" s="319">
        <f t="shared" ref="K5:R5" si="1">J5+1</f>
        <v>9</v>
      </c>
      <c r="L5" s="319">
        <f t="shared" si="1"/>
        <v>10</v>
      </c>
      <c r="M5" s="319">
        <f t="shared" si="1"/>
        <v>11</v>
      </c>
      <c r="N5" s="319">
        <f t="shared" si="1"/>
        <v>12</v>
      </c>
      <c r="O5" s="319">
        <f>N5+1</f>
        <v>13</v>
      </c>
      <c r="P5" s="319">
        <f t="shared" si="1"/>
        <v>14</v>
      </c>
      <c r="Q5" s="319">
        <f t="shared" si="1"/>
        <v>15</v>
      </c>
      <c r="R5" s="319">
        <f t="shared" si="1"/>
        <v>16</v>
      </c>
    </row>
    <row r="6" spans="1:22">
      <c r="A6" s="101">
        <v>1</v>
      </c>
      <c r="B6" s="311" t="s">
        <v>102</v>
      </c>
      <c r="C6" s="327">
        <v>0</v>
      </c>
      <c r="D6" s="327">
        <v>0</v>
      </c>
      <c r="E6" s="327">
        <f>C6-D6</f>
        <v>0</v>
      </c>
      <c r="F6" s="328">
        <f>'[5]Table 4 Level 3'!F6+'[5]Table 4 Level 3'!H6</f>
        <v>0</v>
      </c>
      <c r="G6" s="328">
        <f t="shared" ref="G6:G37" si="2">SUM(E6:F6)</f>
        <v>0</v>
      </c>
      <c r="H6" s="328">
        <f>ROUND(-G6/5,0)</f>
        <v>0</v>
      </c>
      <c r="I6" s="326">
        <f>IF(F6&lt;0,0,'Table 3 Levels 1&amp;2'!C8)</f>
        <v>9351</v>
      </c>
      <c r="J6" s="323">
        <f t="shared" ref="J6:J37" si="3">ROUND($J$4*I6,0)</f>
        <v>334290</v>
      </c>
      <c r="K6" s="324">
        <v>0</v>
      </c>
      <c r="L6" s="323">
        <f t="shared" ref="L6:L37" si="4">ROUND($L$4*K6,0)</f>
        <v>0</v>
      </c>
      <c r="M6" s="326">
        <f>'Table 3 Levels 1&amp;2'!C8</f>
        <v>9351</v>
      </c>
      <c r="N6" s="323">
        <f t="shared" ref="N6:N37" si="5">ROUND(M6*$N$4,0)</f>
        <v>935100</v>
      </c>
      <c r="O6" s="323">
        <f>D6+E6+F6+H6+J6+L6+N6</f>
        <v>1269390</v>
      </c>
      <c r="P6" s="320">
        <v>777.48</v>
      </c>
      <c r="Q6" s="321">
        <f>(('Table 8 2.1.12 MFP Funded'!G4+'Table 8 2.1.12 MFP Funded'!H4+'Table 8 2.1.12 MFP Funded'!I4+'Table 8 2.1.12 MFP Funded'!J4)*'Table 4 Level 3'!P6)+'Table 5A4_LSDVI'!G7+'Table 5A5_SSD'!G7+'Table 5C1A-Madison Prep'!G7+'Table 5C1B-DArbonne'!G7+'Table 5C1C-Intl_VIBE'!G7+'Table 5C1D-NOMMA'!G7+'Table 5C1E-LFNO'!G7+'Table 5C1F-Lake Charles Charter'!G7+'Table 5C2 - LA Virtual Admy'!G4+'Table 5C3 - LA Connections EBR'!G4+'Table 5D1 - New Vision'!F7+'Table 5D2 - Glencoe'!F7+'Table 5D3 - International'!F7+'Table 5D4 - Avoyelles'!F7+'Table 5D5 - Delhi'!F7+'Table 5D6 - Milestone'!F7+'Table 5D7 - Max'!F7+'Table 5D8 - Belle Chasse'!H7</f>
        <v>7267649.796000001</v>
      </c>
      <c r="R6" s="323">
        <f>O6+Q6</f>
        <v>8537039.7960000001</v>
      </c>
      <c r="T6" s="23">
        <f>P6</f>
        <v>777.48</v>
      </c>
      <c r="U6" s="1404">
        <f>'Table 8 2.1.12 MFP Funded'!G4+'Table 8 2.1.12 MFP Funded'!H4+'Table 8 2.1.12 MFP Funded'!I4+'Table 8 2.1.12 MFP Funded'!J4</f>
        <v>9313</v>
      </c>
      <c r="V6" s="426">
        <f>U6*T6</f>
        <v>7240671.2400000002</v>
      </c>
    </row>
    <row r="7" spans="1:22">
      <c r="A7" s="101">
        <v>2</v>
      </c>
      <c r="B7" s="311" t="s">
        <v>103</v>
      </c>
      <c r="C7" s="327">
        <v>0</v>
      </c>
      <c r="D7" s="327">
        <v>0</v>
      </c>
      <c r="E7" s="327">
        <f t="shared" ref="E7:E70" si="6">C7-D7</f>
        <v>0</v>
      </c>
      <c r="F7" s="328">
        <f>'[5]Table 4 Level 3'!F7+'[5]Table 4 Level 3'!H7</f>
        <v>0</v>
      </c>
      <c r="G7" s="328">
        <f t="shared" si="2"/>
        <v>0</v>
      </c>
      <c r="H7" s="328">
        <f t="shared" ref="H7:H70" si="7">ROUND(-G7/5,0)</f>
        <v>0</v>
      </c>
      <c r="I7" s="326">
        <f>IF(F7&lt;0,0,'Table 3 Levels 1&amp;2'!C9)</f>
        <v>4028</v>
      </c>
      <c r="J7" s="323">
        <f t="shared" si="3"/>
        <v>143997</v>
      </c>
      <c r="K7" s="324">
        <v>0</v>
      </c>
      <c r="L7" s="323">
        <f t="shared" si="4"/>
        <v>0</v>
      </c>
      <c r="M7" s="326">
        <f>'Table 3 Levels 1&amp;2'!C9</f>
        <v>4028</v>
      </c>
      <c r="N7" s="323">
        <f t="shared" si="5"/>
        <v>402800</v>
      </c>
      <c r="O7" s="323">
        <f t="shared" ref="O7:O70" si="8">D7+E7+F7+H7+J7+L7+N7</f>
        <v>546797</v>
      </c>
      <c r="P7" s="320">
        <v>842.32</v>
      </c>
      <c r="Q7" s="323">
        <f>(('Table 8 2.1.12 MFP Funded'!G5+'Table 8 2.1.12 MFP Funded'!H5+'Table 8 2.1.12 MFP Funded'!I5+'Table 8 2.1.12 MFP Funded'!J5)*'Table 4 Level 3'!P7)+'Table 5A4_LSDVI'!G8+'Table 5A5_SSD'!G8+'Table 5C1A-Madison Prep'!G8+'Table 5C1B-DArbonne'!G8+'Table 5C1C-Intl_VIBE'!G8+'Table 5C1D-NOMMA'!G8+'Table 5C1E-LFNO'!G8+'Table 5C1F-Lake Charles Charter'!G8+'Table 5C2 - LA Virtual Admy'!G5+'Table 5C3 - LA Connections EBR'!G5+'Table 5D1 - New Vision'!F8+'Table 5D2 - Glencoe'!F8+'Table 5D3 - International'!F8+'Table 5D4 - Avoyelles'!F8+'Table 5D5 - Delhi'!F8+'Table 5D6 - Milestone'!F8+'Table 5D7 - Max'!F8+'Table 5D8 - Belle Chasse'!H8</f>
        <v>3391938.4079999998</v>
      </c>
      <c r="R7" s="323">
        <f t="shared" ref="R7:R70" si="9">O7+Q7</f>
        <v>3938735.4079999998</v>
      </c>
      <c r="T7" s="23">
        <f t="shared" ref="T7:T40" si="10">P7</f>
        <v>842.32</v>
      </c>
      <c r="U7" s="1404">
        <f>'Table 8 2.1.12 MFP Funded'!G5+'Table 8 2.1.12 MFP Funded'!H5+'Table 8 2.1.12 MFP Funded'!I5+'Table 8 2.1.12 MFP Funded'!J5</f>
        <v>4016</v>
      </c>
      <c r="V7" s="426">
        <f t="shared" ref="V7:V70" si="11">U7*T7</f>
        <v>3382757.12</v>
      </c>
    </row>
    <row r="8" spans="1:22">
      <c r="A8" s="101">
        <v>3</v>
      </c>
      <c r="B8" s="311" t="s">
        <v>104</v>
      </c>
      <c r="C8" s="327">
        <v>0</v>
      </c>
      <c r="D8" s="327">
        <v>0</v>
      </c>
      <c r="E8" s="327">
        <f t="shared" si="6"/>
        <v>0</v>
      </c>
      <c r="F8" s="328">
        <f>'[5]Table 4 Level 3'!F8+'[5]Table 4 Level 3'!H8</f>
        <v>0</v>
      </c>
      <c r="G8" s="328">
        <f t="shared" si="2"/>
        <v>0</v>
      </c>
      <c r="H8" s="328">
        <f t="shared" si="7"/>
        <v>0</v>
      </c>
      <c r="I8" s="326">
        <f>IF(F8&lt;0,0,'Table 3 Levels 1&amp;2'!C10)</f>
        <v>20143</v>
      </c>
      <c r="J8" s="323">
        <f t="shared" si="3"/>
        <v>720094</v>
      </c>
      <c r="K8" s="324">
        <v>0</v>
      </c>
      <c r="L8" s="323">
        <f t="shared" si="4"/>
        <v>0</v>
      </c>
      <c r="M8" s="326">
        <f>'Table 3 Levels 1&amp;2'!C10</f>
        <v>20143</v>
      </c>
      <c r="N8" s="323">
        <f t="shared" si="5"/>
        <v>2014300</v>
      </c>
      <c r="O8" s="323">
        <f t="shared" si="8"/>
        <v>2734394</v>
      </c>
      <c r="P8" s="320">
        <v>596.84</v>
      </c>
      <c r="Q8" s="323">
        <f>(('Table 8 2.1.12 MFP Funded'!G6+'Table 8 2.1.12 MFP Funded'!H6+'Table 8 2.1.12 MFP Funded'!I6+'Table 8 2.1.12 MFP Funded'!J6)*'Table 4 Level 3'!P8)+'Table 5A4_LSDVI'!G9+'Table 5A5_SSD'!G9+'Table 5C1A-Madison Prep'!G9+'Table 5C1B-DArbonne'!G9+'Table 5C1C-Intl_VIBE'!G9+'Table 5C1D-NOMMA'!G9+'Table 5C1E-LFNO'!G9+'Table 5C1F-Lake Charles Charter'!G9+'Table 5C2 - LA Virtual Admy'!G6+'Table 5C3 - LA Connections EBR'!G6+'Table 5D1 - New Vision'!F9+'Table 5D2 - Glencoe'!F9+'Table 5D3 - International'!F9+'Table 5D4 - Avoyelles'!F9+'Table 5D5 - Delhi'!F9+'Table 5D6 - Milestone'!F9+'Table 5D7 - Max'!F9+'Table 5D8 - Belle Chasse'!H9</f>
        <v>12019522.024</v>
      </c>
      <c r="R8" s="323">
        <f t="shared" si="9"/>
        <v>14753916.024</v>
      </c>
      <c r="T8" s="23">
        <f t="shared" si="10"/>
        <v>596.84</v>
      </c>
      <c r="U8" s="1404">
        <f>'Table 8 2.1.12 MFP Funded'!G6+'Table 8 2.1.12 MFP Funded'!H6+'Table 8 2.1.12 MFP Funded'!I6+'Table 8 2.1.12 MFP Funded'!J6</f>
        <v>20083</v>
      </c>
      <c r="V8" s="426">
        <f t="shared" si="11"/>
        <v>11986337.720000001</v>
      </c>
    </row>
    <row r="9" spans="1:22">
      <c r="A9" s="101">
        <v>4</v>
      </c>
      <c r="B9" s="311" t="s">
        <v>105</v>
      </c>
      <c r="C9" s="327">
        <v>0</v>
      </c>
      <c r="D9" s="327">
        <v>0</v>
      </c>
      <c r="E9" s="327">
        <f t="shared" si="6"/>
        <v>0</v>
      </c>
      <c r="F9" s="328">
        <f>'[5]Table 4 Level 3'!F9+'[5]Table 4 Level 3'!H9</f>
        <v>0</v>
      </c>
      <c r="G9" s="328">
        <f t="shared" si="2"/>
        <v>0</v>
      </c>
      <c r="H9" s="328">
        <f t="shared" si="7"/>
        <v>0</v>
      </c>
      <c r="I9" s="326">
        <f>IF(F9&lt;0,0,'Table 3 Levels 1&amp;2'!C11)</f>
        <v>3577</v>
      </c>
      <c r="J9" s="323">
        <f t="shared" si="3"/>
        <v>127875</v>
      </c>
      <c r="K9" s="324">
        <v>3</v>
      </c>
      <c r="L9" s="323">
        <f t="shared" si="4"/>
        <v>60000</v>
      </c>
      <c r="M9" s="326">
        <f>'Table 3 Levels 1&amp;2'!C11</f>
        <v>3577</v>
      </c>
      <c r="N9" s="323">
        <f t="shared" si="5"/>
        <v>357700</v>
      </c>
      <c r="O9" s="323">
        <f t="shared" si="8"/>
        <v>545575</v>
      </c>
      <c r="P9" s="320">
        <v>585.76</v>
      </c>
      <c r="Q9" s="323">
        <f>(('Table 8 2.1.12 MFP Funded'!G7+'Table 8 2.1.12 MFP Funded'!H7+'Table 8 2.1.12 MFP Funded'!I7+'Table 8 2.1.12 MFP Funded'!J7)*'Table 4 Level 3'!P9)+'Table 5A4_LSDVI'!G10+'Table 5A5_SSD'!G10+'Table 5C1A-Madison Prep'!G10+'Table 5C1B-DArbonne'!G10+'Table 5C1C-Intl_VIBE'!G10+'Table 5C1D-NOMMA'!G10+'Table 5C1E-LFNO'!G10+'Table 5C1F-Lake Charles Charter'!G10+'Table 5C2 - LA Virtual Admy'!G7+'Table 5C3 - LA Connections EBR'!G7+'Table 5D1 - New Vision'!F10+'Table 5D2 - Glencoe'!F10+'Table 5D3 - International'!F10+'Table 5D4 - Avoyelles'!F10+'Table 5D5 - Delhi'!F10+'Table 5D6 - Milestone'!F10+'Table 5D7 - Max'!F10+'Table 5D8 - Belle Chasse'!H10</f>
        <v>2094941.8156199697</v>
      </c>
      <c r="R9" s="323">
        <f t="shared" si="9"/>
        <v>2640516.8156199697</v>
      </c>
      <c r="T9" s="23">
        <f t="shared" si="10"/>
        <v>585.76</v>
      </c>
      <c r="U9" s="1404">
        <f>'Table 8 2.1.12 MFP Funded'!G7+'Table 8 2.1.12 MFP Funded'!H7+'Table 8 2.1.12 MFP Funded'!I7+'Table 8 2.1.12 MFP Funded'!J7</f>
        <v>3563</v>
      </c>
      <c r="V9" s="426">
        <f t="shared" si="11"/>
        <v>2087062.88</v>
      </c>
    </row>
    <row r="10" spans="1:22">
      <c r="A10" s="102">
        <v>5</v>
      </c>
      <c r="B10" s="312" t="s">
        <v>106</v>
      </c>
      <c r="C10" s="334">
        <v>0</v>
      </c>
      <c r="D10" s="334">
        <v>0</v>
      </c>
      <c r="E10" s="334">
        <f t="shared" si="6"/>
        <v>0</v>
      </c>
      <c r="F10" s="335">
        <f>'[5]Table 4 Level 3'!F10+'[5]Table 4 Level 3'!H10</f>
        <v>0</v>
      </c>
      <c r="G10" s="335">
        <f t="shared" si="2"/>
        <v>0</v>
      </c>
      <c r="H10" s="335">
        <f t="shared" si="7"/>
        <v>0</v>
      </c>
      <c r="I10" s="333">
        <f>IF(F10&lt;0,0,'Table 3 Levels 1&amp;2'!C12)</f>
        <v>6437</v>
      </c>
      <c r="J10" s="330">
        <f t="shared" si="3"/>
        <v>230117</v>
      </c>
      <c r="K10" s="331">
        <v>0</v>
      </c>
      <c r="L10" s="330">
        <f t="shared" si="4"/>
        <v>0</v>
      </c>
      <c r="M10" s="333">
        <f>'Table 3 Levels 1&amp;2'!C12</f>
        <v>6437</v>
      </c>
      <c r="N10" s="330">
        <f t="shared" si="5"/>
        <v>643700</v>
      </c>
      <c r="O10" s="330">
        <f t="shared" si="8"/>
        <v>873817</v>
      </c>
      <c r="P10" s="329">
        <v>555.91</v>
      </c>
      <c r="Q10" s="330">
        <f>(('Table 8 2.1.12 MFP Funded'!G8+'Table 8 2.1.12 MFP Funded'!H8+'Table 8 2.1.12 MFP Funded'!I8+'Table 8 2.1.12 MFP Funded'!J8)*'Table 4 Level 3'!P10)+'Table 5A4_LSDVI'!G11+'Table 5A5_SSD'!G11+'Table 5C1A-Madison Prep'!G11+'Table 5C1B-DArbonne'!G11+'Table 5C1C-Intl_VIBE'!G11+'Table 5C1D-NOMMA'!G11+'Table 5C1E-LFNO'!G11+'Table 5C1F-Lake Charles Charter'!G11+'Table 5C2 - LA Virtual Admy'!G8+'Table 5C3 - LA Connections EBR'!G8+'Table 5D1 - New Vision'!F11+'Table 5D2 - Glencoe'!F11+'Table 5D3 - International'!F11+'Table 5D4 - Avoyelles'!F11+'Table 5D5 - Delhi'!F11+'Table 5D6 - Milestone'!F11+'Table 5D7 - Max'!F11+'Table 5D8 - Belle Chasse'!H11</f>
        <v>3563615.3978824699</v>
      </c>
      <c r="R10" s="330">
        <f t="shared" si="9"/>
        <v>4437432.3978824699</v>
      </c>
      <c r="T10" s="23">
        <f t="shared" si="10"/>
        <v>555.91</v>
      </c>
      <c r="U10" s="1404">
        <f>'Table 8 2.1.12 MFP Funded'!G8+'Table 8 2.1.12 MFP Funded'!H8+'Table 8 2.1.12 MFP Funded'!I8+'Table 8 2.1.12 MFP Funded'!J8</f>
        <v>5731</v>
      </c>
      <c r="V10" s="426">
        <f t="shared" si="11"/>
        <v>3185920.21</v>
      </c>
    </row>
    <row r="11" spans="1:22">
      <c r="A11" s="101">
        <v>6</v>
      </c>
      <c r="B11" s="311" t="s">
        <v>107</v>
      </c>
      <c r="C11" s="327">
        <v>0</v>
      </c>
      <c r="D11" s="327">
        <v>0</v>
      </c>
      <c r="E11" s="327">
        <f t="shared" si="6"/>
        <v>0</v>
      </c>
      <c r="F11" s="328">
        <f>'[5]Table 4 Level 3'!F11+'[5]Table 4 Level 3'!H11</f>
        <v>0</v>
      </c>
      <c r="G11" s="328">
        <f t="shared" si="2"/>
        <v>0</v>
      </c>
      <c r="H11" s="328">
        <f t="shared" si="7"/>
        <v>0</v>
      </c>
      <c r="I11" s="326">
        <f>IF(F11&lt;0,0,'Table 3 Levels 1&amp;2'!C13)</f>
        <v>6042</v>
      </c>
      <c r="J11" s="323">
        <f t="shared" si="3"/>
        <v>215996</v>
      </c>
      <c r="K11" s="324">
        <v>0</v>
      </c>
      <c r="L11" s="323">
        <f t="shared" si="4"/>
        <v>0</v>
      </c>
      <c r="M11" s="326">
        <f>'Table 3 Levels 1&amp;2'!C13</f>
        <v>6042</v>
      </c>
      <c r="N11" s="323">
        <f t="shared" si="5"/>
        <v>604200</v>
      </c>
      <c r="O11" s="323">
        <f t="shared" si="8"/>
        <v>820196</v>
      </c>
      <c r="P11" s="320">
        <v>545.4799999999999</v>
      </c>
      <c r="Q11" s="323">
        <f>(('Table 8 2.1.12 MFP Funded'!G9+'Table 8 2.1.12 MFP Funded'!H9+'Table 8 2.1.12 MFP Funded'!I9+'Table 8 2.1.12 MFP Funded'!J9)*'Table 4 Level 3'!P11)+'Table 5A4_LSDVI'!G12+'Table 5A5_SSD'!G12+'Table 5C1A-Madison Prep'!G12+'Table 5C1B-DArbonne'!G12+'Table 5C1C-Intl_VIBE'!G12+'Table 5C1D-NOMMA'!G12+'Table 5C1E-LFNO'!G12+'Table 5C1F-Lake Charles Charter'!G12+'Table 5C2 - LA Virtual Admy'!G9+'Table 5C3 - LA Connections EBR'!G9+'Table 5D1 - New Vision'!F12+'Table 5D2 - Glencoe'!F12+'Table 5D3 - International'!F12+'Table 5D4 - Avoyelles'!F12+'Table 5D5 - Delhi'!F12+'Table 5D6 - Milestone'!F12+'Table 5D7 - Max'!F12+'Table 5D8 - Belle Chasse'!H12</f>
        <v>3294753.7479999997</v>
      </c>
      <c r="R11" s="323">
        <f t="shared" si="9"/>
        <v>4114949.7479999997</v>
      </c>
      <c r="T11" s="23">
        <f t="shared" si="10"/>
        <v>545.4799999999999</v>
      </c>
      <c r="U11" s="1404">
        <f>'Table 8 2.1.12 MFP Funded'!G9+'Table 8 2.1.12 MFP Funded'!H9+'Table 8 2.1.12 MFP Funded'!I9+'Table 8 2.1.12 MFP Funded'!J9</f>
        <v>6020</v>
      </c>
      <c r="V11" s="426">
        <f t="shared" si="11"/>
        <v>3283789.5999999996</v>
      </c>
    </row>
    <row r="12" spans="1:22">
      <c r="A12" s="101">
        <v>7</v>
      </c>
      <c r="B12" s="311" t="s">
        <v>108</v>
      </c>
      <c r="C12" s="327">
        <v>0</v>
      </c>
      <c r="D12" s="327">
        <v>0</v>
      </c>
      <c r="E12" s="327">
        <f t="shared" si="6"/>
        <v>0</v>
      </c>
      <c r="F12" s="328">
        <f>'[5]Table 4 Level 3'!F12+'[5]Table 4 Level 3'!H12</f>
        <v>0</v>
      </c>
      <c r="G12" s="328">
        <f t="shared" si="2"/>
        <v>0</v>
      </c>
      <c r="H12" s="328">
        <f t="shared" si="7"/>
        <v>0</v>
      </c>
      <c r="I12" s="326">
        <f>IF(F12&lt;0,0,'Table 3 Levels 1&amp;2'!C14)</f>
        <v>2218</v>
      </c>
      <c r="J12" s="323">
        <f t="shared" si="3"/>
        <v>79291</v>
      </c>
      <c r="K12" s="324">
        <v>0</v>
      </c>
      <c r="L12" s="323">
        <f t="shared" si="4"/>
        <v>0</v>
      </c>
      <c r="M12" s="326">
        <f>'Table 3 Levels 1&amp;2'!C14</f>
        <v>2218</v>
      </c>
      <c r="N12" s="323">
        <f t="shared" si="5"/>
        <v>221800</v>
      </c>
      <c r="O12" s="323">
        <f t="shared" si="8"/>
        <v>301091</v>
      </c>
      <c r="P12" s="320">
        <v>756.91999999999985</v>
      </c>
      <c r="Q12" s="323">
        <f>(('Table 8 2.1.12 MFP Funded'!G10+'Table 8 2.1.12 MFP Funded'!H10+'Table 8 2.1.12 MFP Funded'!I10+'Table 8 2.1.12 MFP Funded'!J10)*'Table 4 Level 3'!P12)+'Table 5A4_LSDVI'!G13+'Table 5A5_SSD'!G13+'Table 5C1A-Madison Prep'!G13+'Table 5C1B-DArbonne'!G13+'Table 5C1C-Intl_VIBE'!G13+'Table 5C1D-NOMMA'!G13+'Table 5C1E-LFNO'!G13+'Table 5C1F-Lake Charles Charter'!G13+'Table 5C2 - LA Virtual Admy'!G10+'Table 5C3 - LA Connections EBR'!G10+'Table 5D1 - New Vision'!F13+'Table 5D2 - Glencoe'!F13+'Table 5D3 - International'!F13+'Table 5D4 - Avoyelles'!F13+'Table 5D5 - Delhi'!F13+'Table 5D6 - Milestone'!F13+'Table 5D7 - Max'!F13+'Table 5D8 - Belle Chasse'!H13</f>
        <v>1678015.9479999996</v>
      </c>
      <c r="R12" s="323">
        <f t="shared" si="9"/>
        <v>1979106.9479999996</v>
      </c>
      <c r="T12" s="23">
        <f t="shared" si="10"/>
        <v>756.91999999999985</v>
      </c>
      <c r="U12" s="1404">
        <f>'Table 8 2.1.12 MFP Funded'!G10+'Table 8 2.1.12 MFP Funded'!H10+'Table 8 2.1.12 MFP Funded'!I10+'Table 8 2.1.12 MFP Funded'!J10</f>
        <v>2207</v>
      </c>
      <c r="V12" s="426">
        <f t="shared" si="11"/>
        <v>1670522.4399999997</v>
      </c>
    </row>
    <row r="13" spans="1:22">
      <c r="A13" s="101">
        <v>8</v>
      </c>
      <c r="B13" s="311" t="s">
        <v>109</v>
      </c>
      <c r="C13" s="327">
        <v>0</v>
      </c>
      <c r="D13" s="327">
        <v>0</v>
      </c>
      <c r="E13" s="327">
        <f t="shared" si="6"/>
        <v>0</v>
      </c>
      <c r="F13" s="328">
        <f>'[5]Table 4 Level 3'!F13+'[5]Table 4 Level 3'!H13</f>
        <v>0</v>
      </c>
      <c r="G13" s="328">
        <f t="shared" si="2"/>
        <v>0</v>
      </c>
      <c r="H13" s="328">
        <f t="shared" si="7"/>
        <v>0</v>
      </c>
      <c r="I13" s="326">
        <f>IF(F13&lt;0,0,'Table 3 Levels 1&amp;2'!C15)</f>
        <v>20789</v>
      </c>
      <c r="J13" s="323">
        <f t="shared" si="3"/>
        <v>743188</v>
      </c>
      <c r="K13" s="324">
        <v>3</v>
      </c>
      <c r="L13" s="323">
        <f t="shared" si="4"/>
        <v>60000</v>
      </c>
      <c r="M13" s="326">
        <f>'Table 3 Levels 1&amp;2'!C15</f>
        <v>20789</v>
      </c>
      <c r="N13" s="323">
        <f t="shared" si="5"/>
        <v>2078900</v>
      </c>
      <c r="O13" s="323">
        <f t="shared" si="8"/>
        <v>2882088</v>
      </c>
      <c r="P13" s="320">
        <v>725.76</v>
      </c>
      <c r="Q13" s="323">
        <f>(('Table 8 2.1.12 MFP Funded'!G11+'Table 8 2.1.12 MFP Funded'!H11+'Table 8 2.1.12 MFP Funded'!I11+'Table 8 2.1.12 MFP Funded'!J11)*'Table 4 Level 3'!P13)+'Table 5A4_LSDVI'!G14+'Table 5A5_SSD'!G14+'Table 5C1A-Madison Prep'!G14+'Table 5C1B-DArbonne'!G14+'Table 5C1C-Intl_VIBE'!G14+'Table 5C1D-NOMMA'!G14+'Table 5C1E-LFNO'!G14+'Table 5C1F-Lake Charles Charter'!G14+'Table 5C2 - LA Virtual Admy'!G11+'Table 5C3 - LA Connections EBR'!G11+'Table 5D1 - New Vision'!F14+'Table 5D2 - Glencoe'!F14+'Table 5D3 - International'!F14+'Table 5D4 - Avoyelles'!F14+'Table 5D5 - Delhi'!F14+'Table 5D6 - Milestone'!F14+'Table 5D7 - Max'!F14+'Table 5D8 - Belle Chasse'!H14</f>
        <v>15082962.047999999</v>
      </c>
      <c r="R13" s="323">
        <f t="shared" si="9"/>
        <v>17965050.048</v>
      </c>
      <c r="T13" s="23">
        <f t="shared" si="10"/>
        <v>725.76</v>
      </c>
      <c r="U13" s="1404">
        <f>'Table 8 2.1.12 MFP Funded'!G11+'Table 8 2.1.12 MFP Funded'!H11+'Table 8 2.1.12 MFP Funded'!I11+'Table 8 2.1.12 MFP Funded'!J11</f>
        <v>20718</v>
      </c>
      <c r="V13" s="426">
        <f t="shared" si="11"/>
        <v>15036295.68</v>
      </c>
    </row>
    <row r="14" spans="1:22">
      <c r="A14" s="101">
        <v>9</v>
      </c>
      <c r="B14" s="311" t="s">
        <v>110</v>
      </c>
      <c r="C14" s="327">
        <v>0</v>
      </c>
      <c r="D14" s="327">
        <v>0</v>
      </c>
      <c r="E14" s="327">
        <f t="shared" si="6"/>
        <v>0</v>
      </c>
      <c r="F14" s="328">
        <f>'[5]Table 4 Level 3'!F14+'[5]Table 4 Level 3'!H14</f>
        <v>0</v>
      </c>
      <c r="G14" s="328">
        <f t="shared" si="2"/>
        <v>0</v>
      </c>
      <c r="H14" s="328">
        <f t="shared" si="7"/>
        <v>0</v>
      </c>
      <c r="I14" s="326">
        <f>IF(F14&lt;0,0,'Table 3 Levels 1&amp;2'!C16)</f>
        <v>41444</v>
      </c>
      <c r="J14" s="323">
        <f t="shared" si="3"/>
        <v>1481586</v>
      </c>
      <c r="K14" s="324">
        <v>17</v>
      </c>
      <c r="L14" s="323">
        <f t="shared" si="4"/>
        <v>340000</v>
      </c>
      <c r="M14" s="326">
        <f>'Table 3 Levels 1&amp;2'!C16</f>
        <v>41444</v>
      </c>
      <c r="N14" s="323">
        <f t="shared" si="5"/>
        <v>4144400</v>
      </c>
      <c r="O14" s="323">
        <f t="shared" si="8"/>
        <v>5965986</v>
      </c>
      <c r="P14" s="320">
        <v>744.76</v>
      </c>
      <c r="Q14" s="323">
        <f>(('Table 8 2.1.12 MFP Funded'!G12+'Table 8 2.1.12 MFP Funded'!H12+'Table 8 2.1.12 MFP Funded'!I12+'Table 8 2.1.12 MFP Funded'!J12)*'Table 4 Level 3'!P14)+'Table 5A4_LSDVI'!G15+'Table 5A5_SSD'!G15+'Table 5C1A-Madison Prep'!G15+'Table 5C1B-DArbonne'!G15+'Table 5C1C-Intl_VIBE'!G15+'Table 5C1D-NOMMA'!G15+'Table 5C1E-LFNO'!G15+'Table 5C1F-Lake Charles Charter'!G15+'Table 5C2 - LA Virtual Admy'!G12+'Table 5C3 - LA Connections EBR'!G12+'Table 5D1 - New Vision'!F15+'Table 5D2 - Glencoe'!F15+'Table 5D3 - International'!F15+'Table 5D4 - Avoyelles'!F15+'Table 5D5 - Delhi'!F15+'Table 5D6 - Milestone'!F15+'Table 5D7 - Max'!F15+'Table 5D8 - Belle Chasse'!H15</f>
        <v>30856077.083999999</v>
      </c>
      <c r="R14" s="323">
        <f t="shared" si="9"/>
        <v>36822063.083999999</v>
      </c>
      <c r="T14" s="23">
        <f t="shared" si="10"/>
        <v>744.76</v>
      </c>
      <c r="U14" s="1404">
        <f>'Table 8 2.1.12 MFP Funded'!G12+'Table 8 2.1.12 MFP Funded'!H12+'Table 8 2.1.12 MFP Funded'!I12+'Table 8 2.1.12 MFP Funded'!J12</f>
        <v>41297</v>
      </c>
      <c r="V14" s="426">
        <f t="shared" si="11"/>
        <v>30756353.719999999</v>
      </c>
    </row>
    <row r="15" spans="1:22">
      <c r="A15" s="102">
        <v>10</v>
      </c>
      <c r="B15" s="312" t="s">
        <v>111</v>
      </c>
      <c r="C15" s="334">
        <v>0</v>
      </c>
      <c r="D15" s="334">
        <v>0</v>
      </c>
      <c r="E15" s="334">
        <f t="shared" si="6"/>
        <v>0</v>
      </c>
      <c r="F15" s="335">
        <f>'[5]Table 4 Level 3'!F15+'[5]Table 4 Level 3'!H15</f>
        <v>0</v>
      </c>
      <c r="G15" s="335">
        <f t="shared" si="2"/>
        <v>0</v>
      </c>
      <c r="H15" s="335">
        <f t="shared" si="7"/>
        <v>0</v>
      </c>
      <c r="I15" s="333">
        <f>IF(F15&lt;0,0,'Table 3 Levels 1&amp;2'!C17)</f>
        <v>31713</v>
      </c>
      <c r="J15" s="330">
        <f t="shared" si="3"/>
        <v>1133711</v>
      </c>
      <c r="K15" s="331">
        <v>25</v>
      </c>
      <c r="L15" s="330">
        <f t="shared" si="4"/>
        <v>500000</v>
      </c>
      <c r="M15" s="333">
        <f>'Table 3 Levels 1&amp;2'!C17</f>
        <v>31713</v>
      </c>
      <c r="N15" s="330">
        <f t="shared" si="5"/>
        <v>3171300</v>
      </c>
      <c r="O15" s="330">
        <f t="shared" si="8"/>
        <v>4805011</v>
      </c>
      <c r="P15" s="329">
        <v>608.04000000000008</v>
      </c>
      <c r="Q15" s="330">
        <f>(('Table 8 2.1.12 MFP Funded'!G13+'Table 8 2.1.12 MFP Funded'!H13+'Table 8 2.1.12 MFP Funded'!I13+'Table 8 2.1.12 MFP Funded'!J13)*'Table 4 Level 3'!P15)+'Table 5A4_LSDVI'!G16+'Table 5A5_SSD'!G16+'Table 5C1A-Madison Prep'!G16+'Table 5C1B-DArbonne'!G16+'Table 5C1C-Intl_VIBE'!G16+'Table 5C1D-NOMMA'!G16+'Table 5C1E-LFNO'!G16+'Table 5C1F-Lake Charles Charter'!G16+'Table 5C2 - LA Virtual Admy'!G13+'Table 5C3 - LA Connections EBR'!G13+'Table 5D1 - New Vision'!F16+'Table 5D2 - Glencoe'!F16+'Table 5D3 - International'!F16+'Table 5D4 - Avoyelles'!F16+'Table 5D5 - Delhi'!F16+'Table 5D6 - Milestone'!F16+'Table 5D7 - Max'!F16+'Table 5D8 - Belle Chasse'!H16</f>
        <v>19277543.376000002</v>
      </c>
      <c r="R15" s="330">
        <f t="shared" si="9"/>
        <v>24082554.376000002</v>
      </c>
      <c r="T15" s="23">
        <f t="shared" si="10"/>
        <v>608.04000000000008</v>
      </c>
      <c r="U15" s="1404">
        <f>'Table 8 2.1.12 MFP Funded'!G13+'Table 8 2.1.12 MFP Funded'!H13+'Table 8 2.1.12 MFP Funded'!I13+'Table 8 2.1.12 MFP Funded'!J13</f>
        <v>30976</v>
      </c>
      <c r="V15" s="426">
        <f t="shared" si="11"/>
        <v>18834647.040000003</v>
      </c>
    </row>
    <row r="16" spans="1:22">
      <c r="A16" s="101">
        <v>11</v>
      </c>
      <c r="B16" s="311" t="s">
        <v>112</v>
      </c>
      <c r="C16" s="327">
        <v>0</v>
      </c>
      <c r="D16" s="327">
        <v>0</v>
      </c>
      <c r="E16" s="327">
        <f t="shared" si="6"/>
        <v>0</v>
      </c>
      <c r="F16" s="328">
        <f>'[5]Table 4 Level 3'!F16+'[5]Table 4 Level 3'!H16</f>
        <v>0</v>
      </c>
      <c r="G16" s="328">
        <f t="shared" si="2"/>
        <v>0</v>
      </c>
      <c r="H16" s="328">
        <f t="shared" si="7"/>
        <v>0</v>
      </c>
      <c r="I16" s="326">
        <f>IF(F16&lt;0,0,'Table 3 Levels 1&amp;2'!C18)</f>
        <v>1577</v>
      </c>
      <c r="J16" s="323">
        <f t="shared" si="3"/>
        <v>56376</v>
      </c>
      <c r="K16" s="324">
        <v>0</v>
      </c>
      <c r="L16" s="323">
        <f t="shared" si="4"/>
        <v>0</v>
      </c>
      <c r="M16" s="326">
        <f>'Table 3 Levels 1&amp;2'!C18</f>
        <v>1577</v>
      </c>
      <c r="N16" s="323">
        <f t="shared" si="5"/>
        <v>157700</v>
      </c>
      <c r="O16" s="323">
        <f t="shared" si="8"/>
        <v>214076</v>
      </c>
      <c r="P16" s="320">
        <v>706.55</v>
      </c>
      <c r="Q16" s="323">
        <f>(('Table 8 2.1.12 MFP Funded'!G14+'Table 8 2.1.12 MFP Funded'!H14+'Table 8 2.1.12 MFP Funded'!I14+'Table 8 2.1.12 MFP Funded'!J14)*'Table 4 Level 3'!P16)+'Table 5A4_LSDVI'!G17+'Table 5A5_SSD'!G17+'Table 5C1A-Madison Prep'!G17+'Table 5C1B-DArbonne'!G17+'Table 5C1C-Intl_VIBE'!G17+'Table 5C1D-NOMMA'!G17+'Table 5C1E-LFNO'!G17+'Table 5C1F-Lake Charles Charter'!G17+'Table 5C2 - LA Virtual Admy'!G14+'Table 5C3 - LA Connections EBR'!G14+'Table 5D1 - New Vision'!F17+'Table 5D2 - Glencoe'!F17+'Table 5D3 - International'!F17+'Table 5D4 - Avoyelles'!F17+'Table 5D5 - Delhi'!F17+'Table 5D6 - Milestone'!F17+'Table 5D7 - Max'!F17+'Table 5D8 - Belle Chasse'!H17</f>
        <v>1114036.8760437709</v>
      </c>
      <c r="R16" s="323">
        <f t="shared" si="9"/>
        <v>1328112.8760437709</v>
      </c>
      <c r="T16" s="23">
        <f t="shared" si="10"/>
        <v>706.55</v>
      </c>
      <c r="U16" s="1404">
        <f>'Table 8 2.1.12 MFP Funded'!G14+'Table 8 2.1.12 MFP Funded'!H14+'Table 8 2.1.12 MFP Funded'!I14+'Table 8 2.1.12 MFP Funded'!J14</f>
        <v>1572</v>
      </c>
      <c r="V16" s="426">
        <f t="shared" si="11"/>
        <v>1110696.5999999999</v>
      </c>
    </row>
    <row r="17" spans="1:22">
      <c r="A17" s="101">
        <v>12</v>
      </c>
      <c r="B17" s="311" t="s">
        <v>113</v>
      </c>
      <c r="C17" s="327">
        <v>0</v>
      </c>
      <c r="D17" s="327">
        <v>0</v>
      </c>
      <c r="E17" s="327">
        <f t="shared" si="6"/>
        <v>0</v>
      </c>
      <c r="F17" s="328">
        <f>'[5]Table 4 Level 3'!F17+'[5]Table 4 Level 3'!H17</f>
        <v>0</v>
      </c>
      <c r="G17" s="328">
        <f t="shared" si="2"/>
        <v>0</v>
      </c>
      <c r="H17" s="328">
        <f t="shared" si="7"/>
        <v>0</v>
      </c>
      <c r="I17" s="326">
        <f>IF(F17&lt;0,0,'Table 3 Levels 1&amp;2'!C19)</f>
        <v>1225</v>
      </c>
      <c r="J17" s="323">
        <f t="shared" si="3"/>
        <v>43793</v>
      </c>
      <c r="K17" s="324">
        <v>0</v>
      </c>
      <c r="L17" s="323">
        <f t="shared" si="4"/>
        <v>0</v>
      </c>
      <c r="M17" s="326">
        <f>'Table 3 Levels 1&amp;2'!C19</f>
        <v>1225</v>
      </c>
      <c r="N17" s="323">
        <f t="shared" si="5"/>
        <v>122500</v>
      </c>
      <c r="O17" s="323">
        <f t="shared" si="8"/>
        <v>166293</v>
      </c>
      <c r="P17" s="320">
        <v>1063.31</v>
      </c>
      <c r="Q17" s="323">
        <f>(('Table 8 2.1.12 MFP Funded'!G15+'Table 8 2.1.12 MFP Funded'!H15+'Table 8 2.1.12 MFP Funded'!I15+'Table 8 2.1.12 MFP Funded'!J15)*'Table 4 Level 3'!P17)+'Table 5A4_LSDVI'!G18+'Table 5A5_SSD'!G18+'Table 5C1A-Madison Prep'!G18+'Table 5C1B-DArbonne'!G18+'Table 5C1C-Intl_VIBE'!G18+'Table 5C1D-NOMMA'!G18+'Table 5C1E-LFNO'!G18+'Table 5C1F-Lake Charles Charter'!G18+'Table 5C2 - LA Virtual Admy'!G15+'Table 5C3 - LA Connections EBR'!G15+'Table 5D1 - New Vision'!F18+'Table 5D2 - Glencoe'!F18+'Table 5D3 - International'!F18+'Table 5D4 - Avoyelles'!F18+'Table 5D5 - Delhi'!F18+'Table 5D6 - Milestone'!F18+'Table 5D7 - Max'!F18+'Table 5D8 - Belle Chasse'!H18</f>
        <v>1302342.088</v>
      </c>
      <c r="R17" s="323">
        <f t="shared" si="9"/>
        <v>1468635.088</v>
      </c>
      <c r="T17" s="23">
        <f t="shared" si="10"/>
        <v>1063.31</v>
      </c>
      <c r="U17" s="1404">
        <f>'Table 8 2.1.12 MFP Funded'!G15+'Table 8 2.1.12 MFP Funded'!H15+'Table 8 2.1.12 MFP Funded'!I15+'Table 8 2.1.12 MFP Funded'!J15</f>
        <v>1223</v>
      </c>
      <c r="V17" s="426">
        <f t="shared" si="11"/>
        <v>1300428.1299999999</v>
      </c>
    </row>
    <row r="18" spans="1:22">
      <c r="A18" s="101">
        <v>13</v>
      </c>
      <c r="B18" s="311" t="s">
        <v>114</v>
      </c>
      <c r="C18" s="327">
        <v>0</v>
      </c>
      <c r="D18" s="327">
        <v>0</v>
      </c>
      <c r="E18" s="327">
        <f t="shared" si="6"/>
        <v>0</v>
      </c>
      <c r="F18" s="328">
        <f>'[5]Table 4 Level 3'!F18+'[5]Table 4 Level 3'!H18</f>
        <v>0</v>
      </c>
      <c r="G18" s="328">
        <f t="shared" si="2"/>
        <v>0</v>
      </c>
      <c r="H18" s="328">
        <f t="shared" si="7"/>
        <v>0</v>
      </c>
      <c r="I18" s="326">
        <f>IF(F18&lt;0,0,'Table 3 Levels 1&amp;2'!C20)</f>
        <v>1519</v>
      </c>
      <c r="J18" s="323">
        <f t="shared" si="3"/>
        <v>54303</v>
      </c>
      <c r="K18" s="324">
        <v>0</v>
      </c>
      <c r="L18" s="323">
        <f t="shared" si="4"/>
        <v>0</v>
      </c>
      <c r="M18" s="326">
        <f>'Table 3 Levels 1&amp;2'!C20</f>
        <v>1519</v>
      </c>
      <c r="N18" s="323">
        <f t="shared" si="5"/>
        <v>151900</v>
      </c>
      <c r="O18" s="323">
        <f t="shared" si="8"/>
        <v>206203</v>
      </c>
      <c r="P18" s="320">
        <v>749.43000000000006</v>
      </c>
      <c r="Q18" s="323">
        <f>(('Table 8 2.1.12 MFP Funded'!G16+'Table 8 2.1.12 MFP Funded'!H16+'Table 8 2.1.12 MFP Funded'!I16+'Table 8 2.1.12 MFP Funded'!J16)*'Table 4 Level 3'!P18)+'Table 5A4_LSDVI'!G19+'Table 5A5_SSD'!G19+'Table 5C1A-Madison Prep'!G19+'Table 5C1B-DArbonne'!G19+'Table 5C1C-Intl_VIBE'!G19+'Table 5C1D-NOMMA'!G19+'Table 5C1E-LFNO'!G19+'Table 5C1F-Lake Charles Charter'!G19+'Table 5C2 - LA Virtual Admy'!G16+'Table 5C3 - LA Connections EBR'!G16+'Table 5D1 - New Vision'!F19+'Table 5D2 - Glencoe'!F19+'Table 5D3 - International'!F19+'Table 5D4 - Avoyelles'!F19+'Table 5D5 - Delhi'!F19+'Table 5D6 - Milestone'!F19+'Table 5D7 - Max'!F19+'Table 5D8 - Belle Chasse'!H19</f>
        <v>1137559.7970000003</v>
      </c>
      <c r="R18" s="323">
        <f t="shared" si="9"/>
        <v>1343762.7970000003</v>
      </c>
      <c r="T18" s="23">
        <f t="shared" si="10"/>
        <v>749.43000000000006</v>
      </c>
      <c r="U18" s="1404">
        <f>'Table 8 2.1.12 MFP Funded'!G16+'Table 8 2.1.12 MFP Funded'!H16+'Table 8 2.1.12 MFP Funded'!I16+'Table 8 2.1.12 MFP Funded'!J16</f>
        <v>1508</v>
      </c>
      <c r="V18" s="426">
        <f t="shared" si="11"/>
        <v>1130140.4400000002</v>
      </c>
    </row>
    <row r="19" spans="1:22">
      <c r="A19" s="101">
        <v>14</v>
      </c>
      <c r="B19" s="311" t="s">
        <v>115</v>
      </c>
      <c r="C19" s="327">
        <v>0</v>
      </c>
      <c r="D19" s="327">
        <v>0</v>
      </c>
      <c r="E19" s="327">
        <f t="shared" si="6"/>
        <v>0</v>
      </c>
      <c r="F19" s="328">
        <f>'[5]Table 4 Level 3'!F19+'[5]Table 4 Level 3'!H19</f>
        <v>0</v>
      </c>
      <c r="G19" s="328">
        <f t="shared" si="2"/>
        <v>0</v>
      </c>
      <c r="H19" s="328">
        <f t="shared" si="7"/>
        <v>0</v>
      </c>
      <c r="I19" s="326">
        <f>IF(F19&lt;0,0,'Table 3 Levels 1&amp;2'!C21)</f>
        <v>1958</v>
      </c>
      <c r="J19" s="323">
        <f t="shared" si="3"/>
        <v>69997</v>
      </c>
      <c r="K19" s="324">
        <v>0</v>
      </c>
      <c r="L19" s="323">
        <f t="shared" si="4"/>
        <v>0</v>
      </c>
      <c r="M19" s="326">
        <f>'Table 3 Levels 1&amp;2'!C21</f>
        <v>1958</v>
      </c>
      <c r="N19" s="323">
        <f t="shared" si="5"/>
        <v>195800</v>
      </c>
      <c r="O19" s="323">
        <f t="shared" si="8"/>
        <v>265797</v>
      </c>
      <c r="P19" s="320">
        <v>809.9799999999999</v>
      </c>
      <c r="Q19" s="323">
        <f>(('Table 8 2.1.12 MFP Funded'!G17+'Table 8 2.1.12 MFP Funded'!H17+'Table 8 2.1.12 MFP Funded'!I17+'Table 8 2.1.12 MFP Funded'!J17)*'Table 4 Level 3'!P19)+'Table 5A4_LSDVI'!G20+'Table 5A5_SSD'!G20+'Table 5C1A-Madison Prep'!G20+'Table 5C1B-DArbonne'!G20+'Table 5C1C-Intl_VIBE'!G20+'Table 5C1D-NOMMA'!G20+'Table 5C1E-LFNO'!G20+'Table 5C1F-Lake Charles Charter'!G20+'Table 5C2 - LA Virtual Admy'!G17+'Table 5C3 - LA Connections EBR'!G17+'Table 5D1 - New Vision'!F20+'Table 5D2 - Glencoe'!F20+'Table 5D3 - International'!F20+'Table 5D4 - Avoyelles'!F20+'Table 5D5 - Delhi'!F20+'Table 5D6 - Milestone'!F20+'Table 5D7 - Max'!F20+'Table 5D8 - Belle Chasse'!H20</f>
        <v>1585130.8599999999</v>
      </c>
      <c r="R19" s="323">
        <f t="shared" si="9"/>
        <v>1850927.8599999999</v>
      </c>
      <c r="T19" s="23">
        <f t="shared" si="10"/>
        <v>809.9799999999999</v>
      </c>
      <c r="U19" s="1404">
        <f>'Table 8 2.1.12 MFP Funded'!G17+'Table 8 2.1.12 MFP Funded'!H17+'Table 8 2.1.12 MFP Funded'!I17+'Table 8 2.1.12 MFP Funded'!J17</f>
        <v>1945</v>
      </c>
      <c r="V19" s="426">
        <f t="shared" si="11"/>
        <v>1575411.0999999999</v>
      </c>
    </row>
    <row r="20" spans="1:22">
      <c r="A20" s="102">
        <v>15</v>
      </c>
      <c r="B20" s="312" t="s">
        <v>116</v>
      </c>
      <c r="C20" s="334">
        <v>224419</v>
      </c>
      <c r="D20" s="336">
        <v>0</v>
      </c>
      <c r="E20" s="334">
        <f t="shared" si="6"/>
        <v>224419</v>
      </c>
      <c r="F20" s="335">
        <f>'[5]Table 4 Level 3'!F20+'[5]Table 4 Level 3'!H20</f>
        <v>-112210</v>
      </c>
      <c r="G20" s="335">
        <f t="shared" si="2"/>
        <v>112209</v>
      </c>
      <c r="H20" s="335">
        <f t="shared" si="7"/>
        <v>-22442</v>
      </c>
      <c r="I20" s="333">
        <f>IF(F20&lt;0,0,'Table 3 Levels 1&amp;2'!C22)</f>
        <v>0</v>
      </c>
      <c r="J20" s="330">
        <f t="shared" si="3"/>
        <v>0</v>
      </c>
      <c r="K20" s="331">
        <v>1</v>
      </c>
      <c r="L20" s="330">
        <f t="shared" si="4"/>
        <v>20000</v>
      </c>
      <c r="M20" s="333">
        <f>'Table 3 Levels 1&amp;2'!C22</f>
        <v>3629</v>
      </c>
      <c r="N20" s="330">
        <f t="shared" si="5"/>
        <v>362900</v>
      </c>
      <c r="O20" s="330">
        <f t="shared" si="8"/>
        <v>472667</v>
      </c>
      <c r="P20" s="329">
        <v>553.79999999999995</v>
      </c>
      <c r="Q20" s="330">
        <f>(('Table 8 2.1.12 MFP Funded'!G18+'Table 8 2.1.12 MFP Funded'!H18+'Table 8 2.1.12 MFP Funded'!I18+'Table 8 2.1.12 MFP Funded'!J18)*'Table 4 Level 3'!P20)+'Table 5A4_LSDVI'!G21+'Table 5A5_SSD'!G21+'Table 5C1A-Madison Prep'!G21+'Table 5C1B-DArbonne'!G21+'Table 5C1C-Intl_VIBE'!G21+'Table 5C1D-NOMMA'!G21+'Table 5C1E-LFNO'!G21+'Table 5C1F-Lake Charles Charter'!G21+'Table 5C2 - LA Virtual Admy'!G18+'Table 5C3 - LA Connections EBR'!G18+'Table 5D1 - New Vision'!F21+'Table 5D2 - Glencoe'!F21+'Table 5D3 - International'!F21+'Table 5D4 - Avoyelles'!F21+'Table 5D5 - Delhi'!F21+'Table 5D6 - Milestone'!F21+'Table 5D7 - Max'!F21+'Table 5D8 - Belle Chasse'!H21</f>
        <v>2009407.92</v>
      </c>
      <c r="R20" s="330">
        <f t="shared" si="9"/>
        <v>2482074.92</v>
      </c>
      <c r="T20" s="23">
        <f t="shared" si="10"/>
        <v>553.79999999999995</v>
      </c>
      <c r="U20" s="1404">
        <f>'Table 8 2.1.12 MFP Funded'!G18+'Table 8 2.1.12 MFP Funded'!H18+'Table 8 2.1.12 MFP Funded'!I18+'Table 8 2.1.12 MFP Funded'!J18</f>
        <v>3621</v>
      </c>
      <c r="V20" s="426">
        <f t="shared" si="11"/>
        <v>2005309.7999999998</v>
      </c>
    </row>
    <row r="21" spans="1:22">
      <c r="A21" s="101">
        <v>16</v>
      </c>
      <c r="B21" s="311" t="s">
        <v>117</v>
      </c>
      <c r="C21" s="327">
        <v>0</v>
      </c>
      <c r="D21" s="327">
        <v>0</v>
      </c>
      <c r="E21" s="327">
        <f t="shared" si="6"/>
        <v>0</v>
      </c>
      <c r="F21" s="328">
        <f>'[5]Table 4 Level 3'!F21+'[5]Table 4 Level 3'!H21</f>
        <v>0</v>
      </c>
      <c r="G21" s="328">
        <f t="shared" si="2"/>
        <v>0</v>
      </c>
      <c r="H21" s="328">
        <f t="shared" si="7"/>
        <v>0</v>
      </c>
      <c r="I21" s="326">
        <f>IF(F21&lt;0,0,'Table 3 Levels 1&amp;2'!C23)</f>
        <v>4787</v>
      </c>
      <c r="J21" s="323">
        <f t="shared" si="3"/>
        <v>171131</v>
      </c>
      <c r="K21" s="324">
        <v>2</v>
      </c>
      <c r="L21" s="323">
        <f t="shared" si="4"/>
        <v>40000</v>
      </c>
      <c r="M21" s="326">
        <f>'Table 3 Levels 1&amp;2'!C23</f>
        <v>4787</v>
      </c>
      <c r="N21" s="323">
        <f t="shared" si="5"/>
        <v>478700</v>
      </c>
      <c r="O21" s="323">
        <f t="shared" si="8"/>
        <v>689831</v>
      </c>
      <c r="P21" s="320">
        <v>686.73</v>
      </c>
      <c r="Q21" s="323">
        <f>(('Table 8 2.1.12 MFP Funded'!G19+'Table 8 2.1.12 MFP Funded'!H19+'Table 8 2.1.12 MFP Funded'!I19+'Table 8 2.1.12 MFP Funded'!J19)*'Table 4 Level 3'!P21)+'Table 5A4_LSDVI'!G22+'Table 5A5_SSD'!G22+'Table 5C1A-Madison Prep'!G22+'Table 5C1B-DArbonne'!G22+'Table 5C1C-Intl_VIBE'!G22+'Table 5C1D-NOMMA'!G22+'Table 5C1E-LFNO'!G22+'Table 5C1F-Lake Charles Charter'!G22+'Table 5C2 - LA Virtual Admy'!G19+'Table 5C3 - LA Connections EBR'!G19+'Table 5D1 - New Vision'!F22+'Table 5D2 - Glencoe'!F22+'Table 5D3 - International'!F22+'Table 5D4 - Avoyelles'!F22+'Table 5D5 - Delhi'!F22+'Table 5D6 - Milestone'!F22+'Table 5D7 - Max'!F22+'Table 5D8 - Belle Chasse'!H22</f>
        <v>3286415.088</v>
      </c>
      <c r="R21" s="323">
        <f t="shared" si="9"/>
        <v>3976246.088</v>
      </c>
      <c r="T21" s="23">
        <f t="shared" si="10"/>
        <v>686.73</v>
      </c>
      <c r="U21" s="1404">
        <f>'Table 8 2.1.12 MFP Funded'!G19+'Table 8 2.1.12 MFP Funded'!H19+'Table 8 2.1.12 MFP Funded'!I19+'Table 8 2.1.12 MFP Funded'!J19</f>
        <v>4773</v>
      </c>
      <c r="V21" s="426">
        <f t="shared" si="11"/>
        <v>3277762.29</v>
      </c>
    </row>
    <row r="22" spans="1:22">
      <c r="A22" s="101">
        <v>17</v>
      </c>
      <c r="B22" s="311" t="s">
        <v>118</v>
      </c>
      <c r="C22" s="327">
        <v>25595514</v>
      </c>
      <c r="D22" s="327">
        <v>13580692</v>
      </c>
      <c r="E22" s="327">
        <f t="shared" si="6"/>
        <v>12014822</v>
      </c>
      <c r="F22" s="328">
        <f>'[5]Table 4 Level 3'!F22+'[5]Table 4 Level 3'!H22</f>
        <v>-6007410</v>
      </c>
      <c r="G22" s="328">
        <f t="shared" si="2"/>
        <v>6007412</v>
      </c>
      <c r="H22" s="328">
        <f t="shared" si="7"/>
        <v>-1201482</v>
      </c>
      <c r="I22" s="326">
        <f>IF(F22&lt;0,0,'Table 3 Levels 1&amp;2'!C24)</f>
        <v>0</v>
      </c>
      <c r="J22" s="323">
        <f t="shared" si="3"/>
        <v>0</v>
      </c>
      <c r="K22" s="324">
        <v>9</v>
      </c>
      <c r="L22" s="323">
        <f t="shared" si="4"/>
        <v>180000</v>
      </c>
      <c r="M22" s="326">
        <f>'Table 3 Levels 1&amp;2'!C24</f>
        <v>43750</v>
      </c>
      <c r="N22" s="323">
        <f t="shared" si="5"/>
        <v>4375000</v>
      </c>
      <c r="O22" s="323">
        <f t="shared" si="8"/>
        <v>22941622</v>
      </c>
      <c r="P22" s="320">
        <f>'Table 5B2_RSD_LA'!F7</f>
        <v>801.47762416806802</v>
      </c>
      <c r="Q22" s="323">
        <f>(('Table 8 2.1.12 MFP Funded'!G20+'Table 8 2.1.12 MFP Funded'!H20+'Table 8 2.1.12 MFP Funded'!I20+'Table 8 2.1.12 MFP Funded'!J20)*'Table 4 Level 3'!P22)+'Table 5A4_LSDVI'!G23+'Table 5A5_SSD'!G23+'Table 5C1A-Madison Prep'!G23+'Table 5C1B-DArbonne'!G23+'Table 5C1C-Intl_VIBE'!G23+'Table 5C1D-NOMMA'!G23+'Table 5C1E-LFNO'!G23+'Table 5C1F-Lake Charles Charter'!G23+'Table 5C2 - LA Virtual Admy'!G20+'Table 5C3 - LA Connections EBR'!G20+'Table 5D1 - New Vision'!F23+'Table 5D2 - Glencoe'!F23+'Table 5D3 - International'!F23+'Table 5D4 - Avoyelles'!F23+'Table 5D5 - Delhi'!F23+'Table 5D6 - Milestone'!F23+'Table 5D7 - Max'!F23+'Table 5D8 - Belle Chasse'!H23</f>
        <v>35055268.769150198</v>
      </c>
      <c r="R22" s="323">
        <f t="shared" si="9"/>
        <v>57996890.769150198</v>
      </c>
      <c r="T22" s="23">
        <f t="shared" si="10"/>
        <v>801.47762416806802</v>
      </c>
      <c r="U22" s="1404">
        <f>'Table 8 2.1.12 MFP Funded'!G20+'Table 8 2.1.12 MFP Funded'!H20+'Table 8 2.1.12 MFP Funded'!I20+'Table 8 2.1.12 MFP Funded'!J20</f>
        <v>43379</v>
      </c>
      <c r="V22" s="426">
        <f t="shared" si="11"/>
        <v>34767297.85878662</v>
      </c>
    </row>
    <row r="23" spans="1:22">
      <c r="A23" s="101">
        <v>18</v>
      </c>
      <c r="B23" s="311" t="s">
        <v>119</v>
      </c>
      <c r="C23" s="327">
        <v>0</v>
      </c>
      <c r="D23" s="327">
        <v>0</v>
      </c>
      <c r="E23" s="327">
        <f t="shared" si="6"/>
        <v>0</v>
      </c>
      <c r="F23" s="328">
        <f>'[5]Table 4 Level 3'!F23+'[5]Table 4 Level 3'!H23</f>
        <v>0</v>
      </c>
      <c r="G23" s="328">
        <f t="shared" si="2"/>
        <v>0</v>
      </c>
      <c r="H23" s="328">
        <f t="shared" si="7"/>
        <v>0</v>
      </c>
      <c r="I23" s="326">
        <f>IF(F23&lt;0,0,'Table 3 Levels 1&amp;2'!C25)</f>
        <v>1145</v>
      </c>
      <c r="J23" s="323">
        <f t="shared" si="3"/>
        <v>40933</v>
      </c>
      <c r="K23" s="324">
        <v>1</v>
      </c>
      <c r="L23" s="323">
        <f t="shared" si="4"/>
        <v>20000</v>
      </c>
      <c r="M23" s="326">
        <f>'Table 3 Levels 1&amp;2'!C25</f>
        <v>1145</v>
      </c>
      <c r="N23" s="323">
        <f t="shared" si="5"/>
        <v>114500</v>
      </c>
      <c r="O23" s="323">
        <f t="shared" si="8"/>
        <v>175433</v>
      </c>
      <c r="P23" s="320">
        <v>845.94999999999993</v>
      </c>
      <c r="Q23" s="323">
        <f>(('Table 8 2.1.12 MFP Funded'!G21+'Table 8 2.1.12 MFP Funded'!H21+'Table 8 2.1.12 MFP Funded'!I21+'Table 8 2.1.12 MFP Funded'!J21)*'Table 4 Level 3'!P23)+'Table 5A4_LSDVI'!G24+'Table 5A5_SSD'!G24+'Table 5C1A-Madison Prep'!G24+'Table 5C1B-DArbonne'!G24+'Table 5C1C-Intl_VIBE'!G24+'Table 5C1D-NOMMA'!G24+'Table 5C1E-LFNO'!G24+'Table 5C1F-Lake Charles Charter'!G24+'Table 5C2 - LA Virtual Admy'!G21+'Table 5C3 - LA Connections EBR'!G21+'Table 5D1 - New Vision'!F24+'Table 5D2 - Glencoe'!F24+'Table 5D3 - International'!F24+'Table 5D4 - Avoyelles'!F24+'Table 5D5 - Delhi'!F24+'Table 5D6 - Milestone'!F24+'Table 5D7 - Max'!F24+'Table 5D8 - Belle Chasse'!H24</f>
        <v>965338.89044141525</v>
      </c>
      <c r="R23" s="323">
        <f t="shared" si="9"/>
        <v>1140771.8904414154</v>
      </c>
      <c r="T23" s="23">
        <f t="shared" si="10"/>
        <v>845.94999999999993</v>
      </c>
      <c r="U23" s="1404">
        <f>'Table 8 2.1.12 MFP Funded'!G21+'Table 8 2.1.12 MFP Funded'!H21+'Table 8 2.1.12 MFP Funded'!I21+'Table 8 2.1.12 MFP Funded'!J21</f>
        <v>1134</v>
      </c>
      <c r="V23" s="426">
        <f t="shared" si="11"/>
        <v>959307.29999999993</v>
      </c>
    </row>
    <row r="24" spans="1:22">
      <c r="A24" s="101">
        <v>19</v>
      </c>
      <c r="B24" s="311" t="s">
        <v>120</v>
      </c>
      <c r="C24" s="327">
        <v>0</v>
      </c>
      <c r="D24" s="327">
        <v>0</v>
      </c>
      <c r="E24" s="327">
        <f t="shared" si="6"/>
        <v>0</v>
      </c>
      <c r="F24" s="328">
        <f>'[5]Table 4 Level 3'!F24+'[5]Table 4 Level 3'!H24</f>
        <v>0</v>
      </c>
      <c r="G24" s="328">
        <f t="shared" si="2"/>
        <v>0</v>
      </c>
      <c r="H24" s="328">
        <f t="shared" si="7"/>
        <v>0</v>
      </c>
      <c r="I24" s="326">
        <f>IF(F24&lt;0,0,'Table 3 Levels 1&amp;2'!C26)</f>
        <v>1956</v>
      </c>
      <c r="J24" s="323">
        <f t="shared" si="3"/>
        <v>69925</v>
      </c>
      <c r="K24" s="324">
        <v>0</v>
      </c>
      <c r="L24" s="323">
        <f t="shared" si="4"/>
        <v>0</v>
      </c>
      <c r="M24" s="326">
        <f>'Table 3 Levels 1&amp;2'!C26</f>
        <v>1956</v>
      </c>
      <c r="N24" s="323">
        <f t="shared" si="5"/>
        <v>195600</v>
      </c>
      <c r="O24" s="323">
        <f t="shared" si="8"/>
        <v>265525</v>
      </c>
      <c r="P24" s="320">
        <v>905.43</v>
      </c>
      <c r="Q24" s="323">
        <f>(('Table 8 2.1.12 MFP Funded'!G22+'Table 8 2.1.12 MFP Funded'!H22+'Table 8 2.1.12 MFP Funded'!I22+'Table 8 2.1.12 MFP Funded'!J22)*'Table 4 Level 3'!P24)+'Table 5A4_LSDVI'!G25+'Table 5A5_SSD'!G25+'Table 5C1A-Madison Prep'!G25+'Table 5C1B-DArbonne'!G25+'Table 5C1C-Intl_VIBE'!G25+'Table 5C1D-NOMMA'!G25+'Table 5C1E-LFNO'!G25+'Table 5C1F-Lake Charles Charter'!G25+'Table 5C2 - LA Virtual Admy'!G22+'Table 5C3 - LA Connections EBR'!G22+'Table 5D1 - New Vision'!F25+'Table 5D2 - Glencoe'!F25+'Table 5D3 - International'!F25+'Table 5D4 - Avoyelles'!F25+'Table 5D5 - Delhi'!F25+'Table 5D6 - Milestone'!F25+'Table 5D7 - Max'!F25+'Table 5D8 - Belle Chasse'!H25</f>
        <v>1770206.193</v>
      </c>
      <c r="R24" s="323">
        <f t="shared" si="9"/>
        <v>2035731.193</v>
      </c>
      <c r="T24" s="23">
        <f t="shared" si="10"/>
        <v>905.43</v>
      </c>
      <c r="U24" s="1404">
        <f>'Table 8 2.1.12 MFP Funded'!G22+'Table 8 2.1.12 MFP Funded'!H22+'Table 8 2.1.12 MFP Funded'!I22+'Table 8 2.1.12 MFP Funded'!J22</f>
        <v>1929</v>
      </c>
      <c r="V24" s="426">
        <f t="shared" si="11"/>
        <v>1746574.47</v>
      </c>
    </row>
    <row r="25" spans="1:22">
      <c r="A25" s="102">
        <v>20</v>
      </c>
      <c r="B25" s="312" t="s">
        <v>121</v>
      </c>
      <c r="C25" s="334">
        <v>175620</v>
      </c>
      <c r="D25" s="334">
        <v>0</v>
      </c>
      <c r="E25" s="334">
        <f t="shared" si="6"/>
        <v>175620</v>
      </c>
      <c r="F25" s="335">
        <f>'[5]Table 4 Level 3'!F25+'[5]Table 4 Level 3'!H25</f>
        <v>-87810</v>
      </c>
      <c r="G25" s="335">
        <f t="shared" si="2"/>
        <v>87810</v>
      </c>
      <c r="H25" s="335">
        <f t="shared" si="7"/>
        <v>-17562</v>
      </c>
      <c r="I25" s="333">
        <f>IF(F25&lt;0,0,'Table 3 Levels 1&amp;2'!C27)</f>
        <v>0</v>
      </c>
      <c r="J25" s="330">
        <f t="shared" si="3"/>
        <v>0</v>
      </c>
      <c r="K25" s="331">
        <v>0</v>
      </c>
      <c r="L25" s="330">
        <f t="shared" si="4"/>
        <v>0</v>
      </c>
      <c r="M25" s="333">
        <f>'Table 3 Levels 1&amp;2'!C27</f>
        <v>5819</v>
      </c>
      <c r="N25" s="330">
        <f t="shared" si="5"/>
        <v>581900</v>
      </c>
      <c r="O25" s="330">
        <f t="shared" si="8"/>
        <v>652148</v>
      </c>
      <c r="P25" s="329">
        <v>586.16999999999996</v>
      </c>
      <c r="Q25" s="330">
        <f>(('Table 8 2.1.12 MFP Funded'!G23+'Table 8 2.1.12 MFP Funded'!H23+'Table 8 2.1.12 MFP Funded'!I23+'Table 8 2.1.12 MFP Funded'!J23)*'Table 4 Level 3'!P25)+'Table 5A4_LSDVI'!G26+'Table 5A5_SSD'!G26+'Table 5C1A-Madison Prep'!G26+'Table 5C1B-DArbonne'!G26+'Table 5C1C-Intl_VIBE'!G26+'Table 5C1D-NOMMA'!G26+'Table 5C1E-LFNO'!G26+'Table 5C1F-Lake Charles Charter'!G26+'Table 5C2 - LA Virtual Admy'!G23+'Table 5C3 - LA Connections EBR'!G23+'Table 5D1 - New Vision'!F26+'Table 5D2 - Glencoe'!F26+'Table 5D3 - International'!F26+'Table 5D4 - Avoyelles'!F26+'Table 5D5 - Delhi'!F26+'Table 5D6 - Milestone'!F26+'Table 5D7 - Max'!F26+'Table 5D8 - Belle Chasse'!H26</f>
        <v>3410395.6770000001</v>
      </c>
      <c r="R25" s="330">
        <f t="shared" si="9"/>
        <v>4062543.6770000001</v>
      </c>
      <c r="T25" s="23">
        <f t="shared" si="10"/>
        <v>586.16999999999996</v>
      </c>
      <c r="U25" s="1404">
        <f>'Table 8 2.1.12 MFP Funded'!G23+'Table 8 2.1.12 MFP Funded'!H23+'Table 8 2.1.12 MFP Funded'!I23+'Table 8 2.1.12 MFP Funded'!J23</f>
        <v>5802</v>
      </c>
      <c r="V25" s="426">
        <f t="shared" si="11"/>
        <v>3400958.34</v>
      </c>
    </row>
    <row r="26" spans="1:22">
      <c r="A26" s="101">
        <v>21</v>
      </c>
      <c r="B26" s="311" t="s">
        <v>122</v>
      </c>
      <c r="C26" s="327">
        <v>0</v>
      </c>
      <c r="D26" s="327">
        <v>0</v>
      </c>
      <c r="E26" s="327">
        <f t="shared" si="6"/>
        <v>0</v>
      </c>
      <c r="F26" s="328">
        <f>'[5]Table 4 Level 3'!F26+'[5]Table 4 Level 3'!H26</f>
        <v>0</v>
      </c>
      <c r="G26" s="328">
        <f t="shared" si="2"/>
        <v>0</v>
      </c>
      <c r="H26" s="328">
        <f t="shared" si="7"/>
        <v>0</v>
      </c>
      <c r="I26" s="326">
        <f>IF(F26&lt;0,0,'Table 3 Levels 1&amp;2'!C28)</f>
        <v>3038</v>
      </c>
      <c r="J26" s="323">
        <f t="shared" si="3"/>
        <v>108606</v>
      </c>
      <c r="K26" s="324">
        <v>0</v>
      </c>
      <c r="L26" s="323">
        <f t="shared" si="4"/>
        <v>0</v>
      </c>
      <c r="M26" s="326">
        <f>'Table 3 Levels 1&amp;2'!C28</f>
        <v>3038</v>
      </c>
      <c r="N26" s="323">
        <f t="shared" si="5"/>
        <v>303800</v>
      </c>
      <c r="O26" s="323">
        <f t="shared" si="8"/>
        <v>412406</v>
      </c>
      <c r="P26" s="320">
        <v>610.35</v>
      </c>
      <c r="Q26" s="323">
        <f>(('Table 8 2.1.12 MFP Funded'!G24+'Table 8 2.1.12 MFP Funded'!H24+'Table 8 2.1.12 MFP Funded'!I24+'Table 8 2.1.12 MFP Funded'!J24)*'Table 4 Level 3'!P26)+'Table 5A4_LSDVI'!G27+'Table 5A5_SSD'!G27+'Table 5C1A-Madison Prep'!G27+'Table 5C1B-DArbonne'!G27+'Table 5C1C-Intl_VIBE'!G27+'Table 5C1D-NOMMA'!G27+'Table 5C1E-LFNO'!G27+'Table 5C1F-Lake Charles Charter'!G27+'Table 5C2 - LA Virtual Admy'!G24+'Table 5C3 - LA Connections EBR'!G24+'Table 5D1 - New Vision'!F27+'Table 5D2 - Glencoe'!F27+'Table 5D3 - International'!F27+'Table 5D4 - Avoyelles'!F27+'Table 5D5 - Delhi'!F27+'Table 5D6 - Milestone'!F27+'Table 5D7 - Max'!F27+'Table 5D8 - Belle Chasse'!H27</f>
        <v>1846261.4783403135</v>
      </c>
      <c r="R26" s="323">
        <f t="shared" si="9"/>
        <v>2258667.4783403138</v>
      </c>
      <c r="T26" s="23">
        <f t="shared" si="10"/>
        <v>610.35</v>
      </c>
      <c r="U26" s="1404">
        <f>'Table 8 2.1.12 MFP Funded'!G24+'Table 8 2.1.12 MFP Funded'!H24+'Table 8 2.1.12 MFP Funded'!I24+'Table 8 2.1.12 MFP Funded'!J24</f>
        <v>2938</v>
      </c>
      <c r="V26" s="426">
        <f t="shared" si="11"/>
        <v>1793208.3</v>
      </c>
    </row>
    <row r="27" spans="1:22">
      <c r="A27" s="101">
        <v>22</v>
      </c>
      <c r="B27" s="311" t="s">
        <v>123</v>
      </c>
      <c r="C27" s="327">
        <v>0</v>
      </c>
      <c r="D27" s="327">
        <v>0</v>
      </c>
      <c r="E27" s="327">
        <f t="shared" si="6"/>
        <v>0</v>
      </c>
      <c r="F27" s="328">
        <f>'[5]Table 4 Level 3'!F27+'[5]Table 4 Level 3'!H27</f>
        <v>0</v>
      </c>
      <c r="G27" s="328">
        <f t="shared" si="2"/>
        <v>0</v>
      </c>
      <c r="H27" s="328">
        <f t="shared" si="7"/>
        <v>0</v>
      </c>
      <c r="I27" s="326">
        <f>IF(F27&lt;0,0,'Table 3 Levels 1&amp;2'!C29)</f>
        <v>3281</v>
      </c>
      <c r="J27" s="323">
        <f t="shared" si="3"/>
        <v>117293</v>
      </c>
      <c r="K27" s="324">
        <v>0</v>
      </c>
      <c r="L27" s="323">
        <f t="shared" si="4"/>
        <v>0</v>
      </c>
      <c r="M27" s="326">
        <f>'Table 3 Levels 1&amp;2'!C29</f>
        <v>3281</v>
      </c>
      <c r="N27" s="323">
        <f t="shared" si="5"/>
        <v>328100</v>
      </c>
      <c r="O27" s="323">
        <f t="shared" si="8"/>
        <v>445393</v>
      </c>
      <c r="P27" s="320">
        <v>496.36</v>
      </c>
      <c r="Q27" s="323">
        <f>(('Table 8 2.1.12 MFP Funded'!G25+'Table 8 2.1.12 MFP Funded'!H25+'Table 8 2.1.12 MFP Funded'!I25+'Table 8 2.1.12 MFP Funded'!J25)*'Table 4 Level 3'!P27)+'Table 5A4_LSDVI'!G28+'Table 5A5_SSD'!G28+'Table 5C1A-Madison Prep'!G28+'Table 5C1B-DArbonne'!G28+'Table 5C1C-Intl_VIBE'!G28+'Table 5C1D-NOMMA'!G28+'Table 5C1E-LFNO'!G28+'Table 5C1F-Lake Charles Charter'!G28+'Table 5C2 - LA Virtual Admy'!G25+'Table 5C3 - LA Connections EBR'!G25+'Table 5D1 - New Vision'!F28+'Table 5D2 - Glencoe'!F28+'Table 5D3 - International'!F28+'Table 5D4 - Avoyelles'!F28+'Table 5D5 - Delhi'!F28+'Table 5D6 - Milestone'!F28+'Table 5D7 - Max'!F28+'Table 5D8 - Belle Chasse'!H28</f>
        <v>1628060.8</v>
      </c>
      <c r="R27" s="323">
        <f t="shared" si="9"/>
        <v>2073453.8</v>
      </c>
      <c r="T27" s="23">
        <f t="shared" si="10"/>
        <v>496.36</v>
      </c>
      <c r="U27" s="1404">
        <f>'Table 8 2.1.12 MFP Funded'!G25+'Table 8 2.1.12 MFP Funded'!H25+'Table 8 2.1.12 MFP Funded'!I25+'Table 8 2.1.12 MFP Funded'!J25</f>
        <v>3267</v>
      </c>
      <c r="V27" s="426">
        <f t="shared" si="11"/>
        <v>1621608.12</v>
      </c>
    </row>
    <row r="28" spans="1:22">
      <c r="A28" s="101">
        <v>23</v>
      </c>
      <c r="B28" s="311" t="s">
        <v>124</v>
      </c>
      <c r="C28" s="327">
        <v>0</v>
      </c>
      <c r="D28" s="327">
        <v>0</v>
      </c>
      <c r="E28" s="327">
        <f t="shared" si="6"/>
        <v>0</v>
      </c>
      <c r="F28" s="328">
        <f>'[5]Table 4 Level 3'!F28+'[5]Table 4 Level 3'!H28</f>
        <v>0</v>
      </c>
      <c r="G28" s="328">
        <f t="shared" si="2"/>
        <v>0</v>
      </c>
      <c r="H28" s="328">
        <f t="shared" si="7"/>
        <v>0</v>
      </c>
      <c r="I28" s="326">
        <f>IF(F28&lt;0,0,'Table 3 Levels 1&amp;2'!C30)</f>
        <v>13367</v>
      </c>
      <c r="J28" s="323">
        <f t="shared" si="3"/>
        <v>477858</v>
      </c>
      <c r="K28" s="324">
        <v>9</v>
      </c>
      <c r="L28" s="323">
        <f t="shared" si="4"/>
        <v>180000</v>
      </c>
      <c r="M28" s="326">
        <f>'Table 3 Levels 1&amp;2'!C30</f>
        <v>13367</v>
      </c>
      <c r="N28" s="323">
        <f t="shared" si="5"/>
        <v>1336700</v>
      </c>
      <c r="O28" s="323">
        <f t="shared" si="8"/>
        <v>1994558</v>
      </c>
      <c r="P28" s="320">
        <v>688.58</v>
      </c>
      <c r="Q28" s="323">
        <f>(('Table 8 2.1.12 MFP Funded'!G26+'Table 8 2.1.12 MFP Funded'!H26+'Table 8 2.1.12 MFP Funded'!I26+'Table 8 2.1.12 MFP Funded'!J26)*'Table 4 Level 3'!P28)+'Table 5A4_LSDVI'!G29+'Table 5A5_SSD'!G29+'Table 5C1A-Madison Prep'!G29+'Table 5C1B-DArbonne'!G29+'Table 5C1C-Intl_VIBE'!G29+'Table 5C1D-NOMMA'!G29+'Table 5C1E-LFNO'!G29+'Table 5C1F-Lake Charles Charter'!G29+'Table 5C2 - LA Virtual Admy'!G26+'Table 5C3 - LA Connections EBR'!G26+'Table 5D1 - New Vision'!F29+'Table 5D2 - Glencoe'!F29+'Table 5D3 - International'!F29+'Table 5D4 - Avoyelles'!F29+'Table 5D5 - Delhi'!F29+'Table 5D6 - Milestone'!F29+'Table 5D7 - Max'!F29+'Table 5D8 - Belle Chasse'!H29</f>
        <v>9195769.0854836404</v>
      </c>
      <c r="R28" s="323">
        <f t="shared" si="9"/>
        <v>11190327.08548364</v>
      </c>
      <c r="T28" s="23">
        <f t="shared" si="10"/>
        <v>688.58</v>
      </c>
      <c r="U28" s="1404">
        <f>'Table 8 2.1.12 MFP Funded'!G26+'Table 8 2.1.12 MFP Funded'!H26+'Table 8 2.1.12 MFP Funded'!I26+'Table 8 2.1.12 MFP Funded'!J26</f>
        <v>13259</v>
      </c>
      <c r="V28" s="426">
        <f t="shared" si="11"/>
        <v>9129882.2200000007</v>
      </c>
    </row>
    <row r="29" spans="1:22">
      <c r="A29" s="101">
        <v>24</v>
      </c>
      <c r="B29" s="311" t="s">
        <v>125</v>
      </c>
      <c r="C29" s="327">
        <v>2421938</v>
      </c>
      <c r="D29" s="327">
        <v>1654734</v>
      </c>
      <c r="E29" s="327">
        <f t="shared" si="6"/>
        <v>767204</v>
      </c>
      <c r="F29" s="328">
        <f>'[5]Table 4 Level 3'!F29+'[5]Table 4 Level 3'!H29</f>
        <v>-383602</v>
      </c>
      <c r="G29" s="328">
        <f t="shared" si="2"/>
        <v>383602</v>
      </c>
      <c r="H29" s="328">
        <f t="shared" si="7"/>
        <v>-76720</v>
      </c>
      <c r="I29" s="326">
        <f>IF(F29&lt;0,0,'Table 3 Levels 1&amp;2'!C31)</f>
        <v>0</v>
      </c>
      <c r="J29" s="323">
        <f t="shared" si="3"/>
        <v>0</v>
      </c>
      <c r="K29" s="324">
        <v>0</v>
      </c>
      <c r="L29" s="323">
        <f t="shared" si="4"/>
        <v>0</v>
      </c>
      <c r="M29" s="326">
        <f>'Table 3 Levels 1&amp;2'!C31</f>
        <v>4479</v>
      </c>
      <c r="N29" s="323">
        <f t="shared" si="5"/>
        <v>447900</v>
      </c>
      <c r="O29" s="323">
        <f t="shared" si="8"/>
        <v>2409516</v>
      </c>
      <c r="P29" s="320">
        <v>854.24999999999989</v>
      </c>
      <c r="Q29" s="323">
        <f>(('Table 8 2.1.12 MFP Funded'!G27+'Table 8 2.1.12 MFP Funded'!H27+'Table 8 2.1.12 MFP Funded'!I27+'Table 8 2.1.12 MFP Funded'!J27)*'Table 4 Level 3'!P29)+'Table 5A4_LSDVI'!G30+'Table 5A5_SSD'!G30+'Table 5C1A-Madison Prep'!G30+'Table 5C1B-DArbonne'!G30+'Table 5C1C-Intl_VIBE'!G30+'Table 5C1D-NOMMA'!G30+'Table 5C1E-LFNO'!G30+'Table 5C1F-Lake Charles Charter'!G30+'Table 5C2 - LA Virtual Admy'!G27+'Table 5C3 - LA Connections EBR'!G27+'Table 5D1 - New Vision'!F30+'Table 5D2 - Glencoe'!F30+'Table 5D3 - International'!F30+'Table 5D4 - Avoyelles'!F30+'Table 5D5 - Delhi'!F30+'Table 5D6 - Milestone'!F30+'Table 5D7 - Max'!F30+'Table 5D8 - Belle Chasse'!H30</f>
        <v>3825331.4999999995</v>
      </c>
      <c r="R29" s="323">
        <f t="shared" si="9"/>
        <v>6234847.5</v>
      </c>
      <c r="T29" s="23">
        <f t="shared" si="10"/>
        <v>854.24999999999989</v>
      </c>
      <c r="U29" s="1404">
        <f>'Table 8 2.1.12 MFP Funded'!G27+'Table 8 2.1.12 MFP Funded'!H27+'Table 8 2.1.12 MFP Funded'!I27+'Table 8 2.1.12 MFP Funded'!J27</f>
        <v>4461</v>
      </c>
      <c r="V29" s="426">
        <f t="shared" si="11"/>
        <v>3810809.2499999995</v>
      </c>
    </row>
    <row r="30" spans="1:22">
      <c r="A30" s="102">
        <v>25</v>
      </c>
      <c r="B30" s="312" t="s">
        <v>126</v>
      </c>
      <c r="C30" s="334">
        <v>0</v>
      </c>
      <c r="D30" s="334">
        <v>0</v>
      </c>
      <c r="E30" s="334">
        <f t="shared" si="6"/>
        <v>0</v>
      </c>
      <c r="F30" s="335">
        <f>'[5]Table 4 Level 3'!F30+'[5]Table 4 Level 3'!H30</f>
        <v>0</v>
      </c>
      <c r="G30" s="335">
        <f t="shared" si="2"/>
        <v>0</v>
      </c>
      <c r="H30" s="335">
        <f t="shared" si="7"/>
        <v>0</v>
      </c>
      <c r="I30" s="333">
        <f>IF(F30&lt;0,0,'Table 3 Levels 1&amp;2'!C32)</f>
        <v>2226</v>
      </c>
      <c r="J30" s="330">
        <f t="shared" si="3"/>
        <v>79577</v>
      </c>
      <c r="K30" s="331">
        <v>0</v>
      </c>
      <c r="L30" s="330">
        <f t="shared" si="4"/>
        <v>0</v>
      </c>
      <c r="M30" s="333">
        <f>'Table 3 Levels 1&amp;2'!C32</f>
        <v>2226</v>
      </c>
      <c r="N30" s="330">
        <f t="shared" si="5"/>
        <v>222600</v>
      </c>
      <c r="O30" s="330">
        <f t="shared" si="8"/>
        <v>302177</v>
      </c>
      <c r="P30" s="329">
        <v>653.73</v>
      </c>
      <c r="Q30" s="330">
        <f>(('Table 8 2.1.12 MFP Funded'!G28+'Table 8 2.1.12 MFP Funded'!H28+'Table 8 2.1.12 MFP Funded'!I28+'Table 8 2.1.12 MFP Funded'!J28)*'Table 4 Level 3'!P30)+'Table 5A4_LSDVI'!G31+'Table 5A5_SSD'!G31+'Table 5C1A-Madison Prep'!G31+'Table 5C1B-DArbonne'!G31+'Table 5C1C-Intl_VIBE'!G31+'Table 5C1D-NOMMA'!G31+'Table 5C1E-LFNO'!G31+'Table 5C1F-Lake Charles Charter'!G31+'Table 5C2 - LA Virtual Admy'!G28+'Table 5C3 - LA Connections EBR'!G28+'Table 5D1 - New Vision'!F31+'Table 5D2 - Glencoe'!F31+'Table 5D3 - International'!F31+'Table 5D4 - Avoyelles'!F31+'Table 5D5 - Delhi'!F31+'Table 5D6 - Milestone'!F31+'Table 5D7 - Max'!F31+'Table 5D8 - Belle Chasse'!H31</f>
        <v>1455072.2339999999</v>
      </c>
      <c r="R30" s="330">
        <f t="shared" si="9"/>
        <v>1757249.2339999999</v>
      </c>
      <c r="T30" s="23">
        <f t="shared" si="10"/>
        <v>653.73</v>
      </c>
      <c r="U30" s="1404">
        <f>'Table 8 2.1.12 MFP Funded'!G28+'Table 8 2.1.12 MFP Funded'!H28+'Table 8 2.1.12 MFP Funded'!I28+'Table 8 2.1.12 MFP Funded'!J28</f>
        <v>2224</v>
      </c>
      <c r="V30" s="426">
        <f t="shared" si="11"/>
        <v>1453895.52</v>
      </c>
    </row>
    <row r="31" spans="1:22">
      <c r="A31" s="101">
        <v>26</v>
      </c>
      <c r="B31" s="311" t="s">
        <v>127</v>
      </c>
      <c r="C31" s="327">
        <v>23386991</v>
      </c>
      <c r="D31" s="327">
        <v>14897747</v>
      </c>
      <c r="E31" s="327">
        <f t="shared" si="6"/>
        <v>8489244</v>
      </c>
      <c r="F31" s="328">
        <f>'[5]Table 4 Level 3'!F31+'[5]Table 4 Level 3'!H31</f>
        <v>-4244622</v>
      </c>
      <c r="G31" s="328">
        <f t="shared" si="2"/>
        <v>4244622</v>
      </c>
      <c r="H31" s="328">
        <f t="shared" si="7"/>
        <v>-848924</v>
      </c>
      <c r="I31" s="326">
        <f>IF(F31&lt;0,0,'Table 3 Levels 1&amp;2'!C33)</f>
        <v>0</v>
      </c>
      <c r="J31" s="323">
        <f t="shared" si="3"/>
        <v>0</v>
      </c>
      <c r="K31" s="324">
        <v>22</v>
      </c>
      <c r="L31" s="323">
        <f t="shared" si="4"/>
        <v>440000</v>
      </c>
      <c r="M31" s="326">
        <f>'Table 3 Levels 1&amp;2'!C33</f>
        <v>44347</v>
      </c>
      <c r="N31" s="323">
        <f t="shared" si="5"/>
        <v>4434700</v>
      </c>
      <c r="O31" s="323">
        <f t="shared" si="8"/>
        <v>23168145</v>
      </c>
      <c r="P31" s="320">
        <v>836.83</v>
      </c>
      <c r="Q31" s="323">
        <f>(('Table 8 2.1.12 MFP Funded'!G29+'Table 8 2.1.12 MFP Funded'!H29+'Table 8 2.1.12 MFP Funded'!I29+'Table 8 2.1.12 MFP Funded'!J29)*'Table 4 Level 3'!P31)+'Table 5A4_LSDVI'!G32+'Table 5A5_SSD'!G32+'Table 5C1A-Madison Prep'!G32+'Table 5C1B-DArbonne'!G32+'Table 5C1C-Intl_VIBE'!G32+'Table 5C1D-NOMMA'!G32+'Table 5C1E-LFNO'!G32+'Table 5C1F-Lake Charles Charter'!G32+'Table 5C2 - LA Virtual Admy'!G29+'Table 5C3 - LA Connections EBR'!G29+'Table 5D1 - New Vision'!F32+'Table 5D2 - Glencoe'!F32+'Table 5D3 - International'!F32+'Table 5D4 - Avoyelles'!F32+'Table 5D5 - Delhi'!F32+'Table 5D6 - Milestone'!F32+'Table 5D7 - Max'!F32+'Table 5D8 - Belle Chasse'!H32</f>
        <v>37054883.441277765</v>
      </c>
      <c r="R31" s="323">
        <f t="shared" si="9"/>
        <v>60223028.441277765</v>
      </c>
      <c r="T31" s="23">
        <f t="shared" si="10"/>
        <v>836.83</v>
      </c>
      <c r="U31" s="1404">
        <f>'Table 8 2.1.12 MFP Funded'!G29+'Table 8 2.1.12 MFP Funded'!H29+'Table 8 2.1.12 MFP Funded'!I29+'Table 8 2.1.12 MFP Funded'!J29</f>
        <v>43581</v>
      </c>
      <c r="V31" s="426">
        <f t="shared" si="11"/>
        <v>36469888.230000004</v>
      </c>
    </row>
    <row r="32" spans="1:22">
      <c r="A32" s="101">
        <v>27</v>
      </c>
      <c r="B32" s="311" t="s">
        <v>128</v>
      </c>
      <c r="C32" s="327">
        <v>0</v>
      </c>
      <c r="D32" s="327">
        <v>0</v>
      </c>
      <c r="E32" s="327">
        <f t="shared" si="6"/>
        <v>0</v>
      </c>
      <c r="F32" s="328">
        <f>'[5]Table 4 Level 3'!F32+'[5]Table 4 Level 3'!H32</f>
        <v>0</v>
      </c>
      <c r="G32" s="328">
        <f t="shared" si="2"/>
        <v>0</v>
      </c>
      <c r="H32" s="328">
        <f t="shared" si="7"/>
        <v>0</v>
      </c>
      <c r="I32" s="326">
        <f>IF(F32&lt;0,0,'Table 3 Levels 1&amp;2'!C34)</f>
        <v>5614</v>
      </c>
      <c r="J32" s="323">
        <f t="shared" si="3"/>
        <v>200695</v>
      </c>
      <c r="K32" s="324">
        <v>0</v>
      </c>
      <c r="L32" s="323">
        <f t="shared" si="4"/>
        <v>0</v>
      </c>
      <c r="M32" s="326">
        <f>'Table 3 Levels 1&amp;2'!C34</f>
        <v>5614</v>
      </c>
      <c r="N32" s="323">
        <f t="shared" si="5"/>
        <v>561400</v>
      </c>
      <c r="O32" s="323">
        <f t="shared" si="8"/>
        <v>762095</v>
      </c>
      <c r="P32" s="320">
        <v>693.06</v>
      </c>
      <c r="Q32" s="323">
        <f>(('Table 8 2.1.12 MFP Funded'!G30+'Table 8 2.1.12 MFP Funded'!H30+'Table 8 2.1.12 MFP Funded'!I30+'Table 8 2.1.12 MFP Funded'!J30)*'Table 4 Level 3'!P32)+'Table 5A4_LSDVI'!G33+'Table 5A5_SSD'!G33+'Table 5C1A-Madison Prep'!G33+'Table 5C1B-DArbonne'!G33+'Table 5C1C-Intl_VIBE'!G33+'Table 5C1D-NOMMA'!G33+'Table 5C1E-LFNO'!G33+'Table 5C1F-Lake Charles Charter'!G33+'Table 5C2 - LA Virtual Admy'!G30+'Table 5C3 - LA Connections EBR'!G30+'Table 5D1 - New Vision'!F33+'Table 5D2 - Glencoe'!F33+'Table 5D3 - International'!F33+'Table 5D4 - Avoyelles'!F33+'Table 5D5 - Delhi'!F33+'Table 5D6 - Milestone'!F33+'Table 5D7 - Max'!F33+'Table 5D8 - Belle Chasse'!H33</f>
        <v>3890076.4740000004</v>
      </c>
      <c r="R32" s="323">
        <f t="shared" si="9"/>
        <v>4652171.4740000004</v>
      </c>
      <c r="T32" s="23">
        <f t="shared" si="10"/>
        <v>693.06</v>
      </c>
      <c r="U32" s="1404">
        <f>'Table 8 2.1.12 MFP Funded'!G30+'Table 8 2.1.12 MFP Funded'!H30+'Table 8 2.1.12 MFP Funded'!I30+'Table 8 2.1.12 MFP Funded'!J30</f>
        <v>5597</v>
      </c>
      <c r="V32" s="426">
        <f t="shared" si="11"/>
        <v>3879056.82</v>
      </c>
    </row>
    <row r="33" spans="1:22">
      <c r="A33" s="101">
        <v>28</v>
      </c>
      <c r="B33" s="311" t="s">
        <v>129</v>
      </c>
      <c r="C33" s="327">
        <v>1996377</v>
      </c>
      <c r="D33" s="327">
        <v>1996377</v>
      </c>
      <c r="E33" s="327">
        <f t="shared" si="6"/>
        <v>0</v>
      </c>
      <c r="F33" s="328">
        <f>'[5]Table 4 Level 3'!F33+'[5]Table 4 Level 3'!H33</f>
        <v>0</v>
      </c>
      <c r="G33" s="328">
        <f t="shared" si="2"/>
        <v>0</v>
      </c>
      <c r="H33" s="328">
        <f t="shared" si="7"/>
        <v>0</v>
      </c>
      <c r="I33" s="326">
        <f>IF(F33&lt;0,0,'Table 3 Levels 1&amp;2'!C35)</f>
        <v>29649</v>
      </c>
      <c r="J33" s="323">
        <f t="shared" si="3"/>
        <v>1059925</v>
      </c>
      <c r="K33" s="324">
        <v>40</v>
      </c>
      <c r="L33" s="323">
        <f t="shared" si="4"/>
        <v>800000</v>
      </c>
      <c r="M33" s="326">
        <f>'Table 3 Levels 1&amp;2'!C35</f>
        <v>29649</v>
      </c>
      <c r="N33" s="323">
        <f t="shared" si="5"/>
        <v>2964900</v>
      </c>
      <c r="O33" s="323">
        <f t="shared" si="8"/>
        <v>6821202</v>
      </c>
      <c r="P33" s="320">
        <v>694.4</v>
      </c>
      <c r="Q33" s="323">
        <f>(('Table 8 2.1.12 MFP Funded'!G31+'Table 8 2.1.12 MFP Funded'!H31+'Table 8 2.1.12 MFP Funded'!I31+'Table 8 2.1.12 MFP Funded'!J31)*'Table 4 Level 3'!P33)+'Table 5A4_LSDVI'!G34+'Table 5A5_SSD'!G34+'Table 5C1A-Madison Prep'!G34+'Table 5C1B-DArbonne'!G34+'Table 5C1C-Intl_VIBE'!G34+'Table 5C1D-NOMMA'!G34+'Table 5C1E-LFNO'!G34+'Table 5C1F-Lake Charles Charter'!G34+'Table 5C2 - LA Virtual Admy'!G31+'Table 5C3 - LA Connections EBR'!G31+'Table 5D1 - New Vision'!F34+'Table 5D2 - Glencoe'!F34+'Table 5D3 - International'!F34+'Table 5D4 - Avoyelles'!F34+'Table 5D5 - Delhi'!F34+'Table 5D6 - Milestone'!F34+'Table 5D7 - Max'!F34+'Table 5D8 - Belle Chasse'!H34</f>
        <v>20582892.163634401</v>
      </c>
      <c r="R33" s="323">
        <f t="shared" si="9"/>
        <v>27404094.163634401</v>
      </c>
      <c r="T33" s="23">
        <f t="shared" si="10"/>
        <v>694.4</v>
      </c>
      <c r="U33" s="1404">
        <f>'Table 8 2.1.12 MFP Funded'!G31+'Table 8 2.1.12 MFP Funded'!H31+'Table 8 2.1.12 MFP Funded'!I31+'Table 8 2.1.12 MFP Funded'!J31</f>
        <v>29564</v>
      </c>
      <c r="V33" s="426">
        <f t="shared" si="11"/>
        <v>20529241.599999998</v>
      </c>
    </row>
    <row r="34" spans="1:22">
      <c r="A34" s="101">
        <v>29</v>
      </c>
      <c r="B34" s="311" t="s">
        <v>130</v>
      </c>
      <c r="C34" s="327">
        <v>0</v>
      </c>
      <c r="D34" s="327">
        <v>0</v>
      </c>
      <c r="E34" s="327">
        <f t="shared" si="6"/>
        <v>0</v>
      </c>
      <c r="F34" s="328">
        <f>'[5]Table 4 Level 3'!F34+'[5]Table 4 Level 3'!H34</f>
        <v>0</v>
      </c>
      <c r="G34" s="328">
        <f t="shared" si="2"/>
        <v>0</v>
      </c>
      <c r="H34" s="328">
        <f t="shared" si="7"/>
        <v>0</v>
      </c>
      <c r="I34" s="326">
        <f>IF(F34&lt;0,0,'Table 3 Levels 1&amp;2'!C36)</f>
        <v>13586</v>
      </c>
      <c r="J34" s="323">
        <f t="shared" si="3"/>
        <v>485687</v>
      </c>
      <c r="K34" s="324">
        <v>27</v>
      </c>
      <c r="L34" s="323">
        <f t="shared" si="4"/>
        <v>540000</v>
      </c>
      <c r="M34" s="326">
        <f>'Table 3 Levels 1&amp;2'!C36</f>
        <v>13586</v>
      </c>
      <c r="N34" s="323">
        <f t="shared" si="5"/>
        <v>1358600</v>
      </c>
      <c r="O34" s="323">
        <f t="shared" si="8"/>
        <v>2384287</v>
      </c>
      <c r="P34" s="320">
        <v>754.94999999999993</v>
      </c>
      <c r="Q34" s="323">
        <f>(('Table 8 2.1.12 MFP Funded'!G32+'Table 8 2.1.12 MFP Funded'!H32+'Table 8 2.1.12 MFP Funded'!I32+'Table 8 2.1.12 MFP Funded'!J32)*'Table 4 Level 3'!P34)+'Table 5A4_LSDVI'!G35+'Table 5A5_SSD'!G35+'Table 5C1A-Madison Prep'!G35+'Table 5C1B-DArbonne'!G35+'Table 5C1C-Intl_VIBE'!G35+'Table 5C1D-NOMMA'!G35+'Table 5C1E-LFNO'!G35+'Table 5C1F-Lake Charles Charter'!G35+'Table 5C2 - LA Virtual Admy'!G32+'Table 5C3 - LA Connections EBR'!G32+'Table 5D1 - New Vision'!F35+'Table 5D2 - Glencoe'!F35+'Table 5D3 - International'!F35+'Table 5D4 - Avoyelles'!F35+'Table 5D5 - Delhi'!F35+'Table 5D6 - Milestone'!F35+'Table 5D7 - Max'!F35+'Table 5D8 - Belle Chasse'!H35</f>
        <v>10250035.929119218</v>
      </c>
      <c r="R34" s="323">
        <f t="shared" si="9"/>
        <v>12634322.929119218</v>
      </c>
      <c r="T34" s="23">
        <f t="shared" si="10"/>
        <v>754.94999999999993</v>
      </c>
      <c r="U34" s="1404">
        <f>'Table 8 2.1.12 MFP Funded'!G32+'Table 8 2.1.12 MFP Funded'!H32+'Table 8 2.1.12 MFP Funded'!I32+'Table 8 2.1.12 MFP Funded'!J32</f>
        <v>13508</v>
      </c>
      <c r="V34" s="426">
        <f t="shared" si="11"/>
        <v>10197864.6</v>
      </c>
    </row>
    <row r="35" spans="1:22">
      <c r="A35" s="102">
        <v>30</v>
      </c>
      <c r="B35" s="312" t="s">
        <v>131</v>
      </c>
      <c r="C35" s="334">
        <v>0</v>
      </c>
      <c r="D35" s="334">
        <v>0</v>
      </c>
      <c r="E35" s="334">
        <f t="shared" si="6"/>
        <v>0</v>
      </c>
      <c r="F35" s="335">
        <f>'[5]Table 4 Level 3'!F35+'[5]Table 4 Level 3'!H35</f>
        <v>0</v>
      </c>
      <c r="G35" s="335">
        <f t="shared" si="2"/>
        <v>0</v>
      </c>
      <c r="H35" s="335">
        <f t="shared" si="7"/>
        <v>0</v>
      </c>
      <c r="I35" s="333">
        <f>IF(F35&lt;0,0,'Table 3 Levels 1&amp;2'!C37)</f>
        <v>2436</v>
      </c>
      <c r="J35" s="330">
        <f t="shared" si="3"/>
        <v>87085</v>
      </c>
      <c r="K35" s="331">
        <v>0</v>
      </c>
      <c r="L35" s="330">
        <f t="shared" si="4"/>
        <v>0</v>
      </c>
      <c r="M35" s="333">
        <f>'Table 3 Levels 1&amp;2'!C37</f>
        <v>2436</v>
      </c>
      <c r="N35" s="330">
        <f t="shared" si="5"/>
        <v>243600</v>
      </c>
      <c r="O35" s="330">
        <f t="shared" si="8"/>
        <v>330685</v>
      </c>
      <c r="P35" s="329">
        <v>727.17</v>
      </c>
      <c r="Q35" s="330">
        <f>(('Table 8 2.1.12 MFP Funded'!G33+'Table 8 2.1.12 MFP Funded'!H33+'Table 8 2.1.12 MFP Funded'!I33+'Table 8 2.1.12 MFP Funded'!J33)*'Table 4 Level 3'!P35)+'Table 5A4_LSDVI'!G36+'Table 5A5_SSD'!G36+'Table 5C1A-Madison Prep'!G36+'Table 5C1B-DArbonne'!G36+'Table 5C1C-Intl_VIBE'!G36+'Table 5C1D-NOMMA'!G36+'Table 5C1E-LFNO'!G36+'Table 5C1F-Lake Charles Charter'!G36+'Table 5C2 - LA Virtual Admy'!G33+'Table 5C3 - LA Connections EBR'!G33+'Table 5D1 - New Vision'!F36+'Table 5D2 - Glencoe'!F36+'Table 5D3 - International'!F36+'Table 5D4 - Avoyelles'!F36+'Table 5D5 - Delhi'!F36+'Table 5D6 - Milestone'!F36+'Table 5D7 - Max'!F36+'Table 5D8 - Belle Chasse'!H36</f>
        <v>1771095.2519999996</v>
      </c>
      <c r="R35" s="330">
        <f t="shared" si="9"/>
        <v>2101780.2519999994</v>
      </c>
      <c r="T35" s="23">
        <f t="shared" si="10"/>
        <v>727.17</v>
      </c>
      <c r="U35" s="1404">
        <f>'Table 8 2.1.12 MFP Funded'!G33+'Table 8 2.1.12 MFP Funded'!H33+'Table 8 2.1.12 MFP Funded'!I33+'Table 8 2.1.12 MFP Funded'!J33</f>
        <v>2431</v>
      </c>
      <c r="V35" s="426">
        <f t="shared" si="11"/>
        <v>1767750.2699999998</v>
      </c>
    </row>
    <row r="36" spans="1:22">
      <c r="A36" s="101">
        <v>31</v>
      </c>
      <c r="B36" s="311" t="s">
        <v>132</v>
      </c>
      <c r="C36" s="327">
        <v>0</v>
      </c>
      <c r="D36" s="327">
        <v>0</v>
      </c>
      <c r="E36" s="327">
        <f t="shared" si="6"/>
        <v>0</v>
      </c>
      <c r="F36" s="328">
        <f>'[5]Table 4 Level 3'!F36+'[5]Table 4 Level 3'!H36</f>
        <v>0</v>
      </c>
      <c r="G36" s="328">
        <f t="shared" si="2"/>
        <v>0</v>
      </c>
      <c r="H36" s="328">
        <f t="shared" si="7"/>
        <v>0</v>
      </c>
      <c r="I36" s="326">
        <f>IF(F36&lt;0,0,'Table 3 Levels 1&amp;2'!C38)</f>
        <v>6464</v>
      </c>
      <c r="J36" s="323">
        <f t="shared" si="3"/>
        <v>231082</v>
      </c>
      <c r="K36" s="324">
        <v>0</v>
      </c>
      <c r="L36" s="323">
        <f t="shared" si="4"/>
        <v>0</v>
      </c>
      <c r="M36" s="326">
        <f>'Table 3 Levels 1&amp;2'!C38</f>
        <v>6464</v>
      </c>
      <c r="N36" s="323">
        <f t="shared" si="5"/>
        <v>646400</v>
      </c>
      <c r="O36" s="323">
        <f t="shared" si="8"/>
        <v>877482</v>
      </c>
      <c r="P36" s="320">
        <v>620.83000000000004</v>
      </c>
      <c r="Q36" s="323">
        <f>(('Table 8 2.1.12 MFP Funded'!G34+'Table 8 2.1.12 MFP Funded'!H34+'Table 8 2.1.12 MFP Funded'!I34+'Table 8 2.1.12 MFP Funded'!J34)*'Table 4 Level 3'!P36)+'Table 5A4_LSDVI'!G37+'Table 5A5_SSD'!G37+'Table 5C1A-Madison Prep'!G37+'Table 5C1B-DArbonne'!G37+'Table 5C1C-Intl_VIBE'!G37+'Table 5C1D-NOMMA'!G37+'Table 5C1E-LFNO'!G37+'Table 5C1F-Lake Charles Charter'!G37+'Table 5C2 - LA Virtual Admy'!G34+'Table 5C3 - LA Connections EBR'!G34+'Table 5D1 - New Vision'!F37+'Table 5D2 - Glencoe'!F37+'Table 5D3 - International'!F37+'Table 5D4 - Avoyelles'!F37+'Table 5D5 - Delhi'!F37+'Table 5D6 - Milestone'!F37+'Table 5D7 - Max'!F37+'Table 5D8 - Belle Chasse'!H37</f>
        <v>4012858.8710000003</v>
      </c>
      <c r="R36" s="323">
        <f t="shared" si="9"/>
        <v>4890340.8710000003</v>
      </c>
      <c r="T36" s="23">
        <f t="shared" si="10"/>
        <v>620.83000000000004</v>
      </c>
      <c r="U36" s="1404">
        <f>'Table 8 2.1.12 MFP Funded'!G34+'Table 8 2.1.12 MFP Funded'!H34+'Table 8 2.1.12 MFP Funded'!I34+'Table 8 2.1.12 MFP Funded'!J34</f>
        <v>6451</v>
      </c>
      <c r="V36" s="426">
        <f t="shared" si="11"/>
        <v>4004974.33</v>
      </c>
    </row>
    <row r="37" spans="1:22">
      <c r="A37" s="101">
        <v>32</v>
      </c>
      <c r="B37" s="311" t="s">
        <v>133</v>
      </c>
      <c r="C37" s="327">
        <v>0</v>
      </c>
      <c r="D37" s="327">
        <v>0</v>
      </c>
      <c r="E37" s="327">
        <f t="shared" si="6"/>
        <v>0</v>
      </c>
      <c r="F37" s="328">
        <f>'[5]Table 4 Level 3'!F37+'[5]Table 4 Level 3'!H37</f>
        <v>0</v>
      </c>
      <c r="G37" s="328">
        <f t="shared" si="2"/>
        <v>0</v>
      </c>
      <c r="H37" s="328">
        <f t="shared" si="7"/>
        <v>0</v>
      </c>
      <c r="I37" s="326">
        <f>IF(F37&lt;0,0,'Table 3 Levels 1&amp;2'!C39)</f>
        <v>24453</v>
      </c>
      <c r="J37" s="323">
        <f t="shared" si="3"/>
        <v>874173</v>
      </c>
      <c r="K37" s="324">
        <v>0</v>
      </c>
      <c r="L37" s="323">
        <f t="shared" si="4"/>
        <v>0</v>
      </c>
      <c r="M37" s="326">
        <f>'Table 3 Levels 1&amp;2'!C39</f>
        <v>24453</v>
      </c>
      <c r="N37" s="323">
        <f t="shared" si="5"/>
        <v>2445300</v>
      </c>
      <c r="O37" s="323">
        <f t="shared" si="8"/>
        <v>3319473</v>
      </c>
      <c r="P37" s="320">
        <v>559.77</v>
      </c>
      <c r="Q37" s="323">
        <f>(('Table 8 2.1.12 MFP Funded'!G35+'Table 8 2.1.12 MFP Funded'!H35+'Table 8 2.1.12 MFP Funded'!I35+'Table 8 2.1.12 MFP Funded'!J35)*'Table 4 Level 3'!P37)+'Table 5A4_LSDVI'!G38+'Table 5A5_SSD'!G38+'Table 5C1A-Madison Prep'!G38+'Table 5C1B-DArbonne'!G38+'Table 5C1C-Intl_VIBE'!G38+'Table 5C1D-NOMMA'!G38+'Table 5C1E-LFNO'!G38+'Table 5C1F-Lake Charles Charter'!G38+'Table 5C2 - LA Virtual Admy'!G35+'Table 5C3 - LA Connections EBR'!G35+'Table 5D1 - New Vision'!F38+'Table 5D2 - Glencoe'!F38+'Table 5D3 - International'!F38+'Table 5D4 - Avoyelles'!F38+'Table 5D5 - Delhi'!F38+'Table 5D6 - Milestone'!F38+'Table 5D7 - Max'!F38+'Table 5D8 - Belle Chasse'!H38</f>
        <v>13684081.443</v>
      </c>
      <c r="R37" s="323">
        <f t="shared" si="9"/>
        <v>17003554.443</v>
      </c>
      <c r="T37" s="23">
        <f t="shared" si="10"/>
        <v>559.77</v>
      </c>
      <c r="U37" s="1404">
        <f>'Table 8 2.1.12 MFP Funded'!G35+'Table 8 2.1.12 MFP Funded'!H35+'Table 8 2.1.12 MFP Funded'!I35+'Table 8 2.1.12 MFP Funded'!J35</f>
        <v>24352</v>
      </c>
      <c r="V37" s="426">
        <f t="shared" si="11"/>
        <v>13631519.039999999</v>
      </c>
    </row>
    <row r="38" spans="1:22">
      <c r="A38" s="101">
        <v>33</v>
      </c>
      <c r="B38" s="311" t="s">
        <v>134</v>
      </c>
      <c r="C38" s="327">
        <v>0</v>
      </c>
      <c r="D38" s="327">
        <v>0</v>
      </c>
      <c r="E38" s="327">
        <f t="shared" si="6"/>
        <v>0</v>
      </c>
      <c r="F38" s="328">
        <f>'[5]Table 4 Level 3'!F38+'[5]Table 4 Level 3'!H38</f>
        <v>0</v>
      </c>
      <c r="G38" s="328">
        <f t="shared" ref="G38:G69" si="12">SUM(E38:F38)</f>
        <v>0</v>
      </c>
      <c r="H38" s="328">
        <f t="shared" si="7"/>
        <v>0</v>
      </c>
      <c r="I38" s="326">
        <f>IF(F38&lt;0,0,'Table 3 Levels 1&amp;2'!C40)</f>
        <v>1999</v>
      </c>
      <c r="J38" s="323">
        <f t="shared" ref="J38:J69" si="13">ROUND($J$4*I38,0)</f>
        <v>71462</v>
      </c>
      <c r="K38" s="324">
        <v>1</v>
      </c>
      <c r="L38" s="323">
        <f t="shared" ref="L38:L69" si="14">ROUND($L$4*K38,0)</f>
        <v>20000</v>
      </c>
      <c r="M38" s="326">
        <f>'Table 3 Levels 1&amp;2'!C40</f>
        <v>1999</v>
      </c>
      <c r="N38" s="323">
        <f t="shared" ref="N38:N69" si="15">ROUND(M38*$N$4,0)</f>
        <v>199900</v>
      </c>
      <c r="O38" s="323">
        <f t="shared" si="8"/>
        <v>291362</v>
      </c>
      <c r="P38" s="320">
        <v>655.31000000000006</v>
      </c>
      <c r="Q38" s="323">
        <f>(('Table 8 2.1.12 MFP Funded'!G36+'Table 8 2.1.12 MFP Funded'!H36+'Table 8 2.1.12 MFP Funded'!I36+'Table 8 2.1.12 MFP Funded'!J36)*'Table 4 Level 3'!P38)+'Table 5A4_LSDVI'!G39+'Table 5A5_SSD'!G39+'Table 5C1A-Madison Prep'!G39+'Table 5C1B-DArbonne'!G39+'Table 5C1C-Intl_VIBE'!G39+'Table 5C1D-NOMMA'!G39+'Table 5C1E-LFNO'!G39+'Table 5C1F-Lake Charles Charter'!G39+'Table 5C2 - LA Virtual Admy'!G36+'Table 5C3 - LA Connections EBR'!G36+'Table 5D1 - New Vision'!F39+'Table 5D2 - Glencoe'!F39+'Table 5D3 - International'!F39+'Table 5D4 - Avoyelles'!F39+'Table 5D5 - Delhi'!F39+'Table 5D6 - Milestone'!F39+'Table 5D7 - Max'!F39+'Table 5D8 - Belle Chasse'!H39</f>
        <v>1293216.3686501165</v>
      </c>
      <c r="R38" s="323">
        <f t="shared" si="9"/>
        <v>1584578.3686501165</v>
      </c>
      <c r="T38" s="23">
        <f t="shared" si="10"/>
        <v>655.31000000000006</v>
      </c>
      <c r="U38" s="1404">
        <f>'Table 8 2.1.12 MFP Funded'!G36+'Table 8 2.1.12 MFP Funded'!H36+'Table 8 2.1.12 MFP Funded'!I36+'Table 8 2.1.12 MFP Funded'!J36</f>
        <v>1861</v>
      </c>
      <c r="V38" s="426">
        <f t="shared" si="11"/>
        <v>1219531.9100000001</v>
      </c>
    </row>
    <row r="39" spans="1:22">
      <c r="A39" s="101">
        <v>34</v>
      </c>
      <c r="B39" s="311" t="s">
        <v>135</v>
      </c>
      <c r="C39" s="327">
        <v>0</v>
      </c>
      <c r="D39" s="327">
        <v>0</v>
      </c>
      <c r="E39" s="327">
        <f t="shared" si="6"/>
        <v>0</v>
      </c>
      <c r="F39" s="328">
        <f>'[5]Table 4 Level 3'!F39+'[5]Table 4 Level 3'!H39</f>
        <v>0</v>
      </c>
      <c r="G39" s="328">
        <f t="shared" si="12"/>
        <v>0</v>
      </c>
      <c r="H39" s="328">
        <f t="shared" si="7"/>
        <v>0</v>
      </c>
      <c r="I39" s="326">
        <f>IF(F39&lt;0,0,'Table 3 Levels 1&amp;2'!C41)</f>
        <v>4334</v>
      </c>
      <c r="J39" s="323">
        <f t="shared" si="13"/>
        <v>154937</v>
      </c>
      <c r="K39" s="324">
        <v>0</v>
      </c>
      <c r="L39" s="323">
        <f t="shared" si="14"/>
        <v>0</v>
      </c>
      <c r="M39" s="326">
        <f>'Table 3 Levels 1&amp;2'!C41</f>
        <v>4334</v>
      </c>
      <c r="N39" s="323">
        <f t="shared" si="15"/>
        <v>433400</v>
      </c>
      <c r="O39" s="323">
        <f t="shared" si="8"/>
        <v>588337</v>
      </c>
      <c r="P39" s="320">
        <v>644.11000000000013</v>
      </c>
      <c r="Q39" s="323">
        <f>(('Table 8 2.1.12 MFP Funded'!G37+'Table 8 2.1.12 MFP Funded'!H37+'Table 8 2.1.12 MFP Funded'!I37+'Table 8 2.1.12 MFP Funded'!J37)*'Table 4 Level 3'!P39)+'Table 5A4_LSDVI'!G40+'Table 5A5_SSD'!G40+'Table 5C1A-Madison Prep'!G40+'Table 5C1B-DArbonne'!G40+'Table 5C1C-Intl_VIBE'!G40+'Table 5C1D-NOMMA'!G40+'Table 5C1E-LFNO'!G40+'Table 5C1F-Lake Charles Charter'!G40+'Table 5C2 - LA Virtual Admy'!G37+'Table 5C3 - LA Connections EBR'!G37+'Table 5D1 - New Vision'!F40+'Table 5D2 - Glencoe'!F40+'Table 5D3 - International'!F40+'Table 5D4 - Avoyelles'!F40+'Table 5D5 - Delhi'!F40+'Table 5D6 - Milestone'!F40+'Table 5D7 - Max'!F40+'Table 5D8 - Belle Chasse'!H40</f>
        <v>2791248.4701750847</v>
      </c>
      <c r="R39" s="323">
        <f t="shared" si="9"/>
        <v>3379585.4701750847</v>
      </c>
      <c r="T39" s="23">
        <f t="shared" si="10"/>
        <v>644.11000000000013</v>
      </c>
      <c r="U39" s="1404">
        <f>'Table 8 2.1.12 MFP Funded'!G37+'Table 8 2.1.12 MFP Funded'!H37+'Table 8 2.1.12 MFP Funded'!I37+'Table 8 2.1.12 MFP Funded'!J37</f>
        <v>4312</v>
      </c>
      <c r="V39" s="426">
        <f t="shared" si="11"/>
        <v>2777402.3200000008</v>
      </c>
    </row>
    <row r="40" spans="1:22">
      <c r="A40" s="102">
        <v>35</v>
      </c>
      <c r="B40" s="312" t="s">
        <v>136</v>
      </c>
      <c r="C40" s="334">
        <v>0</v>
      </c>
      <c r="D40" s="334">
        <v>0</v>
      </c>
      <c r="E40" s="334">
        <f t="shared" si="6"/>
        <v>0</v>
      </c>
      <c r="F40" s="335">
        <f>'[5]Table 4 Level 3'!F40+'[5]Table 4 Level 3'!H40</f>
        <v>0</v>
      </c>
      <c r="G40" s="335">
        <f t="shared" si="12"/>
        <v>0</v>
      </c>
      <c r="H40" s="335">
        <f t="shared" si="7"/>
        <v>0</v>
      </c>
      <c r="I40" s="333">
        <f>IF(F40&lt;0,0,'Table 3 Levels 1&amp;2'!C42)</f>
        <v>6462</v>
      </c>
      <c r="J40" s="330">
        <f t="shared" si="13"/>
        <v>231011</v>
      </c>
      <c r="K40" s="331">
        <v>0</v>
      </c>
      <c r="L40" s="330">
        <f t="shared" si="14"/>
        <v>0</v>
      </c>
      <c r="M40" s="333">
        <f>'Table 3 Levels 1&amp;2'!C42</f>
        <v>6462</v>
      </c>
      <c r="N40" s="330">
        <f t="shared" si="15"/>
        <v>646200</v>
      </c>
      <c r="O40" s="330">
        <f t="shared" si="8"/>
        <v>877211</v>
      </c>
      <c r="P40" s="329">
        <v>537.96</v>
      </c>
      <c r="Q40" s="330">
        <f>(('Table 8 2.1.12 MFP Funded'!G38+'Table 8 2.1.12 MFP Funded'!H38+'Table 8 2.1.12 MFP Funded'!I38+'Table 8 2.1.12 MFP Funded'!J38)*'Table 4 Level 3'!P40)+'Table 5A4_LSDVI'!G41+'Table 5A5_SSD'!G41+'Table 5C1A-Madison Prep'!G41+'Table 5C1B-DArbonne'!G41+'Table 5C1C-Intl_VIBE'!G41+'Table 5C1D-NOMMA'!G41+'Table 5C1E-LFNO'!G41+'Table 5C1F-Lake Charles Charter'!G41+'Table 5C2 - LA Virtual Admy'!G38+'Table 5C3 - LA Connections EBR'!G38+'Table 5D1 - New Vision'!F41+'Table 5D2 - Glencoe'!F41+'Table 5D3 - International'!F41+'Table 5D4 - Avoyelles'!F41+'Table 5D5 - Delhi'!F41+'Table 5D6 - Milestone'!F41+'Table 5D7 - Max'!F41+'Table 5D8 - Belle Chasse'!H41</f>
        <v>3475167.804</v>
      </c>
      <c r="R40" s="330">
        <f t="shared" si="9"/>
        <v>4352378.8039999995</v>
      </c>
      <c r="T40" s="23">
        <f t="shared" si="10"/>
        <v>537.96</v>
      </c>
      <c r="U40" s="1404">
        <f>'Table 8 2.1.12 MFP Funded'!G38+'Table 8 2.1.12 MFP Funded'!H38+'Table 8 2.1.12 MFP Funded'!I38+'Table 8 2.1.12 MFP Funded'!J38</f>
        <v>6437</v>
      </c>
      <c r="V40" s="426">
        <f t="shared" si="11"/>
        <v>3462848.52</v>
      </c>
    </row>
    <row r="41" spans="1:22">
      <c r="A41" s="101">
        <v>36</v>
      </c>
      <c r="B41" s="311" t="s">
        <v>137</v>
      </c>
      <c r="C41" s="327">
        <v>0</v>
      </c>
      <c r="D41" s="327">
        <v>0</v>
      </c>
      <c r="E41" s="327">
        <f t="shared" si="6"/>
        <v>0</v>
      </c>
      <c r="F41" s="328">
        <f>'[5]Table 4 Level 3'!F41+'[5]Table 4 Level 3'!H41</f>
        <v>0</v>
      </c>
      <c r="G41" s="328">
        <f t="shared" si="12"/>
        <v>0</v>
      </c>
      <c r="H41" s="341">
        <f t="shared" si="7"/>
        <v>0</v>
      </c>
      <c r="I41" s="339">
        <f>IF(F41&lt;0,0,'Table 3 Levels 1&amp;2'!C43)</f>
        <v>42705</v>
      </c>
      <c r="J41" s="323">
        <f t="shared" si="13"/>
        <v>1526665</v>
      </c>
      <c r="K41" s="324">
        <v>26</v>
      </c>
      <c r="L41" s="323">
        <f t="shared" si="14"/>
        <v>520000</v>
      </c>
      <c r="M41" s="326">
        <f>'Table 3 Levels 1&amp;2'!C43</f>
        <v>42705</v>
      </c>
      <c r="N41" s="323">
        <f t="shared" si="15"/>
        <v>4270500</v>
      </c>
      <c r="O41" s="323">
        <f t="shared" si="8"/>
        <v>6317165</v>
      </c>
      <c r="P41" s="320">
        <f>'Table 5B1_RSD_Orleans'!F7</f>
        <v>727.23177743956114</v>
      </c>
      <c r="Q41" s="1601">
        <f>'Table 5A4_LSDVI'!G42+'Table 5A5_SSD'!G42+'Table 5B1_RSD_Orleans'!G72+'Table 5C1C-Intl_VIBE'!G42+'Table 5C1D-NOMMA'!G42+'Table 5C1E-LFNO'!G42+'Table 5C2 - LA Virtual Admy'!G39+'Table 5C3 - LA Connections EBR'!G39+'Table 5D1 - New Vision'!F42+'Table 5D2 - Glencoe'!F42+'Table 5D3 - International'!F42+'Table 5D4 - Avoyelles'!F42+'Table 5D5 - Delhi'!F42+'Table 5D6 - Milestone'!F42+'Table 5D7 - Max'!F42+'Table 5D8 - Belle Chasse'!H42+'Table 5F Scholarships'!C86</f>
        <v>31566831.680288546</v>
      </c>
      <c r="R41" s="323">
        <f>O41+Q41</f>
        <v>37883996.680288546</v>
      </c>
      <c r="T41" s="1528">
        <f>'Table 5B1_RSD_Orleans'!F7</f>
        <v>727.23177743956114</v>
      </c>
      <c r="U41" s="1526">
        <f>'Table 8 2.1.12 MFP Funded'!G39</f>
        <v>10644</v>
      </c>
      <c r="V41" s="1527">
        <f t="shared" si="11"/>
        <v>7740655.0390666891</v>
      </c>
    </row>
    <row r="42" spans="1:22">
      <c r="A42" s="101">
        <v>37</v>
      </c>
      <c r="B42" s="311" t="s">
        <v>138</v>
      </c>
      <c r="C42" s="327">
        <v>0</v>
      </c>
      <c r="D42" s="327">
        <v>0</v>
      </c>
      <c r="E42" s="327">
        <f t="shared" si="6"/>
        <v>0</v>
      </c>
      <c r="F42" s="328">
        <f>'[5]Table 4 Level 3'!F42+'[5]Table 4 Level 3'!H42</f>
        <v>0</v>
      </c>
      <c r="G42" s="328">
        <f t="shared" si="12"/>
        <v>0</v>
      </c>
      <c r="H42" s="328">
        <f t="shared" si="7"/>
        <v>0</v>
      </c>
      <c r="I42" s="326">
        <f>IF(F42&lt;0,0,'Table 3 Levels 1&amp;2'!C44)</f>
        <v>19412</v>
      </c>
      <c r="J42" s="323">
        <f t="shared" si="13"/>
        <v>693961</v>
      </c>
      <c r="K42" s="324">
        <v>1</v>
      </c>
      <c r="L42" s="323">
        <f t="shared" si="14"/>
        <v>20000</v>
      </c>
      <c r="M42" s="326">
        <f>'Table 3 Levels 1&amp;2'!C44</f>
        <v>19412</v>
      </c>
      <c r="N42" s="323">
        <f t="shared" si="15"/>
        <v>1941200</v>
      </c>
      <c r="O42" s="323">
        <f t="shared" si="8"/>
        <v>2655161</v>
      </c>
      <c r="P42" s="320">
        <v>653.61</v>
      </c>
      <c r="Q42" s="323">
        <f>(('Table 8 2.1.12 MFP Funded'!G40+'Table 8 2.1.12 MFP Funded'!H40+'Table 8 2.1.12 MFP Funded'!I40+'Table 8 2.1.12 MFP Funded'!J40)*'Table 4 Level 3'!P42)+'Table 5A4_LSDVI'!G43+'Table 5A5_SSD'!G43+'Table 5C1A-Madison Prep'!G43+'Table 5C1B-DArbonne'!G43+'Table 5C1C-Intl_VIBE'!G43+'Table 5C1D-NOMMA'!G43+'Table 5C1E-LFNO'!G43+'Table 5C1F-Lake Charles Charter'!G43+'Table 5C2 - LA Virtual Admy'!G40+'Table 5C3 - LA Connections EBR'!G40+'Table 5D1 - New Vision'!F43+'Table 5D2 - Glencoe'!F43+'Table 5D3 - International'!F43+'Table 5D4 - Avoyelles'!F43+'Table 5D5 - Delhi'!F43+'Table 5D6 - Milestone'!F43+'Table 5D7 - Max'!F43+'Table 5D8 - Belle Chasse'!H43</f>
        <v>12694559.065585859</v>
      </c>
      <c r="R42" s="323">
        <f t="shared" si="9"/>
        <v>15349720.065585859</v>
      </c>
      <c r="T42" s="23">
        <f>P42</f>
        <v>653.61</v>
      </c>
      <c r="U42" s="1404">
        <f>'Table 8 2.1.12 MFP Funded'!G40+'Table 8 2.1.12 MFP Funded'!H40+'Table 8 2.1.12 MFP Funded'!I40+'Table 8 2.1.12 MFP Funded'!J40</f>
        <v>19222</v>
      </c>
      <c r="V42" s="426">
        <f t="shared" si="11"/>
        <v>12563691.42</v>
      </c>
    </row>
    <row r="43" spans="1:22">
      <c r="A43" s="101">
        <v>38</v>
      </c>
      <c r="B43" s="311" t="s">
        <v>139</v>
      </c>
      <c r="C43" s="327">
        <v>5387703</v>
      </c>
      <c r="D43" s="327">
        <v>1258024</v>
      </c>
      <c r="E43" s="327">
        <f t="shared" si="6"/>
        <v>4129679</v>
      </c>
      <c r="F43" s="328">
        <f>'[5]Table 4 Level 3'!F43+'[5]Table 4 Level 3'!H43</f>
        <v>-2064840</v>
      </c>
      <c r="G43" s="455">
        <f t="shared" si="12"/>
        <v>2064839</v>
      </c>
      <c r="H43" s="328">
        <f t="shared" si="7"/>
        <v>-412968</v>
      </c>
      <c r="I43" s="326">
        <f>IF(F43&lt;0,0,'Table 3 Levels 1&amp;2'!C45)</f>
        <v>0</v>
      </c>
      <c r="J43" s="323">
        <f t="shared" si="13"/>
        <v>0</v>
      </c>
      <c r="K43" s="324">
        <v>2</v>
      </c>
      <c r="L43" s="323">
        <f t="shared" si="14"/>
        <v>40000</v>
      </c>
      <c r="M43" s="326">
        <f>'Table 3 Levels 1&amp;2'!C45</f>
        <v>4224</v>
      </c>
      <c r="N43" s="323">
        <f t="shared" si="15"/>
        <v>422400</v>
      </c>
      <c r="O43" s="323">
        <f t="shared" si="8"/>
        <v>3372295</v>
      </c>
      <c r="P43" s="320">
        <v>829.92000000000007</v>
      </c>
      <c r="Q43" s="323">
        <f>(('Table 8 2.1.12 MFP Funded'!G41+'Table 8 2.1.12 MFP Funded'!H41+'Table 8 2.1.12 MFP Funded'!I41+'Table 8 2.1.12 MFP Funded'!J41)*'Table 4 Level 3'!P43)+'Table 5A4_LSDVI'!G44+'Table 5A5_SSD'!G44+'Table 5C1A-Madison Prep'!G44+'Table 5C1B-DArbonne'!G44+'Table 5C1C-Intl_VIBE'!G44+'Table 5C1D-NOMMA'!G44+'Table 5C1E-LFNO'!G44+'Table 5C1F-Lake Charles Charter'!G44+'Table 5C2 - LA Virtual Admy'!G41+'Table 5C3 - LA Connections EBR'!G41+'Table 5D1 - New Vision'!F44+'Table 5D2 - Glencoe'!F44+'Table 5D3 - International'!F44+'Table 5D4 - Avoyelles'!F44+'Table 5D5 - Delhi'!F44+'Table 5D6 - Milestone'!F44+'Table 5D7 - Max'!F44+'Table 5D8 - Belle Chasse'!H44</f>
        <v>3486102.8451110185</v>
      </c>
      <c r="R43" s="323">
        <f t="shared" si="9"/>
        <v>6858397.845111018</v>
      </c>
      <c r="T43" s="23">
        <f t="shared" ref="T43:T74" si="16">P43</f>
        <v>829.92000000000007</v>
      </c>
      <c r="U43" s="1404">
        <f>'Table 8 2.1.12 MFP Funded'!G41+'Table 8 2.1.12 MFP Funded'!H41+'Table 8 2.1.12 MFP Funded'!I41+'Table 8 2.1.12 MFP Funded'!J41</f>
        <v>3750</v>
      </c>
      <c r="V43" s="426">
        <f t="shared" si="11"/>
        <v>3112200.0000000005</v>
      </c>
    </row>
    <row r="44" spans="1:22">
      <c r="A44" s="101">
        <v>39</v>
      </c>
      <c r="B44" s="311" t="s">
        <v>140</v>
      </c>
      <c r="C44" s="327">
        <v>324688</v>
      </c>
      <c r="D44" s="327">
        <v>324688</v>
      </c>
      <c r="E44" s="327">
        <f t="shared" si="6"/>
        <v>0</v>
      </c>
      <c r="F44" s="328">
        <f>'[5]Table 4 Level 3'!F44+'[5]Table 4 Level 3'!H44</f>
        <v>0</v>
      </c>
      <c r="G44" s="328">
        <f t="shared" si="12"/>
        <v>0</v>
      </c>
      <c r="H44" s="328">
        <f t="shared" si="7"/>
        <v>0</v>
      </c>
      <c r="I44" s="326">
        <f>IF(F44&lt;0,0,'Table 3 Levels 1&amp;2'!C46)</f>
        <v>2882</v>
      </c>
      <c r="J44" s="323">
        <f t="shared" si="13"/>
        <v>103029</v>
      </c>
      <c r="K44" s="324">
        <v>1</v>
      </c>
      <c r="L44" s="323">
        <f t="shared" si="14"/>
        <v>20000</v>
      </c>
      <c r="M44" s="326">
        <f>'Table 3 Levels 1&amp;2'!C46</f>
        <v>2882</v>
      </c>
      <c r="N44" s="323">
        <f t="shared" si="15"/>
        <v>288200</v>
      </c>
      <c r="O44" s="323">
        <f t="shared" si="8"/>
        <v>735917</v>
      </c>
      <c r="P44" s="320">
        <f>'Table 5B2_RSD_LA'!F21</f>
        <v>779.65573042776441</v>
      </c>
      <c r="Q44" s="323">
        <f>(('Table 8 2.1.12 MFP Funded'!G42+'Table 8 2.1.12 MFP Funded'!H42+'Table 8 2.1.12 MFP Funded'!I42+'Table 8 2.1.12 MFP Funded'!J42)*'Table 4 Level 3'!P44)+'Table 5A4_LSDVI'!G45+'Table 5A5_SSD'!G45+'Table 5C1A-Madison Prep'!G45+'Table 5C1B-DArbonne'!G45+'Table 5C1C-Intl_VIBE'!G45+'Table 5C1D-NOMMA'!G45+'Table 5C1E-LFNO'!G45+'Table 5C1F-Lake Charles Charter'!G45+'Table 5C2 - LA Virtual Admy'!G42+'Table 5C3 - LA Connections EBR'!G42+'Table 5D1 - New Vision'!F45+'Table 5D2 - Glencoe'!F45+'Table 5D3 - International'!F45+'Table 5D4 - Avoyelles'!F45+'Table 5D5 - Delhi'!F45+'Table 5D6 - Milestone'!F45+'Table 5D7 - Max'!F45+'Table 5D8 - Belle Chasse'!H45</f>
        <v>2245467.1994532919</v>
      </c>
      <c r="R44" s="323">
        <f t="shared" si="9"/>
        <v>2981384.1994532919</v>
      </c>
      <c r="T44" s="23">
        <f t="shared" si="16"/>
        <v>779.65573042776441</v>
      </c>
      <c r="U44" s="1404">
        <f>'Table 8 2.1.12 MFP Funded'!G42+'Table 8 2.1.12 MFP Funded'!H42+'Table 8 2.1.12 MFP Funded'!I42+'Table 8 2.1.12 MFP Funded'!J42</f>
        <v>2859</v>
      </c>
      <c r="V44" s="426">
        <f t="shared" si="11"/>
        <v>2229035.7332929783</v>
      </c>
    </row>
    <row r="45" spans="1:22">
      <c r="A45" s="102">
        <v>40</v>
      </c>
      <c r="B45" s="312" t="s">
        <v>141</v>
      </c>
      <c r="C45" s="334">
        <v>0</v>
      </c>
      <c r="D45" s="334">
        <v>0</v>
      </c>
      <c r="E45" s="334">
        <f t="shared" si="6"/>
        <v>0</v>
      </c>
      <c r="F45" s="335">
        <f>'[5]Table 4 Level 3'!F45+'[5]Table 4 Level 3'!H45</f>
        <v>0</v>
      </c>
      <c r="G45" s="335">
        <f t="shared" si="12"/>
        <v>0</v>
      </c>
      <c r="H45" s="335">
        <f t="shared" si="7"/>
        <v>0</v>
      </c>
      <c r="I45" s="333">
        <f>IF(F45&lt;0,0,'Table 3 Levels 1&amp;2'!C47)</f>
        <v>23021</v>
      </c>
      <c r="J45" s="330">
        <f t="shared" si="13"/>
        <v>822980</v>
      </c>
      <c r="K45" s="331">
        <v>0</v>
      </c>
      <c r="L45" s="330">
        <f t="shared" si="14"/>
        <v>0</v>
      </c>
      <c r="M45" s="333">
        <f>'Table 3 Levels 1&amp;2'!C47</f>
        <v>23021</v>
      </c>
      <c r="N45" s="330">
        <f t="shared" si="15"/>
        <v>2302100</v>
      </c>
      <c r="O45" s="330">
        <f t="shared" si="8"/>
        <v>3125080</v>
      </c>
      <c r="P45" s="329">
        <v>700.2700000000001</v>
      </c>
      <c r="Q45" s="330">
        <f>(('Table 8 2.1.12 MFP Funded'!G43+'Table 8 2.1.12 MFP Funded'!H43+'Table 8 2.1.12 MFP Funded'!I43+'Table 8 2.1.12 MFP Funded'!J43)*'Table 4 Level 3'!P45)+'Table 5A4_LSDVI'!G46+'Table 5A5_SSD'!G46+'Table 5C1A-Madison Prep'!G46+'Table 5C1B-DArbonne'!G46+'Table 5C1C-Intl_VIBE'!G46+'Table 5C1D-NOMMA'!G46+'Table 5C1E-LFNO'!G46+'Table 5C1F-Lake Charles Charter'!G46+'Table 5C2 - LA Virtual Admy'!G43+'Table 5C3 - LA Connections EBR'!G43+'Table 5D1 - New Vision'!F46+'Table 5D2 - Glencoe'!F46+'Table 5D3 - International'!F46+'Table 5D4 - Avoyelles'!F46+'Table 5D5 - Delhi'!F46+'Table 5D6 - Milestone'!F46+'Table 5D7 - Max'!F46+'Table 5D8 - Belle Chasse'!H46</f>
        <v>16116407.601541776</v>
      </c>
      <c r="R45" s="330">
        <f t="shared" si="9"/>
        <v>19241487.601541776</v>
      </c>
      <c r="T45" s="23">
        <f t="shared" si="16"/>
        <v>700.2700000000001</v>
      </c>
      <c r="U45" s="1404">
        <f>'Table 8 2.1.12 MFP Funded'!G43+'Table 8 2.1.12 MFP Funded'!H43+'Table 8 2.1.12 MFP Funded'!I43+'Table 8 2.1.12 MFP Funded'!J43</f>
        <v>22934</v>
      </c>
      <c r="V45" s="426">
        <f t="shared" si="11"/>
        <v>16059992.180000002</v>
      </c>
    </row>
    <row r="46" spans="1:22">
      <c r="A46" s="101">
        <v>41</v>
      </c>
      <c r="B46" s="311" t="s">
        <v>142</v>
      </c>
      <c r="C46" s="327">
        <v>0</v>
      </c>
      <c r="D46" s="327">
        <v>0</v>
      </c>
      <c r="E46" s="327">
        <f t="shared" si="6"/>
        <v>0</v>
      </c>
      <c r="F46" s="328">
        <f>'[5]Table 4 Level 3'!F46+'[5]Table 4 Level 3'!H46</f>
        <v>0</v>
      </c>
      <c r="G46" s="328">
        <f t="shared" si="12"/>
        <v>0</v>
      </c>
      <c r="H46" s="328">
        <f t="shared" si="7"/>
        <v>0</v>
      </c>
      <c r="I46" s="326">
        <f>IF(F46&lt;0,0,'Table 3 Levels 1&amp;2'!C48)</f>
        <v>1407</v>
      </c>
      <c r="J46" s="323">
        <f t="shared" si="13"/>
        <v>50299</v>
      </c>
      <c r="K46" s="324">
        <v>0</v>
      </c>
      <c r="L46" s="323">
        <f t="shared" si="14"/>
        <v>0</v>
      </c>
      <c r="M46" s="326">
        <f>'Table 3 Levels 1&amp;2'!C48</f>
        <v>1407</v>
      </c>
      <c r="N46" s="323">
        <f t="shared" si="15"/>
        <v>140700</v>
      </c>
      <c r="O46" s="323">
        <f t="shared" si="8"/>
        <v>190999</v>
      </c>
      <c r="P46" s="320">
        <v>886.22</v>
      </c>
      <c r="Q46" s="323">
        <f>(('Table 8 2.1.12 MFP Funded'!G44+'Table 8 2.1.12 MFP Funded'!H44+'Table 8 2.1.12 MFP Funded'!I44+'Table 8 2.1.12 MFP Funded'!J44)*'Table 4 Level 3'!P46)+'Table 5A4_LSDVI'!G47+'Table 5A5_SSD'!G47+'Table 5C1A-Madison Prep'!G47+'Table 5C1B-DArbonne'!G47+'Table 5C1C-Intl_VIBE'!G47+'Table 5C1D-NOMMA'!G47+'Table 5C1E-LFNO'!G47+'Table 5C1F-Lake Charles Charter'!G47+'Table 5C2 - LA Virtual Admy'!G44+'Table 5C3 - LA Connections EBR'!G44+'Table 5D1 - New Vision'!F47+'Table 5D2 - Glencoe'!F47+'Table 5D3 - International'!F47+'Table 5D4 - Avoyelles'!F47+'Table 5D5 - Delhi'!F47+'Table 5D6 - Milestone'!F47+'Table 5D7 - Max'!F47+'Table 5D8 - Belle Chasse'!H47</f>
        <v>1246645.6739999999</v>
      </c>
      <c r="R46" s="323">
        <f t="shared" si="9"/>
        <v>1437644.6739999999</v>
      </c>
      <c r="T46" s="23">
        <f t="shared" si="16"/>
        <v>886.22</v>
      </c>
      <c r="U46" s="1404">
        <f>'Table 8 2.1.12 MFP Funded'!G44+'Table 8 2.1.12 MFP Funded'!H44+'Table 8 2.1.12 MFP Funded'!I44+'Table 8 2.1.12 MFP Funded'!J44</f>
        <v>1401</v>
      </c>
      <c r="V46" s="426">
        <f t="shared" si="11"/>
        <v>1241594.22</v>
      </c>
    </row>
    <row r="47" spans="1:22">
      <c r="A47" s="101">
        <v>42</v>
      </c>
      <c r="B47" s="311" t="s">
        <v>143</v>
      </c>
      <c r="C47" s="327">
        <v>0</v>
      </c>
      <c r="D47" s="327">
        <v>0</v>
      </c>
      <c r="E47" s="327">
        <f t="shared" si="6"/>
        <v>0</v>
      </c>
      <c r="F47" s="328">
        <f>'[5]Table 4 Level 3'!F47+'[5]Table 4 Level 3'!H47</f>
        <v>0</v>
      </c>
      <c r="G47" s="328">
        <f t="shared" si="12"/>
        <v>0</v>
      </c>
      <c r="H47" s="328">
        <f t="shared" si="7"/>
        <v>0</v>
      </c>
      <c r="I47" s="326">
        <f>IF(F47&lt;0,0,'Table 3 Levels 1&amp;2'!C49)</f>
        <v>3832</v>
      </c>
      <c r="J47" s="323">
        <f t="shared" si="13"/>
        <v>136991</v>
      </c>
      <c r="K47" s="324">
        <v>0</v>
      </c>
      <c r="L47" s="323">
        <f t="shared" si="14"/>
        <v>0</v>
      </c>
      <c r="M47" s="326">
        <f>'Table 3 Levels 1&amp;2'!C49</f>
        <v>3832</v>
      </c>
      <c r="N47" s="323">
        <f t="shared" si="15"/>
        <v>383200</v>
      </c>
      <c r="O47" s="323">
        <f t="shared" si="8"/>
        <v>520191</v>
      </c>
      <c r="P47" s="320">
        <v>534.28</v>
      </c>
      <c r="Q47" s="323">
        <f>(('Table 8 2.1.12 MFP Funded'!G45+'Table 8 2.1.12 MFP Funded'!H45+'Table 8 2.1.12 MFP Funded'!I45+'Table 8 2.1.12 MFP Funded'!J45)*'Table 4 Level 3'!P47)+'Table 5A4_LSDVI'!G48+'Table 5A5_SSD'!G48+'Table 5C1A-Madison Prep'!G48+'Table 5C1B-DArbonne'!G48+'Table 5C1C-Intl_VIBE'!G48+'Table 5C1D-NOMMA'!G48+'Table 5C1E-LFNO'!G48+'Table 5C1F-Lake Charles Charter'!G48+'Table 5C2 - LA Virtual Admy'!G45+'Table 5C3 - LA Connections EBR'!G45+'Table 5D1 - New Vision'!F48+'Table 5D2 - Glencoe'!F48+'Table 5D3 - International'!F48+'Table 5D4 - Avoyelles'!F48+'Table 5D5 - Delhi'!F48+'Table 5D6 - Milestone'!F48+'Table 5D7 - Max'!F48+'Table 5D8 - Belle Chasse'!H48</f>
        <v>2044278.2394355349</v>
      </c>
      <c r="R47" s="323">
        <f t="shared" si="9"/>
        <v>2564469.2394355349</v>
      </c>
      <c r="T47" s="23">
        <f t="shared" si="16"/>
        <v>534.28</v>
      </c>
      <c r="U47" s="1404">
        <f>'Table 8 2.1.12 MFP Funded'!G45+'Table 8 2.1.12 MFP Funded'!H45+'Table 8 2.1.12 MFP Funded'!I45+'Table 8 2.1.12 MFP Funded'!J45</f>
        <v>3424</v>
      </c>
      <c r="V47" s="426">
        <f t="shared" si="11"/>
        <v>1829374.72</v>
      </c>
    </row>
    <row r="48" spans="1:22">
      <c r="A48" s="101">
        <v>43</v>
      </c>
      <c r="B48" s="311" t="s">
        <v>144</v>
      </c>
      <c r="C48" s="327">
        <v>0</v>
      </c>
      <c r="D48" s="327">
        <v>0</v>
      </c>
      <c r="E48" s="327">
        <f t="shared" si="6"/>
        <v>0</v>
      </c>
      <c r="F48" s="328">
        <f>'[5]Table 4 Level 3'!F48+'[5]Table 4 Level 3'!H48</f>
        <v>0</v>
      </c>
      <c r="G48" s="328">
        <f t="shared" si="12"/>
        <v>0</v>
      </c>
      <c r="H48" s="328">
        <f t="shared" si="7"/>
        <v>0</v>
      </c>
      <c r="I48" s="326">
        <f>IF(F48&lt;0,0,'Table 3 Levels 1&amp;2'!C50)</f>
        <v>3987</v>
      </c>
      <c r="J48" s="323">
        <f t="shared" si="13"/>
        <v>142532</v>
      </c>
      <c r="K48" s="324">
        <v>0</v>
      </c>
      <c r="L48" s="323">
        <f t="shared" si="14"/>
        <v>0</v>
      </c>
      <c r="M48" s="326">
        <f>'Table 3 Levels 1&amp;2'!C50</f>
        <v>3987</v>
      </c>
      <c r="N48" s="323">
        <f t="shared" si="15"/>
        <v>398700</v>
      </c>
      <c r="O48" s="323">
        <f t="shared" si="8"/>
        <v>541232</v>
      </c>
      <c r="P48" s="320">
        <v>574.6099999999999</v>
      </c>
      <c r="Q48" s="323">
        <f>(('Table 8 2.1.12 MFP Funded'!G46+'Table 8 2.1.12 MFP Funded'!H46+'Table 8 2.1.12 MFP Funded'!I46+'Table 8 2.1.12 MFP Funded'!J46)*'Table 4 Level 3'!P48)+'Table 5A4_LSDVI'!G49+'Table 5A5_SSD'!G49+'Table 5C1A-Madison Prep'!G49+'Table 5C1B-DArbonne'!G49+'Table 5C1C-Intl_VIBE'!G49+'Table 5C1D-NOMMA'!G49+'Table 5C1E-LFNO'!G49+'Table 5C1F-Lake Charles Charter'!G49+'Table 5C2 - LA Virtual Admy'!G46+'Table 5C3 - LA Connections EBR'!G46+'Table 5D1 - New Vision'!F49+'Table 5D2 - Glencoe'!F49+'Table 5D3 - International'!F49+'Table 5D4 - Avoyelles'!F49+'Table 5D5 - Delhi'!F49+'Table 5D6 - Milestone'!F49+'Table 5D7 - Max'!F49+'Table 5D8 - Belle Chasse'!H49</f>
        <v>2289763.388999999</v>
      </c>
      <c r="R48" s="323">
        <f t="shared" si="9"/>
        <v>2830995.388999999</v>
      </c>
      <c r="T48" s="23">
        <f t="shared" si="16"/>
        <v>574.6099999999999</v>
      </c>
      <c r="U48" s="1404">
        <f>'Table 8 2.1.12 MFP Funded'!G46+'Table 8 2.1.12 MFP Funded'!H46+'Table 8 2.1.12 MFP Funded'!I46+'Table 8 2.1.12 MFP Funded'!J46</f>
        <v>3965</v>
      </c>
      <c r="V48" s="426">
        <f t="shared" si="11"/>
        <v>2278328.6499999994</v>
      </c>
    </row>
    <row r="49" spans="1:22">
      <c r="A49" s="101">
        <v>44</v>
      </c>
      <c r="B49" s="311" t="s">
        <v>145</v>
      </c>
      <c r="C49" s="327">
        <v>0</v>
      </c>
      <c r="D49" s="327">
        <v>0</v>
      </c>
      <c r="E49" s="327">
        <f t="shared" si="6"/>
        <v>0</v>
      </c>
      <c r="F49" s="328">
        <f>'[5]Table 4 Level 3'!F49+'[5]Table 4 Level 3'!H49</f>
        <v>0</v>
      </c>
      <c r="G49" s="328">
        <f t="shared" si="12"/>
        <v>0</v>
      </c>
      <c r="H49" s="328">
        <f t="shared" si="7"/>
        <v>0</v>
      </c>
      <c r="I49" s="326">
        <f>IF(F49&lt;0,0,'Table 3 Levels 1&amp;2'!C51)</f>
        <v>5876</v>
      </c>
      <c r="J49" s="323">
        <f t="shared" si="13"/>
        <v>210062</v>
      </c>
      <c r="K49" s="324">
        <v>0</v>
      </c>
      <c r="L49" s="323">
        <f t="shared" si="14"/>
        <v>0</v>
      </c>
      <c r="M49" s="326">
        <f>'Table 3 Levels 1&amp;2'!C51</f>
        <v>5876</v>
      </c>
      <c r="N49" s="323">
        <f t="shared" si="15"/>
        <v>587600</v>
      </c>
      <c r="O49" s="323">
        <f t="shared" si="8"/>
        <v>797662</v>
      </c>
      <c r="P49" s="320">
        <v>663.16000000000008</v>
      </c>
      <c r="Q49" s="323">
        <f>(('Table 8 2.1.12 MFP Funded'!G47+'Table 8 2.1.12 MFP Funded'!H47+'Table 8 2.1.12 MFP Funded'!I47+'Table 8 2.1.12 MFP Funded'!J47)*'Table 4 Level 3'!P49)+'Table 5A4_LSDVI'!G50+'Table 5A5_SSD'!G50+'Table 5C1A-Madison Prep'!G50+'Table 5C1B-DArbonne'!G50+'Table 5C1C-Intl_VIBE'!G50+'Table 5C1D-NOMMA'!G50+'Table 5C1E-LFNO'!G50+'Table 5C1F-Lake Charles Charter'!G50+'Table 5C2 - LA Virtual Admy'!G47+'Table 5C3 - LA Connections EBR'!G47+'Table 5D1 - New Vision'!F50+'Table 5D2 - Glencoe'!F50+'Table 5D3 - International'!F50+'Table 5D4 - Avoyelles'!F50+'Table 5D5 - Delhi'!F50+'Table 5D6 - Milestone'!F50+'Table 5D7 - Max'!F50+'Table 5D8 - Belle Chasse'!H50</f>
        <v>3896793.7222738736</v>
      </c>
      <c r="R49" s="323">
        <f t="shared" si="9"/>
        <v>4694455.7222738732</v>
      </c>
      <c r="T49" s="23">
        <f t="shared" si="16"/>
        <v>663.16000000000008</v>
      </c>
      <c r="U49" s="1404">
        <f>'Table 8 2.1.12 MFP Funded'!G47+'Table 8 2.1.12 MFP Funded'!H47+'Table 8 2.1.12 MFP Funded'!I47+'Table 8 2.1.12 MFP Funded'!J47</f>
        <v>5846</v>
      </c>
      <c r="V49" s="426">
        <f t="shared" si="11"/>
        <v>3876833.3600000003</v>
      </c>
    </row>
    <row r="50" spans="1:22">
      <c r="A50" s="102">
        <v>45</v>
      </c>
      <c r="B50" s="312" t="s">
        <v>146</v>
      </c>
      <c r="C50" s="334">
        <v>9520260</v>
      </c>
      <c r="D50" s="334">
        <v>2883682</v>
      </c>
      <c r="E50" s="334">
        <f t="shared" si="6"/>
        <v>6636578</v>
      </c>
      <c r="F50" s="335">
        <f>'[5]Table 4 Level 3'!F50+'[5]Table 4 Level 3'!H50</f>
        <v>-3947911</v>
      </c>
      <c r="G50" s="335">
        <f t="shared" si="12"/>
        <v>2688667</v>
      </c>
      <c r="H50" s="437">
        <f t="shared" si="7"/>
        <v>-537733</v>
      </c>
      <c r="I50" s="333">
        <f>IF(F50&lt;0,0,'Table 3 Levels 1&amp;2'!C52)</f>
        <v>0</v>
      </c>
      <c r="J50" s="330">
        <f t="shared" si="13"/>
        <v>0</v>
      </c>
      <c r="K50" s="331">
        <v>0</v>
      </c>
      <c r="L50" s="330">
        <f t="shared" si="14"/>
        <v>0</v>
      </c>
      <c r="M50" s="333">
        <f>'Table 3 Levels 1&amp;2'!C52</f>
        <v>9427</v>
      </c>
      <c r="N50" s="330">
        <f t="shared" si="15"/>
        <v>942700</v>
      </c>
      <c r="O50" s="330">
        <f t="shared" si="8"/>
        <v>5977316</v>
      </c>
      <c r="P50" s="329">
        <v>753.96000000000015</v>
      </c>
      <c r="Q50" s="330">
        <f>(('Table 8 2.1.12 MFP Funded'!G48+'Table 8 2.1.12 MFP Funded'!H48+'Table 8 2.1.12 MFP Funded'!I48+'Table 8 2.1.12 MFP Funded'!J48)*'Table 4 Level 3'!P50)+'Table 5A4_LSDVI'!G51+'Table 5A5_SSD'!G51+'Table 5C1A-Madison Prep'!G51+'Table 5C1B-DArbonne'!G51+'Table 5C1C-Intl_VIBE'!G51+'Table 5C1D-NOMMA'!G51+'Table 5C1E-LFNO'!G51+'Table 5C1F-Lake Charles Charter'!G51+'Table 5C2 - LA Virtual Admy'!G48+'Table 5C3 - LA Connections EBR'!G48+'Table 5D1 - New Vision'!F51+'Table 5D2 - Glencoe'!F51+'Table 5D3 - International'!F51+'Table 5D4 - Avoyelles'!F51+'Table 5D5 - Delhi'!F51+'Table 5D6 - Milestone'!F51+'Table 5D7 - Max'!F51+'Table 5D8 - Belle Chasse'!H51</f>
        <v>7106437.9524479136</v>
      </c>
      <c r="R50" s="330">
        <f t="shared" si="9"/>
        <v>13083753.952447914</v>
      </c>
      <c r="T50" s="23">
        <f t="shared" si="16"/>
        <v>753.96000000000015</v>
      </c>
      <c r="U50" s="1404">
        <f>'Table 8 2.1.12 MFP Funded'!G48+'Table 8 2.1.12 MFP Funded'!H48+'Table 8 2.1.12 MFP Funded'!I48+'Table 8 2.1.12 MFP Funded'!J48</f>
        <v>9402</v>
      </c>
      <c r="V50" s="426">
        <f t="shared" si="11"/>
        <v>7088731.9200000018</v>
      </c>
    </row>
    <row r="51" spans="1:22">
      <c r="A51" s="101">
        <v>46</v>
      </c>
      <c r="B51" s="311" t="s">
        <v>147</v>
      </c>
      <c r="C51" s="327">
        <v>0</v>
      </c>
      <c r="D51" s="327">
        <v>0</v>
      </c>
      <c r="E51" s="327">
        <f t="shared" si="6"/>
        <v>0</v>
      </c>
      <c r="F51" s="328">
        <f>'[5]Table 4 Level 3'!F51+'[5]Table 4 Level 3'!H51</f>
        <v>0</v>
      </c>
      <c r="G51" s="328">
        <f t="shared" si="12"/>
        <v>0</v>
      </c>
      <c r="H51" s="328">
        <f t="shared" si="7"/>
        <v>0</v>
      </c>
      <c r="I51" s="326">
        <f>IF(F51&lt;0,0,'Table 3 Levels 1&amp;2'!C53)</f>
        <v>1103</v>
      </c>
      <c r="J51" s="323">
        <f t="shared" si="13"/>
        <v>39431</v>
      </c>
      <c r="K51" s="324">
        <v>0</v>
      </c>
      <c r="L51" s="323">
        <f t="shared" si="14"/>
        <v>0</v>
      </c>
      <c r="M51" s="326">
        <f>'Table 3 Levels 1&amp;2'!C53</f>
        <v>1103</v>
      </c>
      <c r="N51" s="323">
        <f t="shared" si="15"/>
        <v>110300</v>
      </c>
      <c r="O51" s="323">
        <f t="shared" si="8"/>
        <v>149731</v>
      </c>
      <c r="P51" s="320">
        <v>728.06</v>
      </c>
      <c r="Q51" s="323">
        <f>(('Table 8 2.1.12 MFP Funded'!G49+'Table 8 2.1.12 MFP Funded'!H49+'Table 8 2.1.12 MFP Funded'!I49+'Table 8 2.1.12 MFP Funded'!J49)*'Table 4 Level 3'!P51)+'Table 5A4_LSDVI'!G52+'Table 5A5_SSD'!G52+'Table 5C1A-Madison Prep'!G52+'Table 5C1B-DArbonne'!G52+'Table 5C1C-Intl_VIBE'!G52+'Table 5C1D-NOMMA'!G52+'Table 5C1E-LFNO'!G52+'Table 5C1F-Lake Charles Charter'!G52+'Table 5C2 - LA Virtual Admy'!G49+'Table 5C3 - LA Connections EBR'!G49+'Table 5D1 - New Vision'!F52+'Table 5D2 - Glencoe'!F52+'Table 5D3 - International'!F52+'Table 5D4 - Avoyelles'!F52+'Table 5D5 - Delhi'!F52+'Table 5D6 - Milestone'!F52+'Table 5D7 - Max'!F52+'Table 5D8 - Belle Chasse'!H52</f>
        <v>802540.53799999994</v>
      </c>
      <c r="R51" s="323">
        <f t="shared" si="9"/>
        <v>952271.53799999994</v>
      </c>
      <c r="T51" s="23">
        <f t="shared" si="16"/>
        <v>728.06</v>
      </c>
      <c r="U51" s="1404">
        <f>'Table 8 2.1.12 MFP Funded'!G49+'Table 8 2.1.12 MFP Funded'!H49+'Table 8 2.1.12 MFP Funded'!I49+'Table 8 2.1.12 MFP Funded'!J49</f>
        <v>1096</v>
      </c>
      <c r="V51" s="426">
        <f t="shared" si="11"/>
        <v>797953.75999999989</v>
      </c>
    </row>
    <row r="52" spans="1:22">
      <c r="A52" s="101">
        <v>47</v>
      </c>
      <c r="B52" s="311" t="s">
        <v>148</v>
      </c>
      <c r="C52" s="327">
        <v>1851066</v>
      </c>
      <c r="D52" s="327">
        <v>1060614</v>
      </c>
      <c r="E52" s="327">
        <f t="shared" si="6"/>
        <v>790452</v>
      </c>
      <c r="F52" s="328">
        <f>'[5]Table 4 Level 3'!F52+'[5]Table 4 Level 3'!H52</f>
        <v>-395225</v>
      </c>
      <c r="G52" s="328">
        <f t="shared" si="12"/>
        <v>395227</v>
      </c>
      <c r="H52" s="328">
        <f t="shared" si="7"/>
        <v>-79045</v>
      </c>
      <c r="I52" s="326">
        <f>IF(F52&lt;0,0,'Table 3 Levels 1&amp;2'!C54)</f>
        <v>0</v>
      </c>
      <c r="J52" s="323">
        <f t="shared" si="13"/>
        <v>0</v>
      </c>
      <c r="K52" s="324">
        <v>0</v>
      </c>
      <c r="L52" s="323">
        <f t="shared" si="14"/>
        <v>0</v>
      </c>
      <c r="M52" s="326">
        <f>'Table 3 Levels 1&amp;2'!C54</f>
        <v>3644</v>
      </c>
      <c r="N52" s="323">
        <f t="shared" si="15"/>
        <v>364400</v>
      </c>
      <c r="O52" s="323">
        <f t="shared" si="8"/>
        <v>1741196</v>
      </c>
      <c r="P52" s="320">
        <v>910.76</v>
      </c>
      <c r="Q52" s="323">
        <f>(('Table 8 2.1.12 MFP Funded'!G50+'Table 8 2.1.12 MFP Funded'!H50+'Table 8 2.1.12 MFP Funded'!I50+'Table 8 2.1.12 MFP Funded'!J50)*'Table 4 Level 3'!P52)+'Table 5A4_LSDVI'!G53+'Table 5A5_SSD'!G53+'Table 5C1A-Madison Prep'!G53+'Table 5C1B-DArbonne'!G53+'Table 5C1C-Intl_VIBE'!G53+'Table 5C1D-NOMMA'!G53+'Table 5C1E-LFNO'!G53+'Table 5C1F-Lake Charles Charter'!G53+'Table 5C2 - LA Virtual Admy'!G50+'Table 5C3 - LA Connections EBR'!G50+'Table 5D1 - New Vision'!F53+'Table 5D2 - Glencoe'!F53+'Table 5D3 - International'!F53+'Table 5D4 - Avoyelles'!F53+'Table 5D5 - Delhi'!F53+'Table 5D6 - Milestone'!F53+'Table 5D7 - Max'!F53+'Table 5D8 - Belle Chasse'!H53</f>
        <v>3317530.0192399397</v>
      </c>
      <c r="R52" s="323">
        <f t="shared" si="9"/>
        <v>5058726.0192399397</v>
      </c>
      <c r="T52" s="23">
        <f t="shared" si="16"/>
        <v>910.76</v>
      </c>
      <c r="U52" s="1404">
        <f>'Table 8 2.1.12 MFP Funded'!G50+'Table 8 2.1.12 MFP Funded'!H50+'Table 8 2.1.12 MFP Funded'!I50+'Table 8 2.1.12 MFP Funded'!J50</f>
        <v>3636</v>
      </c>
      <c r="V52" s="426">
        <f t="shared" si="11"/>
        <v>3311523.36</v>
      </c>
    </row>
    <row r="53" spans="1:22">
      <c r="A53" s="101">
        <v>48</v>
      </c>
      <c r="B53" s="311" t="s">
        <v>222</v>
      </c>
      <c r="C53" s="327">
        <v>0</v>
      </c>
      <c r="D53" s="327">
        <v>0</v>
      </c>
      <c r="E53" s="327">
        <f t="shared" si="6"/>
        <v>0</v>
      </c>
      <c r="F53" s="328">
        <f>'[5]Table 4 Level 3'!F53+'[5]Table 4 Level 3'!H53</f>
        <v>0</v>
      </c>
      <c r="G53" s="328">
        <f t="shared" si="12"/>
        <v>0</v>
      </c>
      <c r="H53" s="328">
        <f t="shared" si="7"/>
        <v>0</v>
      </c>
      <c r="I53" s="326">
        <f>IF(F53&lt;0,0,'Table 3 Levels 1&amp;2'!C55)</f>
        <v>6233</v>
      </c>
      <c r="J53" s="323">
        <f t="shared" si="13"/>
        <v>222824</v>
      </c>
      <c r="K53" s="324">
        <v>0</v>
      </c>
      <c r="L53" s="323">
        <f t="shared" si="14"/>
        <v>0</v>
      </c>
      <c r="M53" s="326">
        <f>'Table 3 Levels 1&amp;2'!C55</f>
        <v>6233</v>
      </c>
      <c r="N53" s="323">
        <f t="shared" si="15"/>
        <v>623300</v>
      </c>
      <c r="O53" s="323">
        <f t="shared" si="8"/>
        <v>846124</v>
      </c>
      <c r="P53" s="320">
        <v>871.07</v>
      </c>
      <c r="Q53" s="323">
        <f>(('Table 8 2.1.12 MFP Funded'!G51+'Table 8 2.1.12 MFP Funded'!H51+'Table 8 2.1.12 MFP Funded'!I51+'Table 8 2.1.12 MFP Funded'!J51)*'Table 4 Level 3'!P53)+'Table 5A4_LSDVI'!G54+'Table 5A5_SSD'!G54+'Table 5C1A-Madison Prep'!G54+'Table 5C1B-DArbonne'!G54+'Table 5C1C-Intl_VIBE'!G54+'Table 5C1D-NOMMA'!G54+'Table 5C1E-LFNO'!G54+'Table 5C1F-Lake Charles Charter'!G54+'Table 5C2 - LA Virtual Admy'!G51+'Table 5C3 - LA Connections EBR'!G51+'Table 5D1 - New Vision'!F54+'Table 5D2 - Glencoe'!F54+'Table 5D3 - International'!F54+'Table 5D4 - Avoyelles'!F54+'Table 5D5 - Delhi'!F54+'Table 5D6 - Milestone'!F54+'Table 5D7 - Max'!F54+'Table 5D8 - Belle Chasse'!H54</f>
        <v>5426349.3096791608</v>
      </c>
      <c r="R53" s="323">
        <f t="shared" si="9"/>
        <v>6272473.3096791608</v>
      </c>
      <c r="T53" s="23">
        <f t="shared" si="16"/>
        <v>871.07</v>
      </c>
      <c r="U53" s="1404">
        <f>'Table 8 2.1.12 MFP Funded'!G51+'Table 8 2.1.12 MFP Funded'!H51+'Table 8 2.1.12 MFP Funded'!I51+'Table 8 2.1.12 MFP Funded'!J51</f>
        <v>6202</v>
      </c>
      <c r="V53" s="426">
        <f t="shared" si="11"/>
        <v>5402376.1400000006</v>
      </c>
    </row>
    <row r="54" spans="1:22">
      <c r="A54" s="101">
        <v>49</v>
      </c>
      <c r="B54" s="311" t="s">
        <v>149</v>
      </c>
      <c r="C54" s="327">
        <v>0</v>
      </c>
      <c r="D54" s="327">
        <v>0</v>
      </c>
      <c r="E54" s="327">
        <f t="shared" si="6"/>
        <v>0</v>
      </c>
      <c r="F54" s="328">
        <f>'[5]Table 4 Level 3'!F54+'[5]Table 4 Level 3'!H54</f>
        <v>0</v>
      </c>
      <c r="G54" s="328">
        <f t="shared" si="12"/>
        <v>0</v>
      </c>
      <c r="H54" s="328">
        <f t="shared" si="7"/>
        <v>0</v>
      </c>
      <c r="I54" s="326">
        <f>IF(F54&lt;0,0,'Table 3 Levels 1&amp;2'!C56)</f>
        <v>14461</v>
      </c>
      <c r="J54" s="323">
        <f t="shared" si="13"/>
        <v>516968</v>
      </c>
      <c r="K54" s="324">
        <v>10</v>
      </c>
      <c r="L54" s="323">
        <f t="shared" si="14"/>
        <v>200000</v>
      </c>
      <c r="M54" s="326">
        <f>'Table 3 Levels 1&amp;2'!C56</f>
        <v>14461</v>
      </c>
      <c r="N54" s="323">
        <f t="shared" si="15"/>
        <v>1446100</v>
      </c>
      <c r="O54" s="323">
        <f t="shared" si="8"/>
        <v>2163068</v>
      </c>
      <c r="P54" s="320">
        <v>574.43999999999994</v>
      </c>
      <c r="Q54" s="323">
        <f>(('Table 8 2.1.12 MFP Funded'!G52+'Table 8 2.1.12 MFP Funded'!H52+'Table 8 2.1.12 MFP Funded'!I52+'Table 8 2.1.12 MFP Funded'!J52)*'Table 4 Level 3'!P54)+'Table 5A4_LSDVI'!G55+'Table 5A5_SSD'!G55+'Table 5C1A-Madison Prep'!G55+'Table 5C1B-DArbonne'!G55+'Table 5C1C-Intl_VIBE'!G55+'Table 5C1D-NOMMA'!G55+'Table 5C1E-LFNO'!G55+'Table 5C1F-Lake Charles Charter'!G55+'Table 5C2 - LA Virtual Admy'!G52+'Table 5C3 - LA Connections EBR'!G52+'Table 5D1 - New Vision'!F55+'Table 5D2 - Glencoe'!F55+'Table 5D3 - International'!F55+'Table 5D4 - Avoyelles'!F55+'Table 5D5 - Delhi'!F55+'Table 5D6 - Milestone'!F55+'Table 5D7 - Max'!F55+'Table 5D8 - Belle Chasse'!H55</f>
        <v>8303376.9365417724</v>
      </c>
      <c r="R54" s="323">
        <f t="shared" si="9"/>
        <v>10466444.936541773</v>
      </c>
      <c r="T54" s="23">
        <f t="shared" si="16"/>
        <v>574.43999999999994</v>
      </c>
      <c r="U54" s="1404">
        <f>'Table 8 2.1.12 MFP Funded'!G52+'Table 8 2.1.12 MFP Funded'!H52+'Table 8 2.1.12 MFP Funded'!I52+'Table 8 2.1.12 MFP Funded'!J52</f>
        <v>14392</v>
      </c>
      <c r="V54" s="426">
        <f t="shared" si="11"/>
        <v>8267340.4799999995</v>
      </c>
    </row>
    <row r="55" spans="1:22">
      <c r="A55" s="102">
        <v>50</v>
      </c>
      <c r="B55" s="312" t="s">
        <v>150</v>
      </c>
      <c r="C55" s="334">
        <v>0</v>
      </c>
      <c r="D55" s="334">
        <v>0</v>
      </c>
      <c r="E55" s="334">
        <f t="shared" si="6"/>
        <v>0</v>
      </c>
      <c r="F55" s="335">
        <f>'[5]Table 4 Level 3'!F55+'[5]Table 4 Level 3'!H55</f>
        <v>0</v>
      </c>
      <c r="G55" s="335">
        <f t="shared" si="12"/>
        <v>0</v>
      </c>
      <c r="H55" s="335">
        <f t="shared" si="7"/>
        <v>0</v>
      </c>
      <c r="I55" s="333">
        <f>IF(F55&lt;0,0,'Table 3 Levels 1&amp;2'!C57)</f>
        <v>7985</v>
      </c>
      <c r="J55" s="330">
        <f t="shared" si="13"/>
        <v>285457</v>
      </c>
      <c r="K55" s="331">
        <v>11</v>
      </c>
      <c r="L55" s="330">
        <f t="shared" si="14"/>
        <v>220000</v>
      </c>
      <c r="M55" s="333">
        <f>'Table 3 Levels 1&amp;2'!C57</f>
        <v>7985</v>
      </c>
      <c r="N55" s="330">
        <f t="shared" si="15"/>
        <v>798500</v>
      </c>
      <c r="O55" s="330">
        <f t="shared" si="8"/>
        <v>1303957</v>
      </c>
      <c r="P55" s="329">
        <v>634.46</v>
      </c>
      <c r="Q55" s="330">
        <f>(('Table 8 2.1.12 MFP Funded'!G53+'Table 8 2.1.12 MFP Funded'!H53+'Table 8 2.1.12 MFP Funded'!I53+'Table 8 2.1.12 MFP Funded'!J53)*'Table 4 Level 3'!P55)+'Table 5A4_LSDVI'!G56+'Table 5A5_SSD'!G56+'Table 5C1A-Madison Prep'!G56+'Table 5C1B-DArbonne'!G56+'Table 5C1C-Intl_VIBE'!G56+'Table 5C1D-NOMMA'!G56+'Table 5C1E-LFNO'!G56+'Table 5C1F-Lake Charles Charter'!G56+'Table 5C2 - LA Virtual Admy'!G53+'Table 5C3 - LA Connections EBR'!G53+'Table 5D1 - New Vision'!F56+'Table 5D2 - Glencoe'!F56+'Table 5D3 - International'!F56+'Table 5D4 - Avoyelles'!F56+'Table 5D5 - Delhi'!F56+'Table 5D6 - Milestone'!F56+'Table 5D7 - Max'!F56+'Table 5D8 - Belle Chasse'!H56</f>
        <v>5064767.2880000006</v>
      </c>
      <c r="R55" s="330">
        <f t="shared" si="9"/>
        <v>6368724.2880000006</v>
      </c>
      <c r="T55" s="23">
        <f t="shared" si="16"/>
        <v>634.46</v>
      </c>
      <c r="U55" s="1404">
        <f>'Table 8 2.1.12 MFP Funded'!G53+'Table 8 2.1.12 MFP Funded'!H53+'Table 8 2.1.12 MFP Funded'!I53+'Table 8 2.1.12 MFP Funded'!J53</f>
        <v>7962</v>
      </c>
      <c r="V55" s="426">
        <f t="shared" si="11"/>
        <v>5051570.5200000005</v>
      </c>
    </row>
    <row r="56" spans="1:22">
      <c r="A56" s="101">
        <v>51</v>
      </c>
      <c r="B56" s="311" t="s">
        <v>151</v>
      </c>
      <c r="C56" s="327">
        <v>0</v>
      </c>
      <c r="D56" s="327">
        <v>0</v>
      </c>
      <c r="E56" s="327">
        <f t="shared" si="6"/>
        <v>0</v>
      </c>
      <c r="F56" s="328">
        <f>'[5]Table 4 Level 3'!F56+'[5]Table 4 Level 3'!H56</f>
        <v>0</v>
      </c>
      <c r="G56" s="328">
        <f t="shared" si="12"/>
        <v>0</v>
      </c>
      <c r="H56" s="328">
        <f t="shared" si="7"/>
        <v>0</v>
      </c>
      <c r="I56" s="326">
        <f>IF(F56&lt;0,0,'Table 3 Levels 1&amp;2'!C58)</f>
        <v>9346</v>
      </c>
      <c r="J56" s="323">
        <f t="shared" si="13"/>
        <v>334111</v>
      </c>
      <c r="K56" s="324">
        <v>0</v>
      </c>
      <c r="L56" s="323">
        <f t="shared" si="14"/>
        <v>0</v>
      </c>
      <c r="M56" s="326">
        <f>'Table 3 Levels 1&amp;2'!C58</f>
        <v>9346</v>
      </c>
      <c r="N56" s="323">
        <f t="shared" si="15"/>
        <v>934600</v>
      </c>
      <c r="O56" s="323">
        <f t="shared" si="8"/>
        <v>1268711</v>
      </c>
      <c r="P56" s="320">
        <v>706.66</v>
      </c>
      <c r="Q56" s="323">
        <f>(('Table 8 2.1.12 MFP Funded'!G54+'Table 8 2.1.12 MFP Funded'!H54+'Table 8 2.1.12 MFP Funded'!I54+'Table 8 2.1.12 MFP Funded'!J54)*'Table 4 Level 3'!P56)+'Table 5A4_LSDVI'!G57+'Table 5A5_SSD'!G57+'Table 5C1A-Madison Prep'!G57+'Table 5C1B-DArbonne'!G57+'Table 5C1C-Intl_VIBE'!G57+'Table 5C1D-NOMMA'!G57+'Table 5C1E-LFNO'!G57+'Table 5C1F-Lake Charles Charter'!G57+'Table 5C2 - LA Virtual Admy'!G54+'Table 5C3 - LA Connections EBR'!G54+'Table 5D1 - New Vision'!F57+'Table 5D2 - Glencoe'!F57+'Table 5D3 - International'!F57+'Table 5D4 - Avoyelles'!F57+'Table 5D5 - Delhi'!F57+'Table 5D6 - Milestone'!F57+'Table 5D7 - Max'!F57+'Table 5D8 - Belle Chasse'!H57</f>
        <v>6572431.8946943805</v>
      </c>
      <c r="R56" s="323">
        <f t="shared" si="9"/>
        <v>7841142.8946943805</v>
      </c>
      <c r="T56" s="23">
        <f t="shared" si="16"/>
        <v>706.66</v>
      </c>
      <c r="U56" s="1404">
        <f>'Table 8 2.1.12 MFP Funded'!G54+'Table 8 2.1.12 MFP Funded'!H54+'Table 8 2.1.12 MFP Funded'!I54+'Table 8 2.1.12 MFP Funded'!J54</f>
        <v>9038</v>
      </c>
      <c r="V56" s="426">
        <f t="shared" si="11"/>
        <v>6386793.0800000001</v>
      </c>
    </row>
    <row r="57" spans="1:22">
      <c r="A57" s="101">
        <v>52</v>
      </c>
      <c r="B57" s="311" t="s">
        <v>152</v>
      </c>
      <c r="C57" s="327">
        <v>0</v>
      </c>
      <c r="D57" s="327">
        <v>0</v>
      </c>
      <c r="E57" s="327">
        <f t="shared" si="6"/>
        <v>0</v>
      </c>
      <c r="F57" s="328">
        <f>'[5]Table 4 Level 3'!F57+'[5]Table 4 Level 3'!H57</f>
        <v>0</v>
      </c>
      <c r="G57" s="328">
        <f t="shared" si="12"/>
        <v>0</v>
      </c>
      <c r="H57" s="328">
        <f t="shared" si="7"/>
        <v>0</v>
      </c>
      <c r="I57" s="326">
        <f>IF(F57&lt;0,0,'Table 3 Levels 1&amp;2'!C59)</f>
        <v>36557</v>
      </c>
      <c r="J57" s="323">
        <f t="shared" si="13"/>
        <v>1306880</v>
      </c>
      <c r="K57" s="324">
        <v>0</v>
      </c>
      <c r="L57" s="323">
        <f t="shared" si="14"/>
        <v>0</v>
      </c>
      <c r="M57" s="326">
        <f>'Table 3 Levels 1&amp;2'!C59</f>
        <v>36557</v>
      </c>
      <c r="N57" s="323">
        <f t="shared" si="15"/>
        <v>3655700</v>
      </c>
      <c r="O57" s="323">
        <f t="shared" si="8"/>
        <v>4962580</v>
      </c>
      <c r="P57" s="320">
        <v>658.37</v>
      </c>
      <c r="Q57" s="323">
        <f>(('Table 8 2.1.12 MFP Funded'!G55+'Table 8 2.1.12 MFP Funded'!H55+'Table 8 2.1.12 MFP Funded'!I55+'Table 8 2.1.12 MFP Funded'!J55)*'Table 4 Level 3'!P57)+'Table 5A4_LSDVI'!G58+'Table 5A5_SSD'!G58+'Table 5C1A-Madison Prep'!G58+'Table 5C1B-DArbonne'!G58+'Table 5C1C-Intl_VIBE'!G58+'Table 5C1D-NOMMA'!G58+'Table 5C1E-LFNO'!G58+'Table 5C1F-Lake Charles Charter'!G58+'Table 5C2 - LA Virtual Admy'!G55+'Table 5C3 - LA Connections EBR'!G55+'Table 5D1 - New Vision'!F58+'Table 5D2 - Glencoe'!F58+'Table 5D3 - International'!F58+'Table 5D4 - Avoyelles'!F58+'Table 5D5 - Delhi'!F58+'Table 5D6 - Milestone'!F58+'Table 5D7 - Max'!F58+'Table 5D8 - Belle Chasse'!H58</f>
        <v>24061543.941516738</v>
      </c>
      <c r="R57" s="323">
        <f t="shared" si="9"/>
        <v>29024123.941516738</v>
      </c>
      <c r="T57" s="23">
        <f t="shared" si="16"/>
        <v>658.37</v>
      </c>
      <c r="U57" s="1404">
        <f>'Table 8 2.1.12 MFP Funded'!G55+'Table 8 2.1.12 MFP Funded'!H55+'Table 8 2.1.12 MFP Funded'!I55+'Table 8 2.1.12 MFP Funded'!J55</f>
        <v>36392</v>
      </c>
      <c r="V57" s="426">
        <f t="shared" si="11"/>
        <v>23959401.039999999</v>
      </c>
    </row>
    <row r="58" spans="1:22">
      <c r="A58" s="101">
        <v>53</v>
      </c>
      <c r="B58" s="311" t="s">
        <v>153</v>
      </c>
      <c r="C58" s="327">
        <v>0</v>
      </c>
      <c r="D58" s="327">
        <v>0</v>
      </c>
      <c r="E58" s="327">
        <f t="shared" si="6"/>
        <v>0</v>
      </c>
      <c r="F58" s="328">
        <f>'[5]Table 4 Level 3'!F58+'[5]Table 4 Level 3'!H58</f>
        <v>0</v>
      </c>
      <c r="G58" s="328">
        <f t="shared" si="12"/>
        <v>0</v>
      </c>
      <c r="H58" s="328">
        <f t="shared" si="7"/>
        <v>0</v>
      </c>
      <c r="I58" s="326">
        <f>IF(F58&lt;0,0,'Table 3 Levels 1&amp;2'!C60)</f>
        <v>19020</v>
      </c>
      <c r="J58" s="323">
        <f t="shared" si="13"/>
        <v>679948</v>
      </c>
      <c r="K58" s="324">
        <v>5</v>
      </c>
      <c r="L58" s="323">
        <f t="shared" si="14"/>
        <v>100000</v>
      </c>
      <c r="M58" s="326">
        <f>'Table 3 Levels 1&amp;2'!C60</f>
        <v>19020</v>
      </c>
      <c r="N58" s="323">
        <f t="shared" si="15"/>
        <v>1902000</v>
      </c>
      <c r="O58" s="323">
        <f t="shared" si="8"/>
        <v>2681948</v>
      </c>
      <c r="P58" s="320">
        <v>689.74</v>
      </c>
      <c r="Q58" s="323">
        <f>(('Table 8 2.1.12 MFP Funded'!G56+'Table 8 2.1.12 MFP Funded'!H56+'Table 8 2.1.12 MFP Funded'!I56+'Table 8 2.1.12 MFP Funded'!J56)*'Table 4 Level 3'!P58)+'Table 5A4_LSDVI'!G59+'Table 5A5_SSD'!G59+'Table 5C1A-Madison Prep'!G59+'Table 5C1B-DArbonne'!G59+'Table 5C1C-Intl_VIBE'!G59+'Table 5C1D-NOMMA'!G59+'Table 5C1E-LFNO'!G59+'Table 5C1F-Lake Charles Charter'!G59+'Table 5C2 - LA Virtual Admy'!G56+'Table 5C3 - LA Connections EBR'!G56+'Table 5D1 - New Vision'!F59+'Table 5D2 - Glencoe'!F59+'Table 5D3 - International'!F59+'Table 5D4 - Avoyelles'!F59+'Table 5D5 - Delhi'!F59+'Table 5D6 - Milestone'!F59+'Table 5D7 - Max'!F59+'Table 5D8 - Belle Chasse'!H59</f>
        <v>13113780.912420157</v>
      </c>
      <c r="R58" s="323">
        <f t="shared" si="9"/>
        <v>15795728.912420157</v>
      </c>
      <c r="T58" s="23">
        <f t="shared" si="16"/>
        <v>689.74</v>
      </c>
      <c r="U58" s="1404">
        <f>'Table 8 2.1.12 MFP Funded'!G56+'Table 8 2.1.12 MFP Funded'!H56+'Table 8 2.1.12 MFP Funded'!I56+'Table 8 2.1.12 MFP Funded'!J56</f>
        <v>18933</v>
      </c>
      <c r="V58" s="426">
        <f t="shared" si="11"/>
        <v>13058847.42</v>
      </c>
    </row>
    <row r="59" spans="1:22">
      <c r="A59" s="101">
        <v>54</v>
      </c>
      <c r="B59" s="311" t="s">
        <v>154</v>
      </c>
      <c r="C59" s="327">
        <v>0</v>
      </c>
      <c r="D59" s="327">
        <v>0</v>
      </c>
      <c r="E59" s="327">
        <f t="shared" si="6"/>
        <v>0</v>
      </c>
      <c r="F59" s="328">
        <f>'[5]Table 4 Level 3'!F59+'[5]Table 4 Level 3'!H59</f>
        <v>0</v>
      </c>
      <c r="G59" s="328">
        <f t="shared" si="12"/>
        <v>0</v>
      </c>
      <c r="H59" s="328">
        <f t="shared" si="7"/>
        <v>0</v>
      </c>
      <c r="I59" s="326">
        <f>IF(F59&lt;0,0,'Table 3 Levels 1&amp;2'!C61)</f>
        <v>701</v>
      </c>
      <c r="J59" s="323">
        <f t="shared" si="13"/>
        <v>25060</v>
      </c>
      <c r="K59" s="324">
        <v>0</v>
      </c>
      <c r="L59" s="323">
        <f t="shared" si="14"/>
        <v>0</v>
      </c>
      <c r="M59" s="326">
        <f>'Table 3 Levels 1&amp;2'!C61</f>
        <v>701</v>
      </c>
      <c r="N59" s="323">
        <f t="shared" si="15"/>
        <v>70100</v>
      </c>
      <c r="O59" s="323">
        <f t="shared" si="8"/>
        <v>95160</v>
      </c>
      <c r="P59" s="320">
        <v>951.45</v>
      </c>
      <c r="Q59" s="323">
        <f>(('Table 8 2.1.12 MFP Funded'!G57+'Table 8 2.1.12 MFP Funded'!H57+'Table 8 2.1.12 MFP Funded'!I57+'Table 8 2.1.12 MFP Funded'!J57)*'Table 4 Level 3'!P59)+'Table 5A4_LSDVI'!G60+'Table 5A5_SSD'!G60+'Table 5C1A-Madison Prep'!G60+'Table 5C1B-DArbonne'!G60+'Table 5C1C-Intl_VIBE'!G60+'Table 5C1D-NOMMA'!G60+'Table 5C1E-LFNO'!G60+'Table 5C1F-Lake Charles Charter'!G60+'Table 5C2 - LA Virtual Admy'!G57+'Table 5C3 - LA Connections EBR'!G57+'Table 5D1 - New Vision'!F60+'Table 5D2 - Glencoe'!F60+'Table 5D3 - International'!F60+'Table 5D4 - Avoyelles'!F60+'Table 5D5 - Delhi'!F60+'Table 5D6 - Milestone'!F60+'Table 5D7 - Max'!F60+'Table 5D8 - Belle Chasse'!H60</f>
        <v>665927.30708828312</v>
      </c>
      <c r="R59" s="323">
        <f t="shared" si="9"/>
        <v>761087.30708828312</v>
      </c>
      <c r="T59" s="23">
        <f t="shared" si="16"/>
        <v>951.45</v>
      </c>
      <c r="U59" s="1404">
        <f>'Table 8 2.1.12 MFP Funded'!G57+'Table 8 2.1.12 MFP Funded'!H57+'Table 8 2.1.12 MFP Funded'!I57+'Table 8 2.1.12 MFP Funded'!J57</f>
        <v>697</v>
      </c>
      <c r="V59" s="426">
        <f t="shared" si="11"/>
        <v>663160.65</v>
      </c>
    </row>
    <row r="60" spans="1:22">
      <c r="A60" s="102">
        <v>55</v>
      </c>
      <c r="B60" s="312" t="s">
        <v>155</v>
      </c>
      <c r="C60" s="334">
        <v>0</v>
      </c>
      <c r="D60" s="334">
        <v>0</v>
      </c>
      <c r="E60" s="334">
        <f t="shared" si="6"/>
        <v>0</v>
      </c>
      <c r="F60" s="335">
        <f>'[5]Table 4 Level 3'!F60+'[5]Table 4 Level 3'!H60</f>
        <v>0</v>
      </c>
      <c r="G60" s="335">
        <f t="shared" si="12"/>
        <v>0</v>
      </c>
      <c r="H60" s="335">
        <f t="shared" si="7"/>
        <v>0</v>
      </c>
      <c r="I60" s="333">
        <f>IF(F60&lt;0,0,'Table 3 Levels 1&amp;2'!C62)</f>
        <v>17735</v>
      </c>
      <c r="J60" s="330">
        <f t="shared" si="13"/>
        <v>634010</v>
      </c>
      <c r="K60" s="331">
        <v>0</v>
      </c>
      <c r="L60" s="330">
        <f t="shared" si="14"/>
        <v>0</v>
      </c>
      <c r="M60" s="333">
        <f>'Table 3 Levels 1&amp;2'!C62</f>
        <v>17735</v>
      </c>
      <c r="N60" s="330">
        <f t="shared" si="15"/>
        <v>1773500</v>
      </c>
      <c r="O60" s="330">
        <f t="shared" si="8"/>
        <v>2407510</v>
      </c>
      <c r="P60" s="329">
        <v>795.14</v>
      </c>
      <c r="Q60" s="330">
        <f>(('Table 8 2.1.12 MFP Funded'!G58+'Table 8 2.1.12 MFP Funded'!H58+'Table 8 2.1.12 MFP Funded'!I58+'Table 8 2.1.12 MFP Funded'!J58)*'Table 4 Level 3'!P60)+'Table 5A4_LSDVI'!G61+'Table 5A5_SSD'!G61+'Table 5C1A-Madison Prep'!G61+'Table 5C1B-DArbonne'!G61+'Table 5C1C-Intl_VIBE'!G61+'Table 5C1D-NOMMA'!G61+'Table 5C1E-LFNO'!G61+'Table 5C1F-Lake Charles Charter'!G61+'Table 5C2 - LA Virtual Admy'!G58+'Table 5C3 - LA Connections EBR'!G58+'Table 5D1 - New Vision'!F61+'Table 5D2 - Glencoe'!F61+'Table 5D3 - International'!F61+'Table 5D4 - Avoyelles'!F61+'Table 5D5 - Delhi'!F61+'Table 5D6 - Milestone'!F61+'Table 5D7 - Max'!F61+'Table 5D8 - Belle Chasse'!H61</f>
        <v>14093757.024969446</v>
      </c>
      <c r="R60" s="330">
        <f t="shared" si="9"/>
        <v>16501267.024969446</v>
      </c>
      <c r="T60" s="23">
        <f t="shared" si="16"/>
        <v>795.14</v>
      </c>
      <c r="U60" s="1404">
        <f>'Table 8 2.1.12 MFP Funded'!G58+'Table 8 2.1.12 MFP Funded'!H58+'Table 8 2.1.12 MFP Funded'!I58+'Table 8 2.1.12 MFP Funded'!J58</f>
        <v>17649</v>
      </c>
      <c r="V60" s="426">
        <f t="shared" si="11"/>
        <v>14033425.859999999</v>
      </c>
    </row>
    <row r="61" spans="1:22">
      <c r="A61" s="101">
        <v>56</v>
      </c>
      <c r="B61" s="311" t="s">
        <v>156</v>
      </c>
      <c r="C61" s="327">
        <v>0</v>
      </c>
      <c r="D61" s="327">
        <v>0</v>
      </c>
      <c r="E61" s="327">
        <f t="shared" si="6"/>
        <v>0</v>
      </c>
      <c r="F61" s="328">
        <f>'[5]Table 4 Level 3'!F61+'[5]Table 4 Level 3'!H61</f>
        <v>0</v>
      </c>
      <c r="G61" s="328">
        <f t="shared" si="12"/>
        <v>0</v>
      </c>
      <c r="H61" s="328">
        <f t="shared" si="7"/>
        <v>0</v>
      </c>
      <c r="I61" s="326">
        <f>IF(F61&lt;0,0,'Table 3 Levels 1&amp;2'!C63)</f>
        <v>2833</v>
      </c>
      <c r="J61" s="323">
        <f t="shared" si="13"/>
        <v>101277</v>
      </c>
      <c r="K61" s="324">
        <v>1</v>
      </c>
      <c r="L61" s="323">
        <f t="shared" si="14"/>
        <v>20000</v>
      </c>
      <c r="M61" s="326">
        <f>'Table 3 Levels 1&amp;2'!C63</f>
        <v>2833</v>
      </c>
      <c r="N61" s="323">
        <f t="shared" si="15"/>
        <v>283300</v>
      </c>
      <c r="O61" s="323">
        <f t="shared" si="8"/>
        <v>404577</v>
      </c>
      <c r="P61" s="320">
        <v>614.66000000000008</v>
      </c>
      <c r="Q61" s="1601">
        <f>(('Table 8 2.1.12 MFP Funded'!G59+'Table 8 2.1.12 MFP Funded'!H59+'Table 8 2.1.12 MFP Funded'!I59+'Table 8 2.1.12 MFP Funded'!J59)*'Table 4 Level 3'!P61)+'Table 5A4_LSDVI'!G62+'Table 5A5_SSD'!G62+'Table 5C1A-Madison Prep'!G62+'Table 5C1B-DArbonne'!G62+'Table 5C1C-Intl_VIBE'!G62+'Table 5C1D-NOMMA'!G62+'Table 5C1E-LFNO'!G62+'Table 5C1F-Lake Charles Charter'!G62+'Table 5C2 - LA Virtual Admy'!G59+'Table 5C3 - LA Connections EBR'!G59+'Table 5D1 - New Vision'!F62+'Table 5D2 - Glencoe'!F62+'Table 5D3 - International'!F62+'Table 5D4 - Avoyelles'!F62+'Table 5D5 - Delhi'!F62+'Table 5D6 - Milestone'!F62+'Table 5D7 - Max'!F62+'Table 5D8 - Belle Chasse'!H62+'Table 5C1B-DArbonne'!G76</f>
        <v>1740901.5180000002</v>
      </c>
      <c r="R61" s="323">
        <f t="shared" si="9"/>
        <v>2145478.5180000002</v>
      </c>
      <c r="T61" s="23">
        <f t="shared" si="16"/>
        <v>614.66000000000008</v>
      </c>
      <c r="U61" s="1404">
        <f>'Table 8 2.1.12 MFP Funded'!G59+'Table 8 2.1.12 MFP Funded'!H59+'Table 8 2.1.12 MFP Funded'!I59+'Table 8 2.1.12 MFP Funded'!J59</f>
        <v>2473</v>
      </c>
      <c r="V61" s="426">
        <f t="shared" si="11"/>
        <v>1520054.1800000002</v>
      </c>
    </row>
    <row r="62" spans="1:22">
      <c r="A62" s="101">
        <v>57</v>
      </c>
      <c r="B62" s="311" t="s">
        <v>157</v>
      </c>
      <c r="C62" s="327">
        <v>0</v>
      </c>
      <c r="D62" s="327">
        <v>0</v>
      </c>
      <c r="E62" s="327">
        <f t="shared" si="6"/>
        <v>0</v>
      </c>
      <c r="F62" s="328">
        <f>'[5]Table 4 Level 3'!F62+'[5]Table 4 Level 3'!H62</f>
        <v>0</v>
      </c>
      <c r="G62" s="328">
        <f t="shared" si="12"/>
        <v>0</v>
      </c>
      <c r="H62" s="328">
        <f t="shared" si="7"/>
        <v>0</v>
      </c>
      <c r="I62" s="326">
        <f>IF(F62&lt;0,0,'Table 3 Levels 1&amp;2'!C64)</f>
        <v>8873</v>
      </c>
      <c r="J62" s="323">
        <f t="shared" si="13"/>
        <v>317202</v>
      </c>
      <c r="K62" s="324">
        <v>0</v>
      </c>
      <c r="L62" s="323">
        <f t="shared" si="14"/>
        <v>0</v>
      </c>
      <c r="M62" s="326">
        <f>'Table 3 Levels 1&amp;2'!C64</f>
        <v>8873</v>
      </c>
      <c r="N62" s="323">
        <f t="shared" si="15"/>
        <v>887300</v>
      </c>
      <c r="O62" s="323">
        <f t="shared" si="8"/>
        <v>1204502</v>
      </c>
      <c r="P62" s="320">
        <v>764.51</v>
      </c>
      <c r="Q62" s="323">
        <f>(('Table 8 2.1.12 MFP Funded'!G60+'Table 8 2.1.12 MFP Funded'!H60+'Table 8 2.1.12 MFP Funded'!I60+'Table 8 2.1.12 MFP Funded'!J60)*'Table 4 Level 3'!P62)+'Table 5A4_LSDVI'!G63+'Table 5A5_SSD'!G63+'Table 5C1A-Madison Prep'!G63+'Table 5C1B-DArbonne'!G63+'Table 5C1C-Intl_VIBE'!G63+'Table 5C1D-NOMMA'!G63+'Table 5C1E-LFNO'!G63+'Table 5C1F-Lake Charles Charter'!G63+'Table 5C2 - LA Virtual Admy'!G60+'Table 5C3 - LA Connections EBR'!G60+'Table 5D1 - New Vision'!F63+'Table 5D2 - Glencoe'!F63+'Table 5D3 - International'!F63+'Table 5D4 - Avoyelles'!F63+'Table 5D5 - Delhi'!F63+'Table 5D6 - Milestone'!F63+'Table 5D7 - Max'!F63+'Table 5D8 - Belle Chasse'!H63</f>
        <v>6781941.8012688113</v>
      </c>
      <c r="R62" s="323">
        <f t="shared" si="9"/>
        <v>7986443.8012688113</v>
      </c>
      <c r="T62" s="23">
        <f t="shared" si="16"/>
        <v>764.51</v>
      </c>
      <c r="U62" s="1404">
        <f>'Table 8 2.1.12 MFP Funded'!G60+'Table 8 2.1.12 MFP Funded'!H60+'Table 8 2.1.12 MFP Funded'!I60+'Table 8 2.1.12 MFP Funded'!J60</f>
        <v>8853</v>
      </c>
      <c r="V62" s="426">
        <f t="shared" si="11"/>
        <v>6768207.0300000003</v>
      </c>
    </row>
    <row r="63" spans="1:22">
      <c r="A63" s="101">
        <v>58</v>
      </c>
      <c r="B63" s="311" t="s">
        <v>158</v>
      </c>
      <c r="C63" s="327">
        <v>0</v>
      </c>
      <c r="D63" s="327">
        <v>0</v>
      </c>
      <c r="E63" s="327">
        <f t="shared" si="6"/>
        <v>0</v>
      </c>
      <c r="F63" s="328">
        <f>'[5]Table 4 Level 3'!F63+'[5]Table 4 Level 3'!H63</f>
        <v>0</v>
      </c>
      <c r="G63" s="328">
        <f t="shared" si="12"/>
        <v>0</v>
      </c>
      <c r="H63" s="328">
        <f t="shared" si="7"/>
        <v>0</v>
      </c>
      <c r="I63" s="326">
        <f>IF(F63&lt;0,0,'Table 3 Levels 1&amp;2'!C65)</f>
        <v>9495</v>
      </c>
      <c r="J63" s="323">
        <f t="shared" si="13"/>
        <v>339438</v>
      </c>
      <c r="K63" s="324">
        <v>1</v>
      </c>
      <c r="L63" s="323">
        <f t="shared" si="14"/>
        <v>20000</v>
      </c>
      <c r="M63" s="326">
        <f>'Table 3 Levels 1&amp;2'!C65</f>
        <v>9495</v>
      </c>
      <c r="N63" s="323">
        <f t="shared" si="15"/>
        <v>949500</v>
      </c>
      <c r="O63" s="323">
        <f t="shared" si="8"/>
        <v>1308938</v>
      </c>
      <c r="P63" s="320">
        <v>697.04</v>
      </c>
      <c r="Q63" s="323">
        <f>(('Table 8 2.1.12 MFP Funded'!G61+'Table 8 2.1.12 MFP Funded'!H61+'Table 8 2.1.12 MFP Funded'!I61+'Table 8 2.1.12 MFP Funded'!J61)*'Table 4 Level 3'!P63)+'Table 5A4_LSDVI'!G64+'Table 5A5_SSD'!G64+'Table 5C1A-Madison Prep'!G64+'Table 5C1B-DArbonne'!G64+'Table 5C1C-Intl_VIBE'!G64+'Table 5C1D-NOMMA'!G64+'Table 5C1E-LFNO'!G64+'Table 5C1F-Lake Charles Charter'!G64+'Table 5C2 - LA Virtual Admy'!G61+'Table 5C3 - LA Connections EBR'!G61+'Table 5D1 - New Vision'!F64+'Table 5D2 - Glencoe'!F64+'Table 5D3 - International'!F64+'Table 5D4 - Avoyelles'!F64+'Table 5D5 - Delhi'!F64+'Table 5D6 - Milestone'!F64+'Table 5D7 - Max'!F64+'Table 5D8 - Belle Chasse'!H64</f>
        <v>6614561.0799999991</v>
      </c>
      <c r="R63" s="323">
        <f t="shared" si="9"/>
        <v>7923499.0799999991</v>
      </c>
      <c r="T63" s="23">
        <f t="shared" si="16"/>
        <v>697.04</v>
      </c>
      <c r="U63" s="1404">
        <f>'Table 8 2.1.12 MFP Funded'!G61+'Table 8 2.1.12 MFP Funded'!H61+'Table 8 2.1.12 MFP Funded'!I61+'Table 8 2.1.12 MFP Funded'!J61</f>
        <v>9438</v>
      </c>
      <c r="V63" s="426">
        <f t="shared" si="11"/>
        <v>6578663.5199999996</v>
      </c>
    </row>
    <row r="64" spans="1:22">
      <c r="A64" s="101">
        <v>59</v>
      </c>
      <c r="B64" s="311" t="s">
        <v>159</v>
      </c>
      <c r="C64" s="327">
        <v>0</v>
      </c>
      <c r="D64" s="327">
        <v>0</v>
      </c>
      <c r="E64" s="327">
        <f t="shared" si="6"/>
        <v>0</v>
      </c>
      <c r="F64" s="328">
        <f>'[5]Table 4 Level 3'!F64+'[5]Table 4 Level 3'!H64</f>
        <v>0</v>
      </c>
      <c r="G64" s="328">
        <f t="shared" si="12"/>
        <v>0</v>
      </c>
      <c r="H64" s="328">
        <f t="shared" si="7"/>
        <v>0</v>
      </c>
      <c r="I64" s="326">
        <f>IF(F64&lt;0,0,'Table 3 Levels 1&amp;2'!C66)</f>
        <v>5185</v>
      </c>
      <c r="J64" s="323">
        <f t="shared" si="13"/>
        <v>185359</v>
      </c>
      <c r="K64" s="324">
        <v>0</v>
      </c>
      <c r="L64" s="323">
        <f t="shared" si="14"/>
        <v>0</v>
      </c>
      <c r="M64" s="326">
        <f>'Table 3 Levels 1&amp;2'!C66</f>
        <v>5185</v>
      </c>
      <c r="N64" s="323">
        <f t="shared" si="15"/>
        <v>518500</v>
      </c>
      <c r="O64" s="323">
        <f t="shared" si="8"/>
        <v>703859</v>
      </c>
      <c r="P64" s="320">
        <v>689.52</v>
      </c>
      <c r="Q64" s="323">
        <f>(('Table 8 2.1.12 MFP Funded'!G62+'Table 8 2.1.12 MFP Funded'!H62+'Table 8 2.1.12 MFP Funded'!I62+'Table 8 2.1.12 MFP Funded'!J62)*'Table 4 Level 3'!P64)+'Table 5A4_LSDVI'!G65+'Table 5A5_SSD'!G65+'Table 5C1A-Madison Prep'!G65+'Table 5C1B-DArbonne'!G65+'Table 5C1C-Intl_VIBE'!G65+'Table 5C1D-NOMMA'!G65+'Table 5C1E-LFNO'!G65+'Table 5C1F-Lake Charles Charter'!G65+'Table 5C2 - LA Virtual Admy'!G62+'Table 5C3 - LA Connections EBR'!G62+'Table 5D1 - New Vision'!F65+'Table 5D2 - Glencoe'!F65+'Table 5D3 - International'!F65+'Table 5D4 - Avoyelles'!F65+'Table 5D5 - Delhi'!F65+'Table 5D6 - Milestone'!F65+'Table 5D7 - Max'!F65+'Table 5D8 - Belle Chasse'!H65</f>
        <v>3573989.0160000003</v>
      </c>
      <c r="R64" s="323">
        <f t="shared" si="9"/>
        <v>4277848.0160000008</v>
      </c>
      <c r="T64" s="23">
        <f t="shared" si="16"/>
        <v>689.52</v>
      </c>
      <c r="U64" s="1404">
        <f>'Table 8 2.1.12 MFP Funded'!G62+'Table 8 2.1.12 MFP Funded'!H62+'Table 8 2.1.12 MFP Funded'!I62+'Table 8 2.1.12 MFP Funded'!J62</f>
        <v>5160</v>
      </c>
      <c r="V64" s="426">
        <f t="shared" si="11"/>
        <v>3557923.1999999997</v>
      </c>
    </row>
    <row r="65" spans="1:23">
      <c r="A65" s="102">
        <v>60</v>
      </c>
      <c r="B65" s="312" t="s">
        <v>160</v>
      </c>
      <c r="C65" s="334">
        <v>0</v>
      </c>
      <c r="D65" s="334">
        <v>0</v>
      </c>
      <c r="E65" s="334">
        <f t="shared" si="6"/>
        <v>0</v>
      </c>
      <c r="F65" s="335">
        <f>'[5]Table 4 Level 3'!F65+'[5]Table 4 Level 3'!H65</f>
        <v>0</v>
      </c>
      <c r="G65" s="335">
        <f t="shared" si="12"/>
        <v>0</v>
      </c>
      <c r="H65" s="335">
        <f t="shared" si="7"/>
        <v>0</v>
      </c>
      <c r="I65" s="333">
        <f>IF(F65&lt;0,0,'Table 3 Levels 1&amp;2'!C67)</f>
        <v>6474</v>
      </c>
      <c r="J65" s="330">
        <f t="shared" si="13"/>
        <v>231440</v>
      </c>
      <c r="K65" s="331">
        <v>0</v>
      </c>
      <c r="L65" s="330">
        <f t="shared" si="14"/>
        <v>0</v>
      </c>
      <c r="M65" s="333">
        <f>'Table 3 Levels 1&amp;2'!C67</f>
        <v>6474</v>
      </c>
      <c r="N65" s="330">
        <f t="shared" si="15"/>
        <v>647400</v>
      </c>
      <c r="O65" s="330">
        <f t="shared" si="8"/>
        <v>878840</v>
      </c>
      <c r="P65" s="329">
        <v>594.04</v>
      </c>
      <c r="Q65" s="330">
        <f>(('Table 8 2.1.12 MFP Funded'!G63+'Table 8 2.1.12 MFP Funded'!H63+'Table 8 2.1.12 MFP Funded'!I63+'Table 8 2.1.12 MFP Funded'!J63)*'Table 4 Level 3'!P65)+'Table 5A4_LSDVI'!G66+'Table 5A5_SSD'!G66+'Table 5C1A-Madison Prep'!G66+'Table 5C1B-DArbonne'!G66+'Table 5C1C-Intl_VIBE'!G66+'Table 5C1D-NOMMA'!G66+'Table 5C1E-LFNO'!G66+'Table 5C1F-Lake Charles Charter'!G66+'Table 5C2 - LA Virtual Admy'!G63+'Table 5C3 - LA Connections EBR'!G63+'Table 5D1 - New Vision'!F66+'Table 5D2 - Glencoe'!F66+'Table 5D3 - International'!F66+'Table 5D4 - Avoyelles'!F66+'Table 5D5 - Delhi'!F66+'Table 5D6 - Milestone'!F66+'Table 5D7 - Max'!F66+'Table 5D8 - Belle Chasse'!H66</f>
        <v>3843854.628</v>
      </c>
      <c r="R65" s="330">
        <f t="shared" si="9"/>
        <v>4722694.6280000005</v>
      </c>
      <c r="T65" s="23">
        <f t="shared" si="16"/>
        <v>594.04</v>
      </c>
      <c r="U65" s="1404">
        <f>'Table 8 2.1.12 MFP Funded'!G63+'Table 8 2.1.12 MFP Funded'!H63+'Table 8 2.1.12 MFP Funded'!I63+'Table 8 2.1.12 MFP Funded'!J63</f>
        <v>6435</v>
      </c>
      <c r="V65" s="426">
        <f t="shared" si="11"/>
        <v>3822647.4</v>
      </c>
    </row>
    <row r="66" spans="1:23">
      <c r="A66" s="101">
        <v>61</v>
      </c>
      <c r="B66" s="311" t="s">
        <v>161</v>
      </c>
      <c r="C66" s="327">
        <v>0</v>
      </c>
      <c r="D66" s="327">
        <v>0</v>
      </c>
      <c r="E66" s="327">
        <f t="shared" si="6"/>
        <v>0</v>
      </c>
      <c r="F66" s="328">
        <f>'[5]Table 4 Level 3'!F66+'[5]Table 4 Level 3'!H66</f>
        <v>0</v>
      </c>
      <c r="G66" s="328">
        <f t="shared" si="12"/>
        <v>0</v>
      </c>
      <c r="H66" s="328">
        <f t="shared" si="7"/>
        <v>0</v>
      </c>
      <c r="I66" s="326">
        <f>IF(F66&lt;0,0,'Table 3 Levels 1&amp;2'!C68)</f>
        <v>3547</v>
      </c>
      <c r="J66" s="323">
        <f t="shared" si="13"/>
        <v>126802</v>
      </c>
      <c r="K66" s="324">
        <v>0</v>
      </c>
      <c r="L66" s="323">
        <f t="shared" si="14"/>
        <v>0</v>
      </c>
      <c r="M66" s="326">
        <f>'Table 3 Levels 1&amp;2'!C68</f>
        <v>3547</v>
      </c>
      <c r="N66" s="323">
        <f t="shared" si="15"/>
        <v>354700</v>
      </c>
      <c r="O66" s="323">
        <f t="shared" si="8"/>
        <v>481502</v>
      </c>
      <c r="P66" s="320">
        <v>833.70999999999992</v>
      </c>
      <c r="Q66" s="323">
        <f>(('Table 8 2.1.12 MFP Funded'!G64+'Table 8 2.1.12 MFP Funded'!H64+'Table 8 2.1.12 MFP Funded'!I64+'Table 8 2.1.12 MFP Funded'!J64)*'Table 4 Level 3'!P66)+'Table 5A4_LSDVI'!G67+'Table 5A5_SSD'!G67+'Table 5C1A-Madison Prep'!G67+'Table 5C1B-DArbonne'!G67+'Table 5C1C-Intl_VIBE'!G67+'Table 5C1D-NOMMA'!G67+'Table 5C1E-LFNO'!G67+'Table 5C1F-Lake Charles Charter'!G67+'Table 5C2 - LA Virtual Admy'!G64+'Table 5C3 - LA Connections EBR'!G64+'Table 5D1 - New Vision'!F67+'Table 5D2 - Glencoe'!F67+'Table 5D3 - International'!F67+'Table 5D4 - Avoyelles'!F67+'Table 5D5 - Delhi'!F67+'Table 5D6 - Milestone'!F67+'Table 5D7 - Max'!F67+'Table 5D8 - Belle Chasse'!H67</f>
        <v>2955835.4339999999</v>
      </c>
      <c r="R66" s="323">
        <f t="shared" si="9"/>
        <v>3437337.4339999999</v>
      </c>
      <c r="T66" s="23">
        <f t="shared" si="16"/>
        <v>833.70999999999992</v>
      </c>
      <c r="U66" s="1404">
        <f>'Table 8 2.1.12 MFP Funded'!G64+'Table 8 2.1.12 MFP Funded'!H64+'Table 8 2.1.12 MFP Funded'!I64+'Table 8 2.1.12 MFP Funded'!J64</f>
        <v>3521</v>
      </c>
      <c r="V66" s="426">
        <f t="shared" si="11"/>
        <v>2935492.9099999997</v>
      </c>
    </row>
    <row r="67" spans="1:23">
      <c r="A67" s="101">
        <v>62</v>
      </c>
      <c r="B67" s="311" t="s">
        <v>162</v>
      </c>
      <c r="C67" s="327">
        <v>0</v>
      </c>
      <c r="D67" s="327">
        <v>0</v>
      </c>
      <c r="E67" s="327">
        <f t="shared" si="6"/>
        <v>0</v>
      </c>
      <c r="F67" s="328">
        <f>'[5]Table 4 Level 3'!F67+'[5]Table 4 Level 3'!H67</f>
        <v>0</v>
      </c>
      <c r="G67" s="328">
        <f t="shared" si="12"/>
        <v>0</v>
      </c>
      <c r="H67" s="328">
        <f t="shared" si="7"/>
        <v>0</v>
      </c>
      <c r="I67" s="326">
        <f>IF(F67&lt;0,0,'Table 3 Levels 1&amp;2'!C69)</f>
        <v>2133</v>
      </c>
      <c r="J67" s="323">
        <f t="shared" si="13"/>
        <v>76253</v>
      </c>
      <c r="K67" s="324">
        <v>0</v>
      </c>
      <c r="L67" s="323">
        <f t="shared" si="14"/>
        <v>0</v>
      </c>
      <c r="M67" s="326">
        <f>'Table 3 Levels 1&amp;2'!C69</f>
        <v>2133</v>
      </c>
      <c r="N67" s="323">
        <f t="shared" si="15"/>
        <v>213300</v>
      </c>
      <c r="O67" s="323">
        <f t="shared" si="8"/>
        <v>289553</v>
      </c>
      <c r="P67" s="320">
        <v>516.08000000000004</v>
      </c>
      <c r="Q67" s="323">
        <f>(('Table 8 2.1.12 MFP Funded'!G65+'Table 8 2.1.12 MFP Funded'!H65+'Table 8 2.1.12 MFP Funded'!I65+'Table 8 2.1.12 MFP Funded'!J65)*'Table 4 Level 3'!P67)+'Table 5A4_LSDVI'!G68+'Table 5A5_SSD'!G68+'Table 5C1A-Madison Prep'!G68+'Table 5C1B-DArbonne'!G68+'Table 5C1C-Intl_VIBE'!G68+'Table 5C1D-NOMMA'!G68+'Table 5C1E-LFNO'!G68+'Table 5C1F-Lake Charles Charter'!G68+'Table 5C2 - LA Virtual Admy'!G65+'Table 5C3 - LA Connections EBR'!G65+'Table 5D1 - New Vision'!F68+'Table 5D2 - Glencoe'!F68+'Table 5D3 - International'!F68+'Table 5D4 - Avoyelles'!F68+'Table 5D5 - Delhi'!F68+'Table 5D6 - Milestone'!F68+'Table 5D7 - Max'!F68+'Table 5D8 - Belle Chasse'!H68</f>
        <v>1100983.0658683875</v>
      </c>
      <c r="R67" s="323">
        <f t="shared" si="9"/>
        <v>1390536.0658683875</v>
      </c>
      <c r="T67" s="23">
        <f t="shared" si="16"/>
        <v>516.08000000000004</v>
      </c>
      <c r="U67" s="1404">
        <f>'Table 8 2.1.12 MFP Funded'!G65+'Table 8 2.1.12 MFP Funded'!H65+'Table 8 2.1.12 MFP Funded'!I65+'Table 8 2.1.12 MFP Funded'!J65</f>
        <v>2097</v>
      </c>
      <c r="V67" s="426">
        <f t="shared" si="11"/>
        <v>1082219.76</v>
      </c>
    </row>
    <row r="68" spans="1:23">
      <c r="A68" s="101">
        <v>63</v>
      </c>
      <c r="B68" s="311" t="s">
        <v>163</v>
      </c>
      <c r="C68" s="327">
        <v>5908357</v>
      </c>
      <c r="D68" s="327">
        <v>680156</v>
      </c>
      <c r="E68" s="327">
        <f t="shared" si="6"/>
        <v>5228201</v>
      </c>
      <c r="F68" s="328">
        <f>'[5]Table 4 Level 3'!F68+'[5]Table 4 Level 3'!H68</f>
        <v>-2614100</v>
      </c>
      <c r="G68" s="328">
        <f t="shared" si="12"/>
        <v>2614101</v>
      </c>
      <c r="H68" s="328">
        <f t="shared" si="7"/>
        <v>-522820</v>
      </c>
      <c r="I68" s="326">
        <f>IF(F68&lt;0,0,'Table 3 Levels 1&amp;2'!C70)</f>
        <v>0</v>
      </c>
      <c r="J68" s="323">
        <f t="shared" si="13"/>
        <v>0</v>
      </c>
      <c r="K68" s="324">
        <v>0</v>
      </c>
      <c r="L68" s="323">
        <f t="shared" si="14"/>
        <v>0</v>
      </c>
      <c r="M68" s="326">
        <f>'Table 3 Levels 1&amp;2'!C70</f>
        <v>2036</v>
      </c>
      <c r="N68" s="323">
        <f t="shared" si="15"/>
        <v>203600</v>
      </c>
      <c r="O68" s="323">
        <f t="shared" si="8"/>
        <v>2975037</v>
      </c>
      <c r="P68" s="320">
        <v>756.79</v>
      </c>
      <c r="Q68" s="323">
        <f>(('Table 8 2.1.12 MFP Funded'!G66+'Table 8 2.1.12 MFP Funded'!H66+'Table 8 2.1.12 MFP Funded'!I66+'Table 8 2.1.12 MFP Funded'!J66)*'Table 4 Level 3'!P68)+'Table 5A4_LSDVI'!G69+'Table 5A5_SSD'!G69+'Table 5C1A-Madison Prep'!G69+'Table 5C1B-DArbonne'!G69+'Table 5C1C-Intl_VIBE'!G69+'Table 5C1D-NOMMA'!G69+'Table 5C1E-LFNO'!G69+'Table 5C1F-Lake Charles Charter'!G69+'Table 5C2 - LA Virtual Admy'!G66+'Table 5C3 - LA Connections EBR'!G66+'Table 5D1 - New Vision'!F69+'Table 5D2 - Glencoe'!F69+'Table 5D3 - International'!F69+'Table 5D4 - Avoyelles'!F69+'Table 5D5 - Delhi'!F69+'Table 5D6 - Milestone'!F69+'Table 5D7 - Max'!F69+'Table 5D8 - Belle Chasse'!H69</f>
        <v>1540370.3659999999</v>
      </c>
      <c r="R68" s="323">
        <f t="shared" si="9"/>
        <v>4515407.3660000004</v>
      </c>
      <c r="T68" s="23">
        <f t="shared" si="16"/>
        <v>756.79</v>
      </c>
      <c r="U68" s="1404">
        <f>'Table 8 2.1.12 MFP Funded'!G66+'Table 8 2.1.12 MFP Funded'!H66+'Table 8 2.1.12 MFP Funded'!I66+'Table 8 2.1.12 MFP Funded'!J66</f>
        <v>2028</v>
      </c>
      <c r="V68" s="426">
        <f t="shared" si="11"/>
        <v>1534770.1199999999</v>
      </c>
    </row>
    <row r="69" spans="1:23">
      <c r="A69" s="101">
        <v>64</v>
      </c>
      <c r="B69" s="311" t="s">
        <v>164</v>
      </c>
      <c r="C69" s="327">
        <v>0</v>
      </c>
      <c r="D69" s="327">
        <v>0</v>
      </c>
      <c r="E69" s="327">
        <f t="shared" si="6"/>
        <v>0</v>
      </c>
      <c r="F69" s="328">
        <f>'[5]Table 4 Level 3'!F69+'[5]Table 4 Level 3'!H69</f>
        <v>0</v>
      </c>
      <c r="G69" s="328">
        <f t="shared" si="12"/>
        <v>0</v>
      </c>
      <c r="H69" s="328">
        <f t="shared" si="7"/>
        <v>0</v>
      </c>
      <c r="I69" s="326">
        <f>IF(F69&lt;0,0,'Table 3 Levels 1&amp;2'!C71)</f>
        <v>2422</v>
      </c>
      <c r="J69" s="323">
        <f t="shared" si="13"/>
        <v>86584</v>
      </c>
      <c r="K69" s="324">
        <v>0</v>
      </c>
      <c r="L69" s="323">
        <f t="shared" si="14"/>
        <v>0</v>
      </c>
      <c r="M69" s="326">
        <f>'Table 3 Levels 1&amp;2'!C71</f>
        <v>2422</v>
      </c>
      <c r="N69" s="323">
        <f t="shared" si="15"/>
        <v>242200</v>
      </c>
      <c r="O69" s="323">
        <f t="shared" si="8"/>
        <v>328784</v>
      </c>
      <c r="P69" s="320">
        <v>592.66</v>
      </c>
      <c r="Q69" s="323">
        <f>(('Table 8 2.1.12 MFP Funded'!G67+'Table 8 2.1.12 MFP Funded'!H67+'Table 8 2.1.12 MFP Funded'!I67+'Table 8 2.1.12 MFP Funded'!J67)*'Table 4 Level 3'!P69)+'Table 5A4_LSDVI'!G70+'Table 5A5_SSD'!G70+'Table 5C1A-Madison Prep'!G70+'Table 5C1B-DArbonne'!G70+'Table 5C1C-Intl_VIBE'!G70+'Table 5C1D-NOMMA'!G70+'Table 5C1E-LFNO'!G70+'Table 5C1F-Lake Charles Charter'!G70+'Table 5C2 - LA Virtual Admy'!G67+'Table 5C3 - LA Connections EBR'!G67+'Table 5D1 - New Vision'!F70+'Table 5D2 - Glencoe'!F70+'Table 5D3 - International'!F70+'Table 5D4 - Avoyelles'!F70+'Table 5D5 - Delhi'!F70+'Table 5D6 - Milestone'!F70+'Table 5D7 - Max'!F70+'Table 5D8 - Belle Chasse'!H70</f>
        <v>1435244.7219999998</v>
      </c>
      <c r="R69" s="323">
        <f t="shared" si="9"/>
        <v>1764028.7219999998</v>
      </c>
      <c r="T69" s="23">
        <f t="shared" si="16"/>
        <v>592.66</v>
      </c>
      <c r="U69" s="1404">
        <f>'Table 8 2.1.12 MFP Funded'!G67+'Table 8 2.1.12 MFP Funded'!H67+'Table 8 2.1.12 MFP Funded'!I67+'Table 8 2.1.12 MFP Funded'!J67</f>
        <v>2417</v>
      </c>
      <c r="V69" s="426">
        <f t="shared" si="11"/>
        <v>1432459.22</v>
      </c>
    </row>
    <row r="70" spans="1:23">
      <c r="A70" s="102">
        <v>65</v>
      </c>
      <c r="B70" s="312" t="s">
        <v>165</v>
      </c>
      <c r="C70" s="334">
        <v>0</v>
      </c>
      <c r="D70" s="334">
        <v>0</v>
      </c>
      <c r="E70" s="334">
        <f t="shared" si="6"/>
        <v>0</v>
      </c>
      <c r="F70" s="335">
        <f>'[5]Table 4 Level 3'!F70+'[5]Table 4 Level 3'!H70</f>
        <v>0</v>
      </c>
      <c r="G70" s="335">
        <f>SUM(E70:F70)</f>
        <v>0</v>
      </c>
      <c r="H70" s="335">
        <f t="shared" si="7"/>
        <v>0</v>
      </c>
      <c r="I70" s="333">
        <f>IF(F70&lt;0,0,'Table 3 Levels 1&amp;2'!C72)</f>
        <v>8587</v>
      </c>
      <c r="J70" s="330">
        <f>ROUND($J$4*I70,0)</f>
        <v>306978</v>
      </c>
      <c r="K70" s="337">
        <v>0</v>
      </c>
      <c r="L70" s="330">
        <f>ROUND($L$4*K70,0)</f>
        <v>0</v>
      </c>
      <c r="M70" s="333">
        <f>'Table 3 Levels 1&amp;2'!C72</f>
        <v>8587</v>
      </c>
      <c r="N70" s="330">
        <f>ROUND(M70*$N$4,0)</f>
        <v>858700</v>
      </c>
      <c r="O70" s="330">
        <f t="shared" si="8"/>
        <v>1165678</v>
      </c>
      <c r="P70" s="329">
        <v>829.12</v>
      </c>
      <c r="Q70" s="330">
        <f>(('Table 8 2.1.12 MFP Funded'!G68+'Table 8 2.1.12 MFP Funded'!H68+'Table 8 2.1.12 MFP Funded'!I68+'Table 8 2.1.12 MFP Funded'!J68)*'Table 4 Level 3'!P70)+'Table 5A4_LSDVI'!G71+'Table 5A5_SSD'!G71+'Table 5C1A-Madison Prep'!G71+'Table 5C1B-DArbonne'!G71+'Table 5C1C-Intl_VIBE'!G71+'Table 5C1D-NOMMA'!G71+'Table 5C1E-LFNO'!G71+'Table 5C1F-Lake Charles Charter'!G71+'Table 5C2 - LA Virtual Admy'!G68+'Table 5C3 - LA Connections EBR'!G68+'Table 5D1 - New Vision'!F71+'Table 5D2 - Glencoe'!F71+'Table 5D3 - International'!F71+'Table 5D4 - Avoyelles'!F71+'Table 5D5 - Delhi'!F71+'Table 5D6 - Milestone'!F71+'Table 5D7 - Max'!F71+'Table 5D8 - Belle Chasse'!H71</f>
        <v>7098877.4744175086</v>
      </c>
      <c r="R70" s="330">
        <f t="shared" si="9"/>
        <v>8264555.4744175086</v>
      </c>
      <c r="T70" s="23">
        <f t="shared" si="16"/>
        <v>829.12</v>
      </c>
      <c r="U70" s="1404">
        <f>'Table 8 2.1.12 MFP Funded'!G68+'Table 8 2.1.12 MFP Funded'!H68+'Table 8 2.1.12 MFP Funded'!I68+'Table 8 2.1.12 MFP Funded'!J68</f>
        <v>8398</v>
      </c>
      <c r="V70" s="426">
        <f t="shared" si="11"/>
        <v>6962949.7599999998</v>
      </c>
    </row>
    <row r="71" spans="1:23">
      <c r="A71" s="136">
        <v>66</v>
      </c>
      <c r="B71" s="313" t="s">
        <v>166</v>
      </c>
      <c r="C71" s="340">
        <v>0</v>
      </c>
      <c r="D71" s="340">
        <v>0</v>
      </c>
      <c r="E71" s="340">
        <f>C71-D71</f>
        <v>0</v>
      </c>
      <c r="F71" s="341">
        <f>'[5]Table 4 Level 3'!F71+'[5]Table 4 Level 3'!H71</f>
        <v>0</v>
      </c>
      <c r="G71" s="341">
        <f>SUM(E71:F71)</f>
        <v>0</v>
      </c>
      <c r="H71" s="341">
        <f t="shared" ref="H71:H74" si="17">ROUND(-G71/5,0)</f>
        <v>0</v>
      </c>
      <c r="I71" s="339">
        <f>IF(F71&lt;0,0,'Table 3 Levels 1&amp;2'!C73)</f>
        <v>2059</v>
      </c>
      <c r="J71" s="321">
        <f>ROUND($J$4*I71,0)</f>
        <v>73607</v>
      </c>
      <c r="K71" s="338">
        <v>0</v>
      </c>
      <c r="L71" s="321">
        <f>ROUND($L$4*K71,0)</f>
        <v>0</v>
      </c>
      <c r="M71" s="339">
        <f>'Table 3 Levels 1&amp;2'!C73</f>
        <v>2059</v>
      </c>
      <c r="N71" s="321">
        <f>ROUND(M71*$N$4,0)</f>
        <v>205900</v>
      </c>
      <c r="O71" s="321">
        <f>D71+E71+F71+H71+J71+L71+N71</f>
        <v>279507</v>
      </c>
      <c r="P71" s="322">
        <v>730.06</v>
      </c>
      <c r="Q71" s="321">
        <f>(('Table 8 2.1.12 MFP Funded'!G69+'Table 8 2.1.12 MFP Funded'!H69+'Table 8 2.1.12 MFP Funded'!I69+'Table 8 2.1.12 MFP Funded'!J69)*'Table 4 Level 3'!P71)+'Table 5A4_LSDVI'!G72+'Table 5A5_SSD'!G72+'Table 5C1A-Madison Prep'!G72+'Table 5C1B-DArbonne'!G72+'Table 5C1C-Intl_VIBE'!G72+'Table 5C1D-NOMMA'!G72+'Table 5C1E-LFNO'!G72+'Table 5C1F-Lake Charles Charter'!G72+'Table 5C2 - LA Virtual Admy'!G69+'Table 5C3 - LA Connections EBR'!G69+'Table 5D1 - New Vision'!F72+'Table 5D2 - Glencoe'!F72+'Table 5D3 - International'!F72+'Table 5D4 - Avoyelles'!F72+'Table 5D5 - Delhi'!F72+'Table 5D6 - Milestone'!F72+'Table 5D7 - Max'!F72+'Table 5D8 - Belle Chasse'!H72</f>
        <v>1502828.51</v>
      </c>
      <c r="R71" s="321">
        <f>O71+Q71</f>
        <v>1782335.51</v>
      </c>
      <c r="T71" s="23">
        <f t="shared" si="16"/>
        <v>730.06</v>
      </c>
      <c r="U71" s="1404">
        <f>'Table 8 2.1.12 MFP Funded'!G69+'Table 8 2.1.12 MFP Funded'!H69+'Table 8 2.1.12 MFP Funded'!I69+'Table 8 2.1.12 MFP Funded'!J69</f>
        <v>2052</v>
      </c>
      <c r="V71" s="426">
        <f t="shared" ref="V71:V74" si="18">U71*T71</f>
        <v>1498083.1199999999</v>
      </c>
    </row>
    <row r="72" spans="1:23">
      <c r="A72" s="360">
        <v>67</v>
      </c>
      <c r="B72" s="314" t="s">
        <v>33</v>
      </c>
      <c r="C72" s="327">
        <v>0</v>
      </c>
      <c r="D72" s="327">
        <v>0</v>
      </c>
      <c r="E72" s="327">
        <f>C72-D72</f>
        <v>0</v>
      </c>
      <c r="F72" s="328">
        <f>'[5]Table 4 Level 3'!F72+'[5]Table 4 Level 3'!H72</f>
        <v>0</v>
      </c>
      <c r="G72" s="328">
        <f>SUM(E72:F72)</f>
        <v>0</v>
      </c>
      <c r="H72" s="328">
        <f t="shared" si="17"/>
        <v>0</v>
      </c>
      <c r="I72" s="326">
        <f>IF(F72&lt;0,0,'Table 3 Levels 1&amp;2'!C74)</f>
        <v>5071</v>
      </c>
      <c r="J72" s="323">
        <f>ROUND($J$4*I72,0)</f>
        <v>181284</v>
      </c>
      <c r="K72" s="324">
        <v>0</v>
      </c>
      <c r="L72" s="323">
        <f>ROUND($L$4*K72,0)</f>
        <v>0</v>
      </c>
      <c r="M72" s="326">
        <f>'Table 3 Levels 1&amp;2'!C74</f>
        <v>5071</v>
      </c>
      <c r="N72" s="323">
        <f>ROUND(M72*$N$4,0)</f>
        <v>507100</v>
      </c>
      <c r="O72" s="323">
        <f>D72+E72+F72+H72+J72+L72+N72</f>
        <v>688384</v>
      </c>
      <c r="P72" s="320">
        <v>715.61</v>
      </c>
      <c r="Q72" s="323">
        <f>(('Table 8 2.1.12 MFP Funded'!G70+'Table 8 2.1.12 MFP Funded'!H70+'Table 8 2.1.12 MFP Funded'!I70+'Table 8 2.1.12 MFP Funded'!J70)*'Table 4 Level 3'!P72)+'Table 5A4_LSDVI'!G73+'Table 5A5_SSD'!G73+'Table 5C1A-Madison Prep'!G73+'Table 5C1B-DArbonne'!G73+'Table 5C1C-Intl_VIBE'!G73+'Table 5C1D-NOMMA'!G73+'Table 5C1E-LFNO'!G73+'Table 5C1F-Lake Charles Charter'!G73+'Table 5C2 - LA Virtual Admy'!G70+'Table 5C3 - LA Connections EBR'!G70+'Table 5D1 - New Vision'!F73+'Table 5D2 - Glencoe'!F73+'Table 5D3 - International'!F73+'Table 5D4 - Avoyelles'!F73+'Table 5D5 - Delhi'!F73+'Table 5D6 - Milestone'!F73+'Table 5D7 - Max'!F73+'Table 5D8 - Belle Chasse'!H73</f>
        <v>3628428.9440000006</v>
      </c>
      <c r="R72" s="323">
        <f>O72+Q72</f>
        <v>4316812.9440000001</v>
      </c>
      <c r="T72" s="23">
        <f t="shared" si="16"/>
        <v>715.61</v>
      </c>
      <c r="U72" s="1404">
        <f>'Table 8 2.1.12 MFP Funded'!G70+'Table 8 2.1.12 MFP Funded'!H70+'Table 8 2.1.12 MFP Funded'!I70+'Table 8 2.1.12 MFP Funded'!J70</f>
        <v>5057</v>
      </c>
      <c r="V72" s="426">
        <f t="shared" si="18"/>
        <v>3618839.77</v>
      </c>
    </row>
    <row r="73" spans="1:23">
      <c r="A73" s="101">
        <v>68</v>
      </c>
      <c r="B73" s="311" t="s">
        <v>31</v>
      </c>
      <c r="C73" s="327">
        <v>0</v>
      </c>
      <c r="D73" s="327">
        <v>0</v>
      </c>
      <c r="E73" s="327">
        <f>C73-D73</f>
        <v>0</v>
      </c>
      <c r="F73" s="328">
        <f>'[5]Table 4 Level 3'!F73+'[5]Table 4 Level 3'!H73</f>
        <v>0</v>
      </c>
      <c r="G73" s="328">
        <f>SUM(E73:F73)</f>
        <v>0</v>
      </c>
      <c r="H73" s="328">
        <f t="shared" si="17"/>
        <v>0</v>
      </c>
      <c r="I73" s="326">
        <f>IF(F73&lt;0,0,'Table 3 Levels 1&amp;2'!C75)</f>
        <v>1772</v>
      </c>
      <c r="J73" s="323">
        <f>ROUND($J$4*I73,0)</f>
        <v>63347</v>
      </c>
      <c r="K73" s="324">
        <v>0</v>
      </c>
      <c r="L73" s="323">
        <f>ROUND($L$4*K73,0)</f>
        <v>0</v>
      </c>
      <c r="M73" s="326">
        <f>'Table 3 Levels 1&amp;2'!C75</f>
        <v>1772</v>
      </c>
      <c r="N73" s="323">
        <f>ROUND(M73*$N$4,0)</f>
        <v>177200</v>
      </c>
      <c r="O73" s="323">
        <f>D73+E73+F73+H73+J73+L73+N73</f>
        <v>240547</v>
      </c>
      <c r="P73" s="320">
        <v>798.7</v>
      </c>
      <c r="Q73" s="323">
        <f>(('Table 8 2.1.12 MFP Funded'!G71+'Table 8 2.1.12 MFP Funded'!H71+'Table 8 2.1.12 MFP Funded'!I71+'Table 8 2.1.12 MFP Funded'!J71)*'Table 4 Level 3'!P73)+'Table 5A4_LSDVI'!G74+'Table 5A5_SSD'!G74+'Table 5C1A-Madison Prep'!G74+'Table 5C1B-DArbonne'!G74+'Table 5C1C-Intl_VIBE'!G74+'Table 5C1D-NOMMA'!G74+'Table 5C1E-LFNO'!G74+'Table 5C1F-Lake Charles Charter'!G74+'Table 5C2 - LA Virtual Admy'!G71+'Table 5C3 - LA Connections EBR'!G71+'Table 5D1 - New Vision'!F74+'Table 5D2 - Glencoe'!F74+'Table 5D3 - International'!F74+'Table 5D4 - Avoyelles'!F74+'Table 5D5 - Delhi'!F74+'Table 5D6 - Milestone'!F74+'Table 5D7 - Max'!F74+'Table 5D8 - Belle Chasse'!H74</f>
        <v>1414897.0500000003</v>
      </c>
      <c r="R73" s="323">
        <f>O73+Q73</f>
        <v>1655444.0500000003</v>
      </c>
      <c r="T73" s="23">
        <f t="shared" si="16"/>
        <v>798.7</v>
      </c>
      <c r="U73" s="1404">
        <f>'Table 8 2.1.12 MFP Funded'!G71+'Table 8 2.1.12 MFP Funded'!H71+'Table 8 2.1.12 MFP Funded'!I71+'Table 8 2.1.12 MFP Funded'!J71</f>
        <v>1758</v>
      </c>
      <c r="V73" s="426">
        <f t="shared" si="18"/>
        <v>1404114.6</v>
      </c>
    </row>
    <row r="74" spans="1:23">
      <c r="A74" s="102">
        <v>69</v>
      </c>
      <c r="B74" s="312" t="s">
        <v>235</v>
      </c>
      <c r="C74" s="334">
        <v>0</v>
      </c>
      <c r="D74" s="334">
        <v>0</v>
      </c>
      <c r="E74" s="334">
        <f>C74-D74</f>
        <v>0</v>
      </c>
      <c r="F74" s="335">
        <f>'[5]Table 4 Level 3'!F74+'[5]Table 4 Level 3'!H74</f>
        <v>0</v>
      </c>
      <c r="G74" s="335">
        <f>SUM(E74:F74)</f>
        <v>0</v>
      </c>
      <c r="H74" s="335">
        <f t="shared" si="17"/>
        <v>0</v>
      </c>
      <c r="I74" s="333">
        <f>IF(F74&lt;0,0,'Table 3 Levels 1&amp;2'!C76)</f>
        <v>3943</v>
      </c>
      <c r="J74" s="330">
        <f>ROUND($J$4*I74,0)</f>
        <v>140959</v>
      </c>
      <c r="K74" s="337">
        <v>0</v>
      </c>
      <c r="L74" s="330">
        <f>ROUND($L$4*K74,0)</f>
        <v>0</v>
      </c>
      <c r="M74" s="333">
        <f>'Table 3 Levels 1&amp;2'!C76</f>
        <v>3943</v>
      </c>
      <c r="N74" s="330">
        <f>ROUND(M74*$N$4,0)</f>
        <v>394300</v>
      </c>
      <c r="O74" s="330">
        <f>D74+E74+F74+H74+J74+L74+N74</f>
        <v>535259</v>
      </c>
      <c r="P74" s="329">
        <v>705.67</v>
      </c>
      <c r="Q74" s="330">
        <f>(('Table 8 2.1.12 MFP Funded'!G72+'Table 8 2.1.12 MFP Funded'!H72+'Table 8 2.1.12 MFP Funded'!I72+'Table 8 2.1.12 MFP Funded'!J72)*'Table 4 Level 3'!P74)+'Table 5A4_LSDVI'!G75+'Table 5A5_SSD'!G75+'Table 5C1A-Madison Prep'!G75+'Table 5C1B-DArbonne'!G75+'Table 5C1C-Intl_VIBE'!G75+'Table 5C1D-NOMMA'!G75+'Table 5C1E-LFNO'!G75+'Table 5C1F-Lake Charles Charter'!G75+'Table 5C2 - LA Virtual Admy'!G72+'Table 5C3 - LA Connections EBR'!G72+'Table 5D1 - New Vision'!F75+'Table 5D2 - Glencoe'!F75+'Table 5D3 - International'!F75+'Table 5D4 - Avoyelles'!F75+'Table 5D5 - Delhi'!F75+'Table 5D6 - Milestone'!F75+'Table 5D7 - Max'!F75+'Table 5D8 - Belle Chasse'!H75</f>
        <v>2781680.5729999994</v>
      </c>
      <c r="R74" s="330">
        <f>O74+Q74</f>
        <v>3316939.5729999994</v>
      </c>
      <c r="T74" s="23">
        <f t="shared" si="16"/>
        <v>705.67</v>
      </c>
      <c r="U74" s="1404">
        <f>'Table 8 2.1.12 MFP Funded'!G72+'Table 8 2.1.12 MFP Funded'!H72+'Table 8 2.1.12 MFP Funded'!I72+'Table 8 2.1.12 MFP Funded'!J72</f>
        <v>3927</v>
      </c>
      <c r="V74" s="426">
        <f t="shared" si="18"/>
        <v>2771166.09</v>
      </c>
    </row>
    <row r="75" spans="1:23" s="8" customFormat="1" ht="13.5" thickBot="1">
      <c r="A75" s="428"/>
      <c r="B75" s="429" t="s">
        <v>167</v>
      </c>
      <c r="C75" s="492">
        <f t="shared" ref="C75:J75" si="19">SUM(C6:C74)</f>
        <v>76792933</v>
      </c>
      <c r="D75" s="492">
        <f t="shared" si="19"/>
        <v>38336714</v>
      </c>
      <c r="E75" s="492">
        <f t="shared" si="19"/>
        <v>38456219</v>
      </c>
      <c r="F75" s="493">
        <f t="shared" si="19"/>
        <v>-19857730</v>
      </c>
      <c r="G75" s="493">
        <f t="shared" si="19"/>
        <v>18598489</v>
      </c>
      <c r="H75" s="493">
        <f t="shared" si="19"/>
        <v>-3719696</v>
      </c>
      <c r="I75" s="494">
        <f t="shared" si="19"/>
        <v>555475</v>
      </c>
      <c r="J75" s="492">
        <f t="shared" si="19"/>
        <v>19857732</v>
      </c>
      <c r="K75" s="432">
        <f>SUM(K6:K74)</f>
        <v>218</v>
      </c>
      <c r="L75" s="433">
        <f>SUM(L6:L74)</f>
        <v>4360000</v>
      </c>
      <c r="M75" s="432">
        <f>SUM(M6:M74)</f>
        <v>676830</v>
      </c>
      <c r="N75" s="433">
        <f>SUM(N6:N74)</f>
        <v>67683000</v>
      </c>
      <c r="O75" s="433">
        <f>SUM(O6:O74)</f>
        <v>145116239</v>
      </c>
      <c r="P75" s="431">
        <v>703.90028204588873</v>
      </c>
      <c r="Q75" s="430">
        <f>SUM(Q6:Q74)</f>
        <v>477048859.84266078</v>
      </c>
      <c r="R75" s="433">
        <f>SUM(R6:R74)</f>
        <v>622165098.84266102</v>
      </c>
      <c r="T75" s="8">
        <v>703.90028204588873</v>
      </c>
      <c r="U75" s="8">
        <f>SUM(U6:U74)</f>
        <v>638111</v>
      </c>
      <c r="V75" s="1523">
        <f>SUM(V6:V74)</f>
        <v>448928145.26114637</v>
      </c>
    </row>
    <row r="76" spans="1:23" s="8" customFormat="1" ht="13.5" thickTop="1">
      <c r="A76" s="435"/>
      <c r="B76" s="438"/>
      <c r="C76" s="815"/>
      <c r="D76" s="815"/>
      <c r="E76" s="815"/>
      <c r="F76" s="816"/>
      <c r="G76" s="816"/>
      <c r="H76" s="1729" t="s">
        <v>797</v>
      </c>
      <c r="I76" s="817"/>
      <c r="J76" s="815"/>
      <c r="K76" s="1178"/>
      <c r="L76" s="1177"/>
      <c r="M76" s="818"/>
      <c r="N76" s="269"/>
      <c r="O76" s="269"/>
      <c r="P76" s="99"/>
      <c r="Q76" s="819"/>
      <c r="R76" s="269"/>
      <c r="V76" s="1525">
        <f>'Table 5A4_LSDVI'!G76+'Table 5A5_SSD'!G76+'Table 5B1_RSD_Orleans'!G70+'Table 5C1A-Madison Prep'!G76+'Table 5C1B-DArbonne'!G77+'Table 5C1C-Intl_VIBE'!G76+'Table 5C1D-NOMMA'!G76+'Table 5C1E-LFNO'!G76+'Table 5C1F-Lake Charles Charter'!G76+'Table 5C2 - LA Virtual Admy'!G73+'Table 5C3 - LA Connections EBR'!G73+'Table 5D1 - New Vision'!F76+'Table 5D2 - Glencoe'!F76+'Table 5D3 - International'!F76+'Table 5D4 - Avoyelles'!F76+'Table 5D5 - Delhi'!F76+'Table 5D6 - Milestone'!F76+'Table 5D7 - Max'!F76+'Table 5D8 - Belle Chasse'!H76+'Table 5F Scholarships'!C86</f>
        <v>28120714.581514467</v>
      </c>
    </row>
    <row r="77" spans="1:23" s="8" customFormat="1" ht="33" customHeight="1">
      <c r="A77" s="37"/>
      <c r="B77" s="38"/>
      <c r="C77" s="118"/>
      <c r="D77" s="118"/>
      <c r="E77" s="118"/>
      <c r="F77" s="118"/>
      <c r="G77" s="118"/>
      <c r="H77" s="1730"/>
      <c r="I77" s="118"/>
      <c r="J77" s="118"/>
      <c r="K77" s="118"/>
      <c r="L77" s="269"/>
      <c r="M77" s="118"/>
      <c r="N77" s="118"/>
      <c r="O77" s="118"/>
      <c r="P77" s="1753" t="s">
        <v>1455</v>
      </c>
      <c r="Q77" s="1753"/>
      <c r="R77" s="1753"/>
      <c r="V77" s="1523">
        <f>SUM(V75:V76)</f>
        <v>477048859.84266084</v>
      </c>
    </row>
    <row r="78" spans="1:23">
      <c r="A78" s="459"/>
      <c r="B78" s="474"/>
      <c r="C78" s="64"/>
      <c r="D78" s="64"/>
      <c r="E78" s="137"/>
      <c r="F78" s="201"/>
      <c r="G78" s="140"/>
      <c r="H78" s="1731"/>
      <c r="I78" s="140"/>
      <c r="J78" s="140"/>
      <c r="K78" s="140"/>
      <c r="L78" s="140"/>
      <c r="M78" s="64"/>
      <c r="N78" s="64"/>
      <c r="O78" s="64"/>
      <c r="U78" s="1529" t="s">
        <v>1314</v>
      </c>
      <c r="V78" s="1530"/>
      <c r="W78" s="833"/>
    </row>
    <row r="79" spans="1:23" ht="13.5" hidden="1" customHeight="1">
      <c r="A79" s="459"/>
      <c r="B79" s="474"/>
      <c r="C79" s="64"/>
      <c r="D79" s="64"/>
      <c r="E79" s="357"/>
      <c r="F79" s="140"/>
      <c r="G79" s="364" t="s">
        <v>212</v>
      </c>
      <c r="H79" s="439"/>
      <c r="I79" s="366"/>
      <c r="J79" s="365"/>
      <c r="K79" s="140"/>
      <c r="L79" s="140"/>
      <c r="M79" s="137"/>
      <c r="N79" s="137"/>
      <c r="O79" s="137">
        <f>SUM(O6:O74)</f>
        <v>145116239</v>
      </c>
      <c r="P79" s="1753"/>
      <c r="Q79" s="1753"/>
      <c r="R79" s="1753"/>
      <c r="V79" s="426"/>
    </row>
    <row r="80" spans="1:23" ht="12.75" hidden="1" customHeight="1">
      <c r="A80" s="459"/>
      <c r="B80" s="475"/>
      <c r="E80" s="23"/>
      <c r="G80" s="64" t="s">
        <v>213</v>
      </c>
      <c r="H80" s="357"/>
      <c r="I80" s="64"/>
      <c r="J80" s="64"/>
      <c r="K80" s="64"/>
      <c r="L80" s="64"/>
      <c r="P80" s="1750" t="s">
        <v>1193</v>
      </c>
      <c r="Q80" s="1750"/>
      <c r="R80" s="1750"/>
      <c r="S80" s="1299"/>
      <c r="T80" s="1299"/>
      <c r="U80" s="1299"/>
      <c r="V80" s="1299"/>
      <c r="W80" s="1299"/>
    </row>
    <row r="81" spans="1:18" hidden="1">
      <c r="A81" s="459"/>
      <c r="B81" s="474"/>
      <c r="G81" s="64" t="s">
        <v>214</v>
      </c>
      <c r="H81" s="440"/>
      <c r="I81" s="64"/>
      <c r="J81" s="64"/>
      <c r="K81" s="64"/>
      <c r="L81" s="64"/>
      <c r="P81" s="1750" t="s">
        <v>1194</v>
      </c>
      <c r="Q81" s="1750"/>
      <c r="R81" s="1750"/>
    </row>
    <row r="82" spans="1:18" hidden="1">
      <c r="A82" s="459"/>
      <c r="B82" s="474"/>
      <c r="G82" s="64"/>
      <c r="H82" s="64"/>
      <c r="I82" s="64"/>
      <c r="J82" s="64"/>
      <c r="K82" s="64"/>
      <c r="L82" s="64"/>
      <c r="P82" s="1751" t="s">
        <v>1195</v>
      </c>
      <c r="Q82" s="1752"/>
      <c r="R82" s="1752"/>
    </row>
    <row r="83" spans="1:18" hidden="1">
      <c r="A83" s="435"/>
      <c r="B83" s="438"/>
      <c r="G83" s="64" t="s">
        <v>215</v>
      </c>
      <c r="H83" s="64"/>
      <c r="I83" s="64"/>
      <c r="J83" s="64"/>
      <c r="K83" s="64"/>
      <c r="L83" s="64"/>
      <c r="P83" s="898"/>
    </row>
    <row r="84" spans="1:18" hidden="1">
      <c r="A84" s="435"/>
      <c r="B84" s="438"/>
      <c r="G84" s="349" t="s">
        <v>216</v>
      </c>
      <c r="H84" s="349"/>
      <c r="I84" s="349"/>
      <c r="J84" s="349"/>
      <c r="K84" s="64"/>
      <c r="L84" s="64"/>
    </row>
    <row r="85" spans="1:18" hidden="1">
      <c r="A85" s="64"/>
      <c r="B85" s="64"/>
    </row>
    <row r="86" spans="1:18" hidden="1"/>
    <row r="87" spans="1:18" hidden="1"/>
    <row r="88" spans="1:18" hidden="1"/>
  </sheetData>
  <mergeCells count="25">
    <mergeCell ref="P80:R80"/>
    <mergeCell ref="P81:R81"/>
    <mergeCell ref="P82:R82"/>
    <mergeCell ref="R2:R4"/>
    <mergeCell ref="P79:R79"/>
    <mergeCell ref="P77:R77"/>
    <mergeCell ref="C3:C4"/>
    <mergeCell ref="A2:A4"/>
    <mergeCell ref="B2:B4"/>
    <mergeCell ref="P3:P4"/>
    <mergeCell ref="Q3:Q4"/>
    <mergeCell ref="H3:H4"/>
    <mergeCell ref="I3:I4"/>
    <mergeCell ref="O2:O4"/>
    <mergeCell ref="C2:J2"/>
    <mergeCell ref="M3:M4"/>
    <mergeCell ref="P2:Q2"/>
    <mergeCell ref="K2:L2"/>
    <mergeCell ref="K3:K4"/>
    <mergeCell ref="H76:H78"/>
    <mergeCell ref="F3:F4"/>
    <mergeCell ref="D3:D4"/>
    <mergeCell ref="M2:N2"/>
    <mergeCell ref="G3:G4"/>
    <mergeCell ref="E3:E4"/>
  </mergeCells>
  <phoneticPr fontId="0" type="noConversion"/>
  <printOptions horizontalCentered="1"/>
  <pageMargins left="0.25" right="0.24" top="1.08" bottom="0.27" header="0.32" footer="0.35"/>
  <pageSetup paperSize="5" scale="80" firstPageNumber="32" orientation="portrait" useFirstPageNumber="1" r:id="rId1"/>
  <headerFooter alignWithMargins="0">
    <oddHeader>&amp;L&amp;"Arial,Bold"&amp;18Table 4:  FY2012-13 Budget Letter &amp;20
Level 3 Unequalized Funding</oddHeader>
    <oddFooter>&amp;R&amp;12&amp;P</oddFooter>
  </headerFooter>
  <colBreaks count="3" manualBreakCount="3">
    <brk id="10" max="77" man="1"/>
    <brk id="15" max="77" man="1"/>
    <brk id="19" max="78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G79"/>
  <sheetViews>
    <sheetView view="pageBreakPreview" zoomScaleNormal="80" zoomScaleSheetLayoutView="100" workbookViewId="0">
      <pane xSplit="2" ySplit="3" topLeftCell="C4" activePane="bottomRight" state="frozen"/>
      <selection activeCell="A8" sqref="A8:A9"/>
      <selection pane="topRight" activeCell="A8" sqref="A8:A9"/>
      <selection pane="bottomLeft" activeCell="A8" sqref="A8:A9"/>
      <selection pane="bottomRight" activeCell="H68" sqref="H68"/>
    </sheetView>
  </sheetViews>
  <sheetFormatPr defaultRowHeight="12.75"/>
  <cols>
    <col min="1" max="1" width="4.28515625" style="2" customWidth="1"/>
    <col min="2" max="2" width="23" style="2" customWidth="1"/>
    <col min="3" max="3" width="14.28515625" style="2" customWidth="1"/>
    <col min="4" max="4" width="13.7109375" style="2" customWidth="1"/>
    <col min="5" max="5" width="15.42578125" customWidth="1"/>
    <col min="6" max="6" width="13.85546875" customWidth="1"/>
    <col min="7" max="7" width="15.7109375" customWidth="1"/>
    <col min="8" max="8" width="11" customWidth="1"/>
  </cols>
  <sheetData>
    <row r="1" spans="1:7" ht="88.5" customHeight="1">
      <c r="A1" s="469" t="s">
        <v>203</v>
      </c>
      <c r="B1" s="468" t="s">
        <v>288</v>
      </c>
      <c r="C1" s="1756" t="s">
        <v>1452</v>
      </c>
      <c r="D1" s="346" t="s">
        <v>269</v>
      </c>
      <c r="E1" s="1754" t="s">
        <v>1453</v>
      </c>
      <c r="F1" s="472" t="s">
        <v>270</v>
      </c>
      <c r="G1" s="1749" t="s">
        <v>95</v>
      </c>
    </row>
    <row r="2" spans="1:7">
      <c r="A2" s="470"/>
      <c r="B2" s="470"/>
      <c r="C2" s="1757"/>
      <c r="D2" s="471">
        <v>6000</v>
      </c>
      <c r="E2" s="1755"/>
      <c r="F2" s="473">
        <v>4000</v>
      </c>
      <c r="G2" s="1739"/>
    </row>
    <row r="3" spans="1:7">
      <c r="A3" s="227"/>
      <c r="B3" s="310"/>
      <c r="C3" s="319">
        <f>B3+1</f>
        <v>1</v>
      </c>
      <c r="D3" s="319">
        <f>C3+1</f>
        <v>2</v>
      </c>
      <c r="E3" s="319">
        <f>D3+1</f>
        <v>3</v>
      </c>
      <c r="F3" s="319">
        <f>E3+1</f>
        <v>4</v>
      </c>
      <c r="G3" s="319">
        <f>F3+1</f>
        <v>5</v>
      </c>
    </row>
    <row r="4" spans="1:7">
      <c r="A4" s="101">
        <v>1</v>
      </c>
      <c r="B4" s="311" t="s">
        <v>102</v>
      </c>
      <c r="C4" s="324">
        <v>0</v>
      </c>
      <c r="D4" s="323">
        <f>ROUND($D$2*C4,0)</f>
        <v>0</v>
      </c>
      <c r="E4" s="324">
        <v>0</v>
      </c>
      <c r="F4" s="323">
        <f>ROUND($F$2*E4,0)</f>
        <v>0</v>
      </c>
      <c r="G4" s="476">
        <f>D4+F4</f>
        <v>0</v>
      </c>
    </row>
    <row r="5" spans="1:7">
      <c r="A5" s="101">
        <v>2</v>
      </c>
      <c r="B5" s="311" t="s">
        <v>103</v>
      </c>
      <c r="C5" s="324">
        <v>0</v>
      </c>
      <c r="D5" s="323">
        <f t="shared" ref="D5:D68" si="0">ROUND($D$2*C5,0)</f>
        <v>0</v>
      </c>
      <c r="E5" s="324">
        <v>0</v>
      </c>
      <c r="F5" s="323">
        <f t="shared" ref="F5:F68" si="1">ROUND($F$2*E5,0)</f>
        <v>0</v>
      </c>
      <c r="G5" s="476">
        <f t="shared" ref="G5:G68" si="2">D5+F5</f>
        <v>0</v>
      </c>
    </row>
    <row r="6" spans="1:7">
      <c r="A6" s="101">
        <v>3</v>
      </c>
      <c r="B6" s="311" t="s">
        <v>104</v>
      </c>
      <c r="C6" s="324">
        <v>0</v>
      </c>
      <c r="D6" s="323">
        <f t="shared" si="0"/>
        <v>0</v>
      </c>
      <c r="E6" s="324">
        <v>0</v>
      </c>
      <c r="F6" s="323">
        <f t="shared" si="1"/>
        <v>0</v>
      </c>
      <c r="G6" s="476">
        <f t="shared" si="2"/>
        <v>0</v>
      </c>
    </row>
    <row r="7" spans="1:7">
      <c r="A7" s="101">
        <v>4</v>
      </c>
      <c r="B7" s="311" t="s">
        <v>105</v>
      </c>
      <c r="C7" s="324">
        <v>2</v>
      </c>
      <c r="D7" s="323">
        <f t="shared" si="0"/>
        <v>12000</v>
      </c>
      <c r="E7" s="324">
        <v>2</v>
      </c>
      <c r="F7" s="323">
        <f t="shared" si="1"/>
        <v>8000</v>
      </c>
      <c r="G7" s="476">
        <f t="shared" si="2"/>
        <v>20000</v>
      </c>
    </row>
    <row r="8" spans="1:7">
      <c r="A8" s="102">
        <v>5</v>
      </c>
      <c r="B8" s="312" t="s">
        <v>106</v>
      </c>
      <c r="C8" s="331">
        <v>0</v>
      </c>
      <c r="D8" s="330">
        <f t="shared" si="0"/>
        <v>0</v>
      </c>
      <c r="E8" s="331">
        <v>0</v>
      </c>
      <c r="F8" s="330">
        <f t="shared" si="1"/>
        <v>0</v>
      </c>
      <c r="G8" s="477">
        <f t="shared" si="2"/>
        <v>0</v>
      </c>
    </row>
    <row r="9" spans="1:7">
      <c r="A9" s="101">
        <v>6</v>
      </c>
      <c r="B9" s="311" t="s">
        <v>107</v>
      </c>
      <c r="C9" s="324">
        <v>0</v>
      </c>
      <c r="D9" s="323">
        <f t="shared" si="0"/>
        <v>0</v>
      </c>
      <c r="E9" s="324">
        <v>0</v>
      </c>
      <c r="F9" s="323">
        <f t="shared" si="1"/>
        <v>0</v>
      </c>
      <c r="G9" s="476">
        <f t="shared" si="2"/>
        <v>0</v>
      </c>
    </row>
    <row r="10" spans="1:7">
      <c r="A10" s="101">
        <v>7</v>
      </c>
      <c r="B10" s="311" t="s">
        <v>108</v>
      </c>
      <c r="C10" s="324">
        <v>0</v>
      </c>
      <c r="D10" s="323">
        <f t="shared" si="0"/>
        <v>0</v>
      </c>
      <c r="E10" s="324">
        <v>0</v>
      </c>
      <c r="F10" s="323">
        <f t="shared" si="1"/>
        <v>0</v>
      </c>
      <c r="G10" s="476">
        <f t="shared" si="2"/>
        <v>0</v>
      </c>
    </row>
    <row r="11" spans="1:7">
      <c r="A11" s="101">
        <v>8</v>
      </c>
      <c r="B11" s="311" t="s">
        <v>109</v>
      </c>
      <c r="C11" s="324">
        <v>0</v>
      </c>
      <c r="D11" s="323">
        <f t="shared" si="0"/>
        <v>0</v>
      </c>
      <c r="E11" s="324">
        <v>4</v>
      </c>
      <c r="F11" s="323">
        <f t="shared" si="1"/>
        <v>16000</v>
      </c>
      <c r="G11" s="476">
        <f t="shared" si="2"/>
        <v>16000</v>
      </c>
    </row>
    <row r="12" spans="1:7">
      <c r="A12" s="101">
        <v>9</v>
      </c>
      <c r="B12" s="311" t="s">
        <v>110</v>
      </c>
      <c r="C12" s="324">
        <v>2</v>
      </c>
      <c r="D12" s="323">
        <f t="shared" si="0"/>
        <v>12000</v>
      </c>
      <c r="E12" s="324">
        <v>5</v>
      </c>
      <c r="F12" s="323">
        <f t="shared" si="1"/>
        <v>20000</v>
      </c>
      <c r="G12" s="476">
        <f t="shared" si="2"/>
        <v>32000</v>
      </c>
    </row>
    <row r="13" spans="1:7">
      <c r="A13" s="102">
        <v>10</v>
      </c>
      <c r="B13" s="312" t="s">
        <v>111</v>
      </c>
      <c r="C13" s="331">
        <v>4</v>
      </c>
      <c r="D13" s="330">
        <f t="shared" si="0"/>
        <v>24000</v>
      </c>
      <c r="E13" s="331">
        <v>14</v>
      </c>
      <c r="F13" s="330">
        <f t="shared" si="1"/>
        <v>56000</v>
      </c>
      <c r="G13" s="477">
        <f t="shared" si="2"/>
        <v>80000</v>
      </c>
    </row>
    <row r="14" spans="1:7">
      <c r="A14" s="101">
        <v>11</v>
      </c>
      <c r="B14" s="311" t="s">
        <v>112</v>
      </c>
      <c r="C14" s="324">
        <v>0</v>
      </c>
      <c r="D14" s="323">
        <f t="shared" si="0"/>
        <v>0</v>
      </c>
      <c r="E14" s="324">
        <v>0</v>
      </c>
      <c r="F14" s="323">
        <f t="shared" si="1"/>
        <v>0</v>
      </c>
      <c r="G14" s="476">
        <f t="shared" si="2"/>
        <v>0</v>
      </c>
    </row>
    <row r="15" spans="1:7">
      <c r="A15" s="101">
        <v>12</v>
      </c>
      <c r="B15" s="311" t="s">
        <v>113</v>
      </c>
      <c r="C15" s="324">
        <v>0</v>
      </c>
      <c r="D15" s="323">
        <f t="shared" si="0"/>
        <v>0</v>
      </c>
      <c r="E15" s="324">
        <v>1</v>
      </c>
      <c r="F15" s="323">
        <f t="shared" si="1"/>
        <v>4000</v>
      </c>
      <c r="G15" s="476">
        <f t="shared" si="2"/>
        <v>4000</v>
      </c>
    </row>
    <row r="16" spans="1:7">
      <c r="A16" s="101">
        <v>13</v>
      </c>
      <c r="B16" s="311" t="s">
        <v>114</v>
      </c>
      <c r="C16" s="324">
        <v>0</v>
      </c>
      <c r="D16" s="323">
        <f t="shared" si="0"/>
        <v>0</v>
      </c>
      <c r="E16" s="324">
        <v>0</v>
      </c>
      <c r="F16" s="323">
        <f t="shared" si="1"/>
        <v>0</v>
      </c>
      <c r="G16" s="476">
        <f t="shared" si="2"/>
        <v>0</v>
      </c>
    </row>
    <row r="17" spans="1:7">
      <c r="A17" s="101">
        <v>14</v>
      </c>
      <c r="B17" s="311" t="s">
        <v>115</v>
      </c>
      <c r="C17" s="324">
        <v>0</v>
      </c>
      <c r="D17" s="323">
        <f t="shared" si="0"/>
        <v>0</v>
      </c>
      <c r="E17" s="324">
        <v>0</v>
      </c>
      <c r="F17" s="323">
        <f t="shared" si="1"/>
        <v>0</v>
      </c>
      <c r="G17" s="476">
        <f t="shared" si="2"/>
        <v>0</v>
      </c>
    </row>
    <row r="18" spans="1:7">
      <c r="A18" s="102">
        <v>15</v>
      </c>
      <c r="B18" s="312" t="s">
        <v>116</v>
      </c>
      <c r="C18" s="331">
        <v>0</v>
      </c>
      <c r="D18" s="330">
        <f t="shared" si="0"/>
        <v>0</v>
      </c>
      <c r="E18" s="331">
        <v>0</v>
      </c>
      <c r="F18" s="330">
        <f t="shared" si="1"/>
        <v>0</v>
      </c>
      <c r="G18" s="477">
        <f t="shared" si="2"/>
        <v>0</v>
      </c>
    </row>
    <row r="19" spans="1:7">
      <c r="A19" s="101">
        <v>16</v>
      </c>
      <c r="B19" s="311" t="s">
        <v>117</v>
      </c>
      <c r="C19" s="324">
        <v>1</v>
      </c>
      <c r="D19" s="323">
        <f t="shared" si="0"/>
        <v>6000</v>
      </c>
      <c r="E19" s="324">
        <v>1</v>
      </c>
      <c r="F19" s="323">
        <f t="shared" si="1"/>
        <v>4000</v>
      </c>
      <c r="G19" s="476">
        <f t="shared" si="2"/>
        <v>10000</v>
      </c>
    </row>
    <row r="20" spans="1:7">
      <c r="A20" s="101">
        <v>17</v>
      </c>
      <c r="B20" s="311" t="s">
        <v>118</v>
      </c>
      <c r="C20" s="324">
        <v>7</v>
      </c>
      <c r="D20" s="323">
        <f t="shared" si="0"/>
        <v>42000</v>
      </c>
      <c r="E20" s="324">
        <v>3</v>
      </c>
      <c r="F20" s="323">
        <f t="shared" si="1"/>
        <v>12000</v>
      </c>
      <c r="G20" s="476">
        <f t="shared" si="2"/>
        <v>54000</v>
      </c>
    </row>
    <row r="21" spans="1:7">
      <c r="A21" s="101">
        <v>18</v>
      </c>
      <c r="B21" s="311" t="s">
        <v>119</v>
      </c>
      <c r="C21" s="324">
        <v>0</v>
      </c>
      <c r="D21" s="323">
        <f t="shared" si="0"/>
        <v>0</v>
      </c>
      <c r="E21" s="324">
        <v>2</v>
      </c>
      <c r="F21" s="323">
        <f t="shared" si="1"/>
        <v>8000</v>
      </c>
      <c r="G21" s="476">
        <f t="shared" si="2"/>
        <v>8000</v>
      </c>
    </row>
    <row r="22" spans="1:7">
      <c r="A22" s="101">
        <v>19</v>
      </c>
      <c r="B22" s="311" t="s">
        <v>120</v>
      </c>
      <c r="C22" s="324">
        <v>0</v>
      </c>
      <c r="D22" s="323">
        <f t="shared" si="0"/>
        <v>0</v>
      </c>
      <c r="E22" s="324">
        <v>0</v>
      </c>
      <c r="F22" s="323">
        <f t="shared" si="1"/>
        <v>0</v>
      </c>
      <c r="G22" s="476">
        <f t="shared" si="2"/>
        <v>0</v>
      </c>
    </row>
    <row r="23" spans="1:7">
      <c r="A23" s="102">
        <v>20</v>
      </c>
      <c r="B23" s="312" t="s">
        <v>121</v>
      </c>
      <c r="C23" s="331">
        <v>0</v>
      </c>
      <c r="D23" s="330">
        <f t="shared" si="0"/>
        <v>0</v>
      </c>
      <c r="E23" s="331">
        <v>0</v>
      </c>
      <c r="F23" s="330">
        <f t="shared" si="1"/>
        <v>0</v>
      </c>
      <c r="G23" s="477">
        <f t="shared" si="2"/>
        <v>0</v>
      </c>
    </row>
    <row r="24" spans="1:7">
      <c r="A24" s="101">
        <v>21</v>
      </c>
      <c r="B24" s="311" t="s">
        <v>122</v>
      </c>
      <c r="C24" s="324">
        <v>0</v>
      </c>
      <c r="D24" s="323">
        <f t="shared" si="0"/>
        <v>0</v>
      </c>
      <c r="E24" s="324">
        <v>0</v>
      </c>
      <c r="F24" s="323">
        <f t="shared" si="1"/>
        <v>0</v>
      </c>
      <c r="G24" s="476">
        <f t="shared" si="2"/>
        <v>0</v>
      </c>
    </row>
    <row r="25" spans="1:7">
      <c r="A25" s="101">
        <v>22</v>
      </c>
      <c r="B25" s="311" t="s">
        <v>123</v>
      </c>
      <c r="C25" s="324">
        <v>0</v>
      </c>
      <c r="D25" s="323">
        <f t="shared" si="0"/>
        <v>0</v>
      </c>
      <c r="E25" s="324">
        <v>0</v>
      </c>
      <c r="F25" s="323">
        <f t="shared" si="1"/>
        <v>0</v>
      </c>
      <c r="G25" s="476">
        <f t="shared" si="2"/>
        <v>0</v>
      </c>
    </row>
    <row r="26" spans="1:7">
      <c r="A26" s="101">
        <v>23</v>
      </c>
      <c r="B26" s="311" t="s">
        <v>124</v>
      </c>
      <c r="C26" s="324">
        <v>3</v>
      </c>
      <c r="D26" s="323">
        <f t="shared" si="0"/>
        <v>18000</v>
      </c>
      <c r="E26" s="324">
        <v>3</v>
      </c>
      <c r="F26" s="323">
        <f t="shared" si="1"/>
        <v>12000</v>
      </c>
      <c r="G26" s="476">
        <f t="shared" si="2"/>
        <v>30000</v>
      </c>
    </row>
    <row r="27" spans="1:7">
      <c r="A27" s="101">
        <v>24</v>
      </c>
      <c r="B27" s="311" t="s">
        <v>125</v>
      </c>
      <c r="C27" s="324">
        <v>0</v>
      </c>
      <c r="D27" s="323">
        <f t="shared" si="0"/>
        <v>0</v>
      </c>
      <c r="E27" s="324">
        <v>0</v>
      </c>
      <c r="F27" s="323">
        <f t="shared" si="1"/>
        <v>0</v>
      </c>
      <c r="G27" s="476">
        <f t="shared" si="2"/>
        <v>0</v>
      </c>
    </row>
    <row r="28" spans="1:7">
      <c r="A28" s="102">
        <v>25</v>
      </c>
      <c r="B28" s="312" t="s">
        <v>126</v>
      </c>
      <c r="C28" s="331">
        <v>0</v>
      </c>
      <c r="D28" s="330">
        <f t="shared" si="0"/>
        <v>0</v>
      </c>
      <c r="E28" s="331">
        <v>0</v>
      </c>
      <c r="F28" s="330">
        <f t="shared" si="1"/>
        <v>0</v>
      </c>
      <c r="G28" s="477">
        <f t="shared" si="2"/>
        <v>0</v>
      </c>
    </row>
    <row r="29" spans="1:7">
      <c r="A29" s="101">
        <v>26</v>
      </c>
      <c r="B29" s="311" t="s">
        <v>127</v>
      </c>
      <c r="C29" s="324">
        <v>7</v>
      </c>
      <c r="D29" s="323">
        <f t="shared" si="0"/>
        <v>42000</v>
      </c>
      <c r="E29" s="324">
        <v>8</v>
      </c>
      <c r="F29" s="323">
        <f t="shared" si="1"/>
        <v>32000</v>
      </c>
      <c r="G29" s="476">
        <f t="shared" si="2"/>
        <v>74000</v>
      </c>
    </row>
    <row r="30" spans="1:7">
      <c r="A30" s="101">
        <v>27</v>
      </c>
      <c r="B30" s="311" t="s">
        <v>128</v>
      </c>
      <c r="C30" s="324">
        <v>0</v>
      </c>
      <c r="D30" s="323">
        <f t="shared" si="0"/>
        <v>0</v>
      </c>
      <c r="E30" s="324">
        <v>0</v>
      </c>
      <c r="F30" s="323">
        <f t="shared" si="1"/>
        <v>0</v>
      </c>
      <c r="G30" s="476">
        <f t="shared" si="2"/>
        <v>0</v>
      </c>
    </row>
    <row r="31" spans="1:7">
      <c r="A31" s="101">
        <v>28</v>
      </c>
      <c r="B31" s="311" t="s">
        <v>129</v>
      </c>
      <c r="C31" s="324">
        <v>12</v>
      </c>
      <c r="D31" s="323">
        <f t="shared" si="0"/>
        <v>72000</v>
      </c>
      <c r="E31" s="324">
        <v>17</v>
      </c>
      <c r="F31" s="323">
        <f t="shared" si="1"/>
        <v>68000</v>
      </c>
      <c r="G31" s="476">
        <f t="shared" si="2"/>
        <v>140000</v>
      </c>
    </row>
    <row r="32" spans="1:7">
      <c r="A32" s="101">
        <v>29</v>
      </c>
      <c r="B32" s="311" t="s">
        <v>130</v>
      </c>
      <c r="C32" s="324">
        <v>2</v>
      </c>
      <c r="D32" s="323">
        <f t="shared" si="0"/>
        <v>12000</v>
      </c>
      <c r="E32" s="324">
        <v>7</v>
      </c>
      <c r="F32" s="323">
        <f t="shared" si="1"/>
        <v>28000</v>
      </c>
      <c r="G32" s="476">
        <f t="shared" si="2"/>
        <v>40000</v>
      </c>
    </row>
    <row r="33" spans="1:7">
      <c r="A33" s="102">
        <v>30</v>
      </c>
      <c r="B33" s="312" t="s">
        <v>131</v>
      </c>
      <c r="C33" s="331">
        <v>0</v>
      </c>
      <c r="D33" s="330">
        <f t="shared" si="0"/>
        <v>0</v>
      </c>
      <c r="E33" s="331">
        <v>0</v>
      </c>
      <c r="F33" s="330">
        <f t="shared" si="1"/>
        <v>0</v>
      </c>
      <c r="G33" s="477">
        <f t="shared" si="2"/>
        <v>0</v>
      </c>
    </row>
    <row r="34" spans="1:7">
      <c r="A34" s="101">
        <v>31</v>
      </c>
      <c r="B34" s="311" t="s">
        <v>132</v>
      </c>
      <c r="C34" s="324">
        <v>0</v>
      </c>
      <c r="D34" s="323">
        <f t="shared" si="0"/>
        <v>0</v>
      </c>
      <c r="E34" s="324">
        <v>0</v>
      </c>
      <c r="F34" s="323">
        <f t="shared" si="1"/>
        <v>0</v>
      </c>
      <c r="G34" s="476">
        <f t="shared" si="2"/>
        <v>0</v>
      </c>
    </row>
    <row r="35" spans="1:7">
      <c r="A35" s="101">
        <v>32</v>
      </c>
      <c r="B35" s="311" t="s">
        <v>133</v>
      </c>
      <c r="C35" s="324">
        <v>0</v>
      </c>
      <c r="D35" s="323">
        <f t="shared" si="0"/>
        <v>0</v>
      </c>
      <c r="E35" s="324">
        <v>0</v>
      </c>
      <c r="F35" s="323">
        <f t="shared" si="1"/>
        <v>0</v>
      </c>
      <c r="G35" s="476">
        <f t="shared" si="2"/>
        <v>0</v>
      </c>
    </row>
    <row r="36" spans="1:7">
      <c r="A36" s="101">
        <v>33</v>
      </c>
      <c r="B36" s="311" t="s">
        <v>134</v>
      </c>
      <c r="C36" s="324">
        <v>0</v>
      </c>
      <c r="D36" s="323">
        <f t="shared" si="0"/>
        <v>0</v>
      </c>
      <c r="E36" s="324">
        <v>1</v>
      </c>
      <c r="F36" s="323">
        <f t="shared" si="1"/>
        <v>4000</v>
      </c>
      <c r="G36" s="476">
        <f t="shared" si="2"/>
        <v>4000</v>
      </c>
    </row>
    <row r="37" spans="1:7">
      <c r="A37" s="101">
        <v>34</v>
      </c>
      <c r="B37" s="311" t="s">
        <v>135</v>
      </c>
      <c r="C37" s="324">
        <v>0</v>
      </c>
      <c r="D37" s="323">
        <f t="shared" si="0"/>
        <v>0</v>
      </c>
      <c r="E37" s="324">
        <v>0</v>
      </c>
      <c r="F37" s="323">
        <f t="shared" si="1"/>
        <v>0</v>
      </c>
      <c r="G37" s="476">
        <f t="shared" si="2"/>
        <v>0</v>
      </c>
    </row>
    <row r="38" spans="1:7">
      <c r="A38" s="102">
        <v>35</v>
      </c>
      <c r="B38" s="312" t="s">
        <v>136</v>
      </c>
      <c r="C38" s="331">
        <v>0</v>
      </c>
      <c r="D38" s="330">
        <f t="shared" si="0"/>
        <v>0</v>
      </c>
      <c r="E38" s="331">
        <v>0</v>
      </c>
      <c r="F38" s="330">
        <f t="shared" si="1"/>
        <v>0</v>
      </c>
      <c r="G38" s="477">
        <f t="shared" si="2"/>
        <v>0</v>
      </c>
    </row>
    <row r="39" spans="1:7">
      <c r="A39" s="101">
        <v>36</v>
      </c>
      <c r="B39" s="311" t="s">
        <v>137</v>
      </c>
      <c r="C39" s="324">
        <v>6</v>
      </c>
      <c r="D39" s="323">
        <f t="shared" si="0"/>
        <v>36000</v>
      </c>
      <c r="E39" s="324">
        <v>9</v>
      </c>
      <c r="F39" s="323">
        <f t="shared" si="1"/>
        <v>36000</v>
      </c>
      <c r="G39" s="476">
        <f t="shared" si="2"/>
        <v>72000</v>
      </c>
    </row>
    <row r="40" spans="1:7">
      <c r="A40" s="101">
        <v>37</v>
      </c>
      <c r="B40" s="311" t="s">
        <v>138</v>
      </c>
      <c r="C40" s="324">
        <v>0</v>
      </c>
      <c r="D40" s="323">
        <f t="shared" si="0"/>
        <v>0</v>
      </c>
      <c r="E40" s="324">
        <v>0</v>
      </c>
      <c r="F40" s="323">
        <f t="shared" si="1"/>
        <v>0</v>
      </c>
      <c r="G40" s="476">
        <f t="shared" si="2"/>
        <v>0</v>
      </c>
    </row>
    <row r="41" spans="1:7">
      <c r="A41" s="101">
        <v>38</v>
      </c>
      <c r="B41" s="311" t="s">
        <v>139</v>
      </c>
      <c r="C41" s="324">
        <v>1</v>
      </c>
      <c r="D41" s="323">
        <f t="shared" si="0"/>
        <v>6000</v>
      </c>
      <c r="E41" s="324">
        <v>0</v>
      </c>
      <c r="F41" s="323">
        <f t="shared" si="1"/>
        <v>0</v>
      </c>
      <c r="G41" s="476">
        <f t="shared" si="2"/>
        <v>6000</v>
      </c>
    </row>
    <row r="42" spans="1:7">
      <c r="A42" s="101">
        <v>39</v>
      </c>
      <c r="B42" s="311" t="s">
        <v>140</v>
      </c>
      <c r="C42" s="324">
        <v>0</v>
      </c>
      <c r="D42" s="323">
        <f t="shared" si="0"/>
        <v>0</v>
      </c>
      <c r="E42" s="324">
        <v>0</v>
      </c>
      <c r="F42" s="323">
        <f t="shared" si="1"/>
        <v>0</v>
      </c>
      <c r="G42" s="476">
        <f t="shared" si="2"/>
        <v>0</v>
      </c>
    </row>
    <row r="43" spans="1:7">
      <c r="A43" s="102">
        <v>40</v>
      </c>
      <c r="B43" s="312" t="s">
        <v>141</v>
      </c>
      <c r="C43" s="331">
        <v>0</v>
      </c>
      <c r="D43" s="330">
        <f t="shared" si="0"/>
        <v>0</v>
      </c>
      <c r="E43" s="331">
        <v>0</v>
      </c>
      <c r="F43" s="330">
        <f t="shared" si="1"/>
        <v>0</v>
      </c>
      <c r="G43" s="477">
        <f t="shared" si="2"/>
        <v>0</v>
      </c>
    </row>
    <row r="44" spans="1:7">
      <c r="A44" s="101">
        <v>41</v>
      </c>
      <c r="B44" s="311" t="s">
        <v>142</v>
      </c>
      <c r="C44" s="324">
        <v>0</v>
      </c>
      <c r="D44" s="323">
        <f t="shared" si="0"/>
        <v>0</v>
      </c>
      <c r="E44" s="324">
        <v>0</v>
      </c>
      <c r="F44" s="323">
        <f t="shared" si="1"/>
        <v>0</v>
      </c>
      <c r="G44" s="476">
        <f t="shared" si="2"/>
        <v>0</v>
      </c>
    </row>
    <row r="45" spans="1:7">
      <c r="A45" s="101">
        <v>42</v>
      </c>
      <c r="B45" s="311" t="s">
        <v>143</v>
      </c>
      <c r="C45" s="324">
        <v>0</v>
      </c>
      <c r="D45" s="323">
        <f t="shared" si="0"/>
        <v>0</v>
      </c>
      <c r="E45" s="324">
        <v>0</v>
      </c>
      <c r="F45" s="323">
        <f t="shared" si="1"/>
        <v>0</v>
      </c>
      <c r="G45" s="476">
        <f t="shared" si="2"/>
        <v>0</v>
      </c>
    </row>
    <row r="46" spans="1:7">
      <c r="A46" s="101">
        <v>43</v>
      </c>
      <c r="B46" s="311" t="s">
        <v>144</v>
      </c>
      <c r="C46" s="324">
        <v>0</v>
      </c>
      <c r="D46" s="323">
        <f t="shared" si="0"/>
        <v>0</v>
      </c>
      <c r="E46" s="324">
        <v>0</v>
      </c>
      <c r="F46" s="323">
        <f t="shared" si="1"/>
        <v>0</v>
      </c>
      <c r="G46" s="476">
        <f t="shared" si="2"/>
        <v>0</v>
      </c>
    </row>
    <row r="47" spans="1:7">
      <c r="A47" s="101">
        <v>44</v>
      </c>
      <c r="B47" s="311" t="s">
        <v>145</v>
      </c>
      <c r="C47" s="324">
        <v>0</v>
      </c>
      <c r="D47" s="323">
        <f t="shared" si="0"/>
        <v>0</v>
      </c>
      <c r="E47" s="324">
        <v>0</v>
      </c>
      <c r="F47" s="323">
        <f t="shared" si="1"/>
        <v>0</v>
      </c>
      <c r="G47" s="476">
        <f t="shared" si="2"/>
        <v>0</v>
      </c>
    </row>
    <row r="48" spans="1:7">
      <c r="A48" s="102">
        <v>45</v>
      </c>
      <c r="B48" s="312" t="s">
        <v>146</v>
      </c>
      <c r="C48" s="331">
        <v>0</v>
      </c>
      <c r="D48" s="330">
        <f t="shared" si="0"/>
        <v>0</v>
      </c>
      <c r="E48" s="331">
        <v>0</v>
      </c>
      <c r="F48" s="330">
        <f t="shared" si="1"/>
        <v>0</v>
      </c>
      <c r="G48" s="477">
        <f t="shared" si="2"/>
        <v>0</v>
      </c>
    </row>
    <row r="49" spans="1:7">
      <c r="A49" s="101">
        <v>46</v>
      </c>
      <c r="B49" s="311" t="s">
        <v>147</v>
      </c>
      <c r="C49" s="324">
        <v>0</v>
      </c>
      <c r="D49" s="323">
        <f t="shared" si="0"/>
        <v>0</v>
      </c>
      <c r="E49" s="324">
        <v>0</v>
      </c>
      <c r="F49" s="323">
        <f t="shared" si="1"/>
        <v>0</v>
      </c>
      <c r="G49" s="476">
        <f t="shared" si="2"/>
        <v>0</v>
      </c>
    </row>
    <row r="50" spans="1:7">
      <c r="A50" s="101">
        <v>47</v>
      </c>
      <c r="B50" s="311" t="s">
        <v>148</v>
      </c>
      <c r="C50" s="324">
        <v>0</v>
      </c>
      <c r="D50" s="323">
        <f t="shared" si="0"/>
        <v>0</v>
      </c>
      <c r="E50" s="324">
        <v>0</v>
      </c>
      <c r="F50" s="323">
        <f t="shared" si="1"/>
        <v>0</v>
      </c>
      <c r="G50" s="476">
        <f t="shared" si="2"/>
        <v>0</v>
      </c>
    </row>
    <row r="51" spans="1:7">
      <c r="A51" s="101">
        <v>48</v>
      </c>
      <c r="B51" s="311" t="s">
        <v>222</v>
      </c>
      <c r="C51" s="324">
        <v>0</v>
      </c>
      <c r="D51" s="323">
        <f t="shared" si="0"/>
        <v>0</v>
      </c>
      <c r="E51" s="324">
        <v>0</v>
      </c>
      <c r="F51" s="323">
        <f t="shared" si="1"/>
        <v>0</v>
      </c>
      <c r="G51" s="476">
        <f t="shared" si="2"/>
        <v>0</v>
      </c>
    </row>
    <row r="52" spans="1:7">
      <c r="A52" s="101">
        <v>49</v>
      </c>
      <c r="B52" s="311" t="s">
        <v>149</v>
      </c>
      <c r="C52" s="324">
        <v>0</v>
      </c>
      <c r="D52" s="323">
        <f t="shared" si="0"/>
        <v>0</v>
      </c>
      <c r="E52" s="324">
        <v>0</v>
      </c>
      <c r="F52" s="323">
        <f t="shared" si="1"/>
        <v>0</v>
      </c>
      <c r="G52" s="476">
        <f t="shared" si="2"/>
        <v>0</v>
      </c>
    </row>
    <row r="53" spans="1:7">
      <c r="A53" s="102">
        <v>50</v>
      </c>
      <c r="B53" s="312" t="s">
        <v>150</v>
      </c>
      <c r="C53" s="331">
        <v>5</v>
      </c>
      <c r="D53" s="330">
        <f t="shared" si="0"/>
        <v>30000</v>
      </c>
      <c r="E53" s="331">
        <v>5</v>
      </c>
      <c r="F53" s="330">
        <f t="shared" si="1"/>
        <v>20000</v>
      </c>
      <c r="G53" s="477">
        <f t="shared" si="2"/>
        <v>50000</v>
      </c>
    </row>
    <row r="54" spans="1:7">
      <c r="A54" s="101">
        <v>51</v>
      </c>
      <c r="B54" s="311" t="s">
        <v>151</v>
      </c>
      <c r="C54" s="324">
        <v>0</v>
      </c>
      <c r="D54" s="323">
        <f t="shared" si="0"/>
        <v>0</v>
      </c>
      <c r="E54" s="324">
        <v>0</v>
      </c>
      <c r="F54" s="323">
        <f t="shared" si="1"/>
        <v>0</v>
      </c>
      <c r="G54" s="476">
        <f t="shared" si="2"/>
        <v>0</v>
      </c>
    </row>
    <row r="55" spans="1:7">
      <c r="A55" s="101">
        <v>52</v>
      </c>
      <c r="B55" s="311" t="s">
        <v>152</v>
      </c>
      <c r="C55" s="324">
        <v>0</v>
      </c>
      <c r="D55" s="323">
        <f t="shared" si="0"/>
        <v>0</v>
      </c>
      <c r="E55" s="324">
        <v>0</v>
      </c>
      <c r="F55" s="323">
        <f t="shared" si="1"/>
        <v>0</v>
      </c>
      <c r="G55" s="476">
        <f t="shared" si="2"/>
        <v>0</v>
      </c>
    </row>
    <row r="56" spans="1:7">
      <c r="A56" s="101">
        <v>53</v>
      </c>
      <c r="B56" s="311" t="s">
        <v>153</v>
      </c>
      <c r="C56" s="324">
        <v>2</v>
      </c>
      <c r="D56" s="323">
        <f t="shared" si="0"/>
        <v>12000</v>
      </c>
      <c r="E56" s="324">
        <v>0</v>
      </c>
      <c r="F56" s="323">
        <f t="shared" si="1"/>
        <v>0</v>
      </c>
      <c r="G56" s="476">
        <f t="shared" si="2"/>
        <v>12000</v>
      </c>
    </row>
    <row r="57" spans="1:7">
      <c r="A57" s="101">
        <v>54</v>
      </c>
      <c r="B57" s="311" t="s">
        <v>154</v>
      </c>
      <c r="C57" s="324">
        <v>0</v>
      </c>
      <c r="D57" s="323">
        <f t="shared" si="0"/>
        <v>0</v>
      </c>
      <c r="E57" s="324">
        <v>0</v>
      </c>
      <c r="F57" s="323">
        <f t="shared" si="1"/>
        <v>0</v>
      </c>
      <c r="G57" s="476">
        <f t="shared" si="2"/>
        <v>0</v>
      </c>
    </row>
    <row r="58" spans="1:7">
      <c r="A58" s="102">
        <v>55</v>
      </c>
      <c r="B58" s="312" t="s">
        <v>155</v>
      </c>
      <c r="C58" s="331">
        <v>0</v>
      </c>
      <c r="D58" s="330">
        <f t="shared" si="0"/>
        <v>0</v>
      </c>
      <c r="E58" s="331">
        <v>0</v>
      </c>
      <c r="F58" s="330">
        <f t="shared" si="1"/>
        <v>0</v>
      </c>
      <c r="G58" s="477">
        <f t="shared" si="2"/>
        <v>0</v>
      </c>
    </row>
    <row r="59" spans="1:7">
      <c r="A59" s="101">
        <v>56</v>
      </c>
      <c r="B59" s="311" t="s">
        <v>156</v>
      </c>
      <c r="C59" s="324">
        <v>0</v>
      </c>
      <c r="D59" s="323">
        <f t="shared" si="0"/>
        <v>0</v>
      </c>
      <c r="E59" s="324">
        <v>1</v>
      </c>
      <c r="F59" s="323">
        <f t="shared" si="1"/>
        <v>4000</v>
      </c>
      <c r="G59" s="476">
        <f t="shared" si="2"/>
        <v>4000</v>
      </c>
    </row>
    <row r="60" spans="1:7">
      <c r="A60" s="101">
        <v>57</v>
      </c>
      <c r="B60" s="311" t="s">
        <v>157</v>
      </c>
      <c r="C60" s="324">
        <v>0</v>
      </c>
      <c r="D60" s="323">
        <f t="shared" si="0"/>
        <v>0</v>
      </c>
      <c r="E60" s="324">
        <v>0</v>
      </c>
      <c r="F60" s="323">
        <f t="shared" si="1"/>
        <v>0</v>
      </c>
      <c r="G60" s="476">
        <f t="shared" si="2"/>
        <v>0</v>
      </c>
    </row>
    <row r="61" spans="1:7">
      <c r="A61" s="101">
        <v>58</v>
      </c>
      <c r="B61" s="311" t="s">
        <v>158</v>
      </c>
      <c r="C61" s="324">
        <v>0</v>
      </c>
      <c r="D61" s="323">
        <f t="shared" si="0"/>
        <v>0</v>
      </c>
      <c r="E61" s="324">
        <v>0</v>
      </c>
      <c r="F61" s="323">
        <f t="shared" si="1"/>
        <v>0</v>
      </c>
      <c r="G61" s="476">
        <f t="shared" si="2"/>
        <v>0</v>
      </c>
    </row>
    <row r="62" spans="1:7">
      <c r="A62" s="101">
        <v>59</v>
      </c>
      <c r="B62" s="311" t="s">
        <v>159</v>
      </c>
      <c r="C62" s="324">
        <v>0</v>
      </c>
      <c r="D62" s="323">
        <f t="shared" si="0"/>
        <v>0</v>
      </c>
      <c r="E62" s="324">
        <v>0</v>
      </c>
      <c r="F62" s="323">
        <f t="shared" si="1"/>
        <v>0</v>
      </c>
      <c r="G62" s="476">
        <f t="shared" si="2"/>
        <v>0</v>
      </c>
    </row>
    <row r="63" spans="1:7">
      <c r="A63" s="102">
        <v>60</v>
      </c>
      <c r="B63" s="312" t="s">
        <v>160</v>
      </c>
      <c r="C63" s="331">
        <v>0</v>
      </c>
      <c r="D63" s="330">
        <f t="shared" si="0"/>
        <v>0</v>
      </c>
      <c r="E63" s="331">
        <v>0</v>
      </c>
      <c r="F63" s="330">
        <f t="shared" si="1"/>
        <v>0</v>
      </c>
      <c r="G63" s="477">
        <f t="shared" si="2"/>
        <v>0</v>
      </c>
    </row>
    <row r="64" spans="1:7">
      <c r="A64" s="101">
        <v>61</v>
      </c>
      <c r="B64" s="311" t="s">
        <v>161</v>
      </c>
      <c r="C64" s="324">
        <v>0</v>
      </c>
      <c r="D64" s="323">
        <f t="shared" si="0"/>
        <v>0</v>
      </c>
      <c r="E64" s="324">
        <v>0</v>
      </c>
      <c r="F64" s="323">
        <f t="shared" si="1"/>
        <v>0</v>
      </c>
      <c r="G64" s="476">
        <f t="shared" si="2"/>
        <v>0</v>
      </c>
    </row>
    <row r="65" spans="1:7">
      <c r="A65" s="101">
        <v>62</v>
      </c>
      <c r="B65" s="311" t="s">
        <v>162</v>
      </c>
      <c r="C65" s="324">
        <v>0</v>
      </c>
      <c r="D65" s="323">
        <f t="shared" si="0"/>
        <v>0</v>
      </c>
      <c r="E65" s="324">
        <v>0</v>
      </c>
      <c r="F65" s="323">
        <f t="shared" si="1"/>
        <v>0</v>
      </c>
      <c r="G65" s="476">
        <f t="shared" si="2"/>
        <v>0</v>
      </c>
    </row>
    <row r="66" spans="1:7">
      <c r="A66" s="101">
        <v>63</v>
      </c>
      <c r="B66" s="311" t="s">
        <v>163</v>
      </c>
      <c r="C66" s="324">
        <v>0</v>
      </c>
      <c r="D66" s="323">
        <f t="shared" si="0"/>
        <v>0</v>
      </c>
      <c r="E66" s="324">
        <v>0</v>
      </c>
      <c r="F66" s="323">
        <f t="shared" si="1"/>
        <v>0</v>
      </c>
      <c r="G66" s="476">
        <f t="shared" si="2"/>
        <v>0</v>
      </c>
    </row>
    <row r="67" spans="1:7">
      <c r="A67" s="101">
        <v>64</v>
      </c>
      <c r="B67" s="311" t="s">
        <v>164</v>
      </c>
      <c r="C67" s="324">
        <v>0</v>
      </c>
      <c r="D67" s="323">
        <f t="shared" si="0"/>
        <v>0</v>
      </c>
      <c r="E67" s="324">
        <v>0</v>
      </c>
      <c r="F67" s="323">
        <f t="shared" si="1"/>
        <v>0</v>
      </c>
      <c r="G67" s="476">
        <f t="shared" si="2"/>
        <v>0</v>
      </c>
    </row>
    <row r="68" spans="1:7">
      <c r="A68" s="102">
        <v>65</v>
      </c>
      <c r="B68" s="312" t="s">
        <v>165</v>
      </c>
      <c r="C68" s="337">
        <v>0</v>
      </c>
      <c r="D68" s="330">
        <f t="shared" si="0"/>
        <v>0</v>
      </c>
      <c r="E68" s="337">
        <v>0</v>
      </c>
      <c r="F68" s="330">
        <f t="shared" si="1"/>
        <v>0</v>
      </c>
      <c r="G68" s="477">
        <f t="shared" si="2"/>
        <v>0</v>
      </c>
    </row>
    <row r="69" spans="1:7">
      <c r="A69" s="136">
        <v>66</v>
      </c>
      <c r="B69" s="313" t="s">
        <v>166</v>
      </c>
      <c r="C69" s="338">
        <v>0</v>
      </c>
      <c r="D69" s="321">
        <f>ROUND($D$2*C69,0)</f>
        <v>0</v>
      </c>
      <c r="E69" s="338">
        <v>0</v>
      </c>
      <c r="F69" s="321">
        <f>ROUND($F$2*E69,0)</f>
        <v>0</v>
      </c>
      <c r="G69" s="478">
        <f>D69+F69</f>
        <v>0</v>
      </c>
    </row>
    <row r="70" spans="1:7">
      <c r="A70" s="360">
        <v>67</v>
      </c>
      <c r="B70" s="314" t="s">
        <v>33</v>
      </c>
      <c r="C70" s="324">
        <v>0</v>
      </c>
      <c r="D70" s="323">
        <f>ROUND($D$2*C70,0)</f>
        <v>0</v>
      </c>
      <c r="E70" s="324">
        <v>0</v>
      </c>
      <c r="F70" s="323">
        <f>ROUND($F$2*E70,0)</f>
        <v>0</v>
      </c>
      <c r="G70" s="476">
        <f>D70+F70</f>
        <v>0</v>
      </c>
    </row>
    <row r="71" spans="1:7">
      <c r="A71" s="101">
        <v>68</v>
      </c>
      <c r="B71" s="311" t="s">
        <v>31</v>
      </c>
      <c r="C71" s="324">
        <v>0</v>
      </c>
      <c r="D71" s="323">
        <f>ROUND($D$2*C71,0)</f>
        <v>0</v>
      </c>
      <c r="E71" s="324">
        <v>0</v>
      </c>
      <c r="F71" s="323">
        <f>ROUND($F$2*E71,0)</f>
        <v>0</v>
      </c>
      <c r="G71" s="476">
        <f>D71+F71</f>
        <v>0</v>
      </c>
    </row>
    <row r="72" spans="1:7">
      <c r="A72" s="102">
        <v>69</v>
      </c>
      <c r="B72" s="312" t="s">
        <v>235</v>
      </c>
      <c r="C72" s="337">
        <v>0</v>
      </c>
      <c r="D72" s="330">
        <f>ROUND($D$2*C72,0)</f>
        <v>0</v>
      </c>
      <c r="E72" s="337">
        <v>0</v>
      </c>
      <c r="F72" s="330">
        <f>ROUND($F$2*E72,0)</f>
        <v>0</v>
      </c>
      <c r="G72" s="477">
        <f>D72+F72</f>
        <v>0</v>
      </c>
    </row>
    <row r="73" spans="1:7" ht="13.5" thickBot="1">
      <c r="A73" s="428"/>
      <c r="B73" s="429" t="s">
        <v>167</v>
      </c>
      <c r="C73" s="432">
        <f>SUM(C4:C72)</f>
        <v>54</v>
      </c>
      <c r="D73" s="433">
        <f>SUM(D4:D72)</f>
        <v>324000</v>
      </c>
      <c r="E73" s="432">
        <f>SUM(E4:E72)</f>
        <v>83</v>
      </c>
      <c r="F73" s="433">
        <f>SUM(F4:F72)</f>
        <v>332000</v>
      </c>
      <c r="G73" s="486">
        <f>SUM(G4:G72)</f>
        <v>656000</v>
      </c>
    </row>
    <row r="74" spans="1:7" s="35" customFormat="1" ht="13.5" thickTop="1">
      <c r="A74" s="459"/>
      <c r="B74" s="1197" t="s">
        <v>875</v>
      </c>
      <c r="C74" s="64"/>
      <c r="D74" s="64"/>
    </row>
    <row r="75" spans="1:7" s="35" customFormat="1">
      <c r="A75" s="435"/>
      <c r="B75" s="438"/>
      <c r="C75" s="64"/>
      <c r="D75" s="64"/>
    </row>
    <row r="76" spans="1:7" s="35" customFormat="1">
      <c r="A76" s="435"/>
      <c r="B76" s="438"/>
      <c r="C76" s="64"/>
      <c r="D76" s="64"/>
    </row>
    <row r="77" spans="1:7" s="35" customFormat="1">
      <c r="A77" s="64"/>
      <c r="B77" s="64"/>
      <c r="C77" s="64"/>
      <c r="D77" s="64"/>
    </row>
    <row r="78" spans="1:7" s="35" customFormat="1">
      <c r="A78" s="64"/>
      <c r="B78" s="64"/>
      <c r="C78" s="64"/>
      <c r="D78" s="64"/>
    </row>
    <row r="79" spans="1:7" s="35" customFormat="1">
      <c r="A79" s="64"/>
      <c r="B79" s="64"/>
      <c r="C79" s="64"/>
      <c r="D79" s="64"/>
    </row>
  </sheetData>
  <mergeCells count="3">
    <mergeCell ref="E1:E2"/>
    <mergeCell ref="G1:G2"/>
    <mergeCell ref="C1:C2"/>
  </mergeCells>
  <phoneticPr fontId="49" type="noConversion"/>
  <printOptions horizontalCentered="1"/>
  <pageMargins left="0.75" right="0.75" top="1.32" bottom="0.35" header="0.52" footer="0.35"/>
  <pageSetup paperSize="5" scale="80" firstPageNumber="35" orientation="portrait" useFirstPageNumber="1" r:id="rId1"/>
  <headerFooter alignWithMargins="0">
    <oddHeader xml:space="preserve">&amp;L&amp;"Arial,Bold"&amp;18Table 4A: &amp;20 &amp;18FY2012-13 Budget Letter&amp;20 &amp;"Arial,Regular"&amp;10
&amp;18Foreign Associate Teacher Stipends </oddHead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G79"/>
  <sheetViews>
    <sheetView view="pageBreakPreview" zoomScaleNormal="80" zoomScaleSheetLayoutView="100" workbookViewId="0">
      <pane xSplit="2" ySplit="3" topLeftCell="C4" activePane="bottomRight" state="frozen"/>
      <selection activeCell="A8" sqref="A8:A9"/>
      <selection pane="topRight" activeCell="A8" sqref="A8:A9"/>
      <selection pane="bottomLeft" activeCell="A8" sqref="A8:A9"/>
      <selection pane="bottomRight" activeCell="K63" sqref="K63"/>
    </sheetView>
  </sheetViews>
  <sheetFormatPr defaultRowHeight="12.75"/>
  <cols>
    <col min="1" max="1" width="4.28515625" style="2" customWidth="1"/>
    <col min="2" max="2" width="23" style="2" customWidth="1"/>
    <col min="3" max="3" width="12.7109375" style="2" hidden="1" customWidth="1"/>
    <col min="4" max="4" width="13.7109375" style="2" hidden="1" customWidth="1"/>
    <col min="5" max="5" width="15.42578125" hidden="1" customWidth="1"/>
    <col min="6" max="6" width="13.85546875" hidden="1" customWidth="1"/>
    <col min="7" max="7" width="19" customWidth="1"/>
    <col min="8" max="8" width="11" customWidth="1"/>
  </cols>
  <sheetData>
    <row r="1" spans="1:7" ht="88.5" customHeight="1">
      <c r="A1" s="469" t="s">
        <v>203</v>
      </c>
      <c r="B1" s="1130" t="s">
        <v>288</v>
      </c>
      <c r="C1" s="1756"/>
      <c r="D1" s="1131"/>
      <c r="E1" s="1754"/>
      <c r="F1" s="1132"/>
      <c r="G1" s="1749" t="s">
        <v>1246</v>
      </c>
    </row>
    <row r="2" spans="1:7">
      <c r="A2" s="470"/>
      <c r="B2" s="470"/>
      <c r="C2" s="1757"/>
      <c r="D2" s="471"/>
      <c r="E2" s="1755"/>
      <c r="F2" s="473"/>
      <c r="G2" s="1739"/>
    </row>
    <row r="3" spans="1:7">
      <c r="A3" s="227"/>
      <c r="B3" s="310"/>
      <c r="C3" s="319">
        <f>B3+1</f>
        <v>1</v>
      </c>
      <c r="D3" s="319">
        <f>C3+1</f>
        <v>2</v>
      </c>
      <c r="E3" s="319">
        <f>D3+1</f>
        <v>3</v>
      </c>
      <c r="F3" s="319">
        <f>E3+1</f>
        <v>4</v>
      </c>
      <c r="G3" s="319">
        <v>1</v>
      </c>
    </row>
    <row r="4" spans="1:7">
      <c r="A4" s="101">
        <v>1</v>
      </c>
      <c r="B4" s="311" t="s">
        <v>102</v>
      </c>
      <c r="C4" s="324"/>
      <c r="D4" s="323"/>
      <c r="E4" s="324"/>
      <c r="F4" s="323"/>
      <c r="G4" s="476">
        <f t="shared" ref="G4:G35" si="0">D4+F4</f>
        <v>0</v>
      </c>
    </row>
    <row r="5" spans="1:7">
      <c r="A5" s="101">
        <v>2</v>
      </c>
      <c r="B5" s="311" t="s">
        <v>103</v>
      </c>
      <c r="C5" s="324"/>
      <c r="D5" s="323"/>
      <c r="E5" s="324"/>
      <c r="F5" s="323"/>
      <c r="G5" s="476">
        <f t="shared" si="0"/>
        <v>0</v>
      </c>
    </row>
    <row r="6" spans="1:7">
      <c r="A6" s="101">
        <v>3</v>
      </c>
      <c r="B6" s="311" t="s">
        <v>104</v>
      </c>
      <c r="C6" s="324"/>
      <c r="D6" s="323"/>
      <c r="E6" s="324"/>
      <c r="F6" s="323"/>
      <c r="G6" s="476">
        <f t="shared" si="0"/>
        <v>0</v>
      </c>
    </row>
    <row r="7" spans="1:7">
      <c r="A7" s="101">
        <v>4</v>
      </c>
      <c r="B7" s="311" t="s">
        <v>105</v>
      </c>
      <c r="C7" s="324"/>
      <c r="D7" s="323"/>
      <c r="E7" s="324"/>
      <c r="F7" s="323"/>
      <c r="G7" s="476">
        <f t="shared" si="0"/>
        <v>0</v>
      </c>
    </row>
    <row r="8" spans="1:7">
      <c r="A8" s="102">
        <v>5</v>
      </c>
      <c r="B8" s="312" t="s">
        <v>106</v>
      </c>
      <c r="C8" s="331"/>
      <c r="D8" s="330"/>
      <c r="E8" s="331"/>
      <c r="F8" s="330"/>
      <c r="G8" s="477">
        <f t="shared" si="0"/>
        <v>0</v>
      </c>
    </row>
    <row r="9" spans="1:7">
      <c r="A9" s="101">
        <v>6</v>
      </c>
      <c r="B9" s="311" t="s">
        <v>107</v>
      </c>
      <c r="C9" s="324"/>
      <c r="D9" s="323"/>
      <c r="E9" s="324"/>
      <c r="F9" s="323"/>
      <c r="G9" s="476">
        <f t="shared" si="0"/>
        <v>0</v>
      </c>
    </row>
    <row r="10" spans="1:7">
      <c r="A10" s="101">
        <v>7</v>
      </c>
      <c r="B10" s="311" t="s">
        <v>108</v>
      </c>
      <c r="C10" s="324"/>
      <c r="D10" s="323"/>
      <c r="E10" s="324"/>
      <c r="F10" s="323"/>
      <c r="G10" s="476">
        <f t="shared" si="0"/>
        <v>0</v>
      </c>
    </row>
    <row r="11" spans="1:7">
      <c r="A11" s="101">
        <v>8</v>
      </c>
      <c r="B11" s="311" t="s">
        <v>109</v>
      </c>
      <c r="C11" s="324"/>
      <c r="D11" s="323"/>
      <c r="E11" s="324"/>
      <c r="F11" s="323"/>
      <c r="G11" s="476">
        <f t="shared" si="0"/>
        <v>0</v>
      </c>
    </row>
    <row r="12" spans="1:7">
      <c r="A12" s="101">
        <v>9</v>
      </c>
      <c r="B12" s="311" t="s">
        <v>110</v>
      </c>
      <c r="C12" s="324"/>
      <c r="D12" s="323"/>
      <c r="E12" s="324"/>
      <c r="F12" s="323"/>
      <c r="G12" s="476">
        <f t="shared" si="0"/>
        <v>0</v>
      </c>
    </row>
    <row r="13" spans="1:7">
      <c r="A13" s="102">
        <v>10</v>
      </c>
      <c r="B13" s="312" t="s">
        <v>111</v>
      </c>
      <c r="C13" s="331"/>
      <c r="D13" s="330"/>
      <c r="E13" s="331"/>
      <c r="F13" s="330"/>
      <c r="G13" s="477">
        <f t="shared" si="0"/>
        <v>0</v>
      </c>
    </row>
    <row r="14" spans="1:7">
      <c r="A14" s="101">
        <v>11</v>
      </c>
      <c r="B14" s="311" t="s">
        <v>112</v>
      </c>
      <c r="C14" s="324"/>
      <c r="D14" s="323"/>
      <c r="E14" s="324"/>
      <c r="F14" s="323"/>
      <c r="G14" s="476">
        <f t="shared" si="0"/>
        <v>0</v>
      </c>
    </row>
    <row r="15" spans="1:7">
      <c r="A15" s="101">
        <v>12</v>
      </c>
      <c r="B15" s="311" t="s">
        <v>113</v>
      </c>
      <c r="C15" s="324"/>
      <c r="D15" s="323"/>
      <c r="E15" s="324"/>
      <c r="F15" s="323"/>
      <c r="G15" s="476">
        <f t="shared" si="0"/>
        <v>0</v>
      </c>
    </row>
    <row r="16" spans="1:7">
      <c r="A16" s="101">
        <v>13</v>
      </c>
      <c r="B16" s="311" t="s">
        <v>114</v>
      </c>
      <c r="C16" s="324"/>
      <c r="D16" s="323"/>
      <c r="E16" s="324"/>
      <c r="F16" s="323"/>
      <c r="G16" s="476">
        <f t="shared" si="0"/>
        <v>0</v>
      </c>
    </row>
    <row r="17" spans="1:7">
      <c r="A17" s="101">
        <v>14</v>
      </c>
      <c r="B17" s="311" t="s">
        <v>115</v>
      </c>
      <c r="C17" s="324"/>
      <c r="D17" s="323"/>
      <c r="E17" s="324"/>
      <c r="F17" s="323"/>
      <c r="G17" s="476">
        <f t="shared" si="0"/>
        <v>0</v>
      </c>
    </row>
    <row r="18" spans="1:7">
      <c r="A18" s="102">
        <v>15</v>
      </c>
      <c r="B18" s="312" t="s">
        <v>116</v>
      </c>
      <c r="C18" s="331"/>
      <c r="D18" s="330"/>
      <c r="E18" s="331"/>
      <c r="F18" s="330"/>
      <c r="G18" s="477">
        <f t="shared" si="0"/>
        <v>0</v>
      </c>
    </row>
    <row r="19" spans="1:7">
      <c r="A19" s="101">
        <v>16</v>
      </c>
      <c r="B19" s="311" t="s">
        <v>117</v>
      </c>
      <c r="C19" s="324"/>
      <c r="D19" s="323"/>
      <c r="E19" s="324"/>
      <c r="F19" s="323"/>
      <c r="G19" s="476">
        <f t="shared" si="0"/>
        <v>0</v>
      </c>
    </row>
    <row r="20" spans="1:7">
      <c r="A20" s="101">
        <v>17</v>
      </c>
      <c r="B20" s="311" t="s">
        <v>118</v>
      </c>
      <c r="C20" s="324"/>
      <c r="D20" s="323"/>
      <c r="E20" s="324"/>
      <c r="F20" s="323"/>
      <c r="G20" s="476">
        <f t="shared" si="0"/>
        <v>0</v>
      </c>
    </row>
    <row r="21" spans="1:7">
      <c r="A21" s="101">
        <v>18</v>
      </c>
      <c r="B21" s="311" t="s">
        <v>119</v>
      </c>
      <c r="C21" s="324"/>
      <c r="D21" s="323"/>
      <c r="E21" s="324"/>
      <c r="F21" s="323"/>
      <c r="G21" s="476">
        <f t="shared" si="0"/>
        <v>0</v>
      </c>
    </row>
    <row r="22" spans="1:7">
      <c r="A22" s="101">
        <v>19</v>
      </c>
      <c r="B22" s="311" t="s">
        <v>120</v>
      </c>
      <c r="C22" s="324"/>
      <c r="D22" s="323"/>
      <c r="E22" s="324"/>
      <c r="F22" s="323"/>
      <c r="G22" s="476">
        <f t="shared" si="0"/>
        <v>0</v>
      </c>
    </row>
    <row r="23" spans="1:7">
      <c r="A23" s="102">
        <v>20</v>
      </c>
      <c r="B23" s="312" t="s">
        <v>121</v>
      </c>
      <c r="C23" s="331"/>
      <c r="D23" s="330"/>
      <c r="E23" s="331"/>
      <c r="F23" s="330"/>
      <c r="G23" s="477">
        <f t="shared" si="0"/>
        <v>0</v>
      </c>
    </row>
    <row r="24" spans="1:7">
      <c r="A24" s="101">
        <v>21</v>
      </c>
      <c r="B24" s="311" t="s">
        <v>122</v>
      </c>
      <c r="C24" s="324"/>
      <c r="D24" s="323"/>
      <c r="E24" s="324"/>
      <c r="F24" s="323"/>
      <c r="G24" s="476">
        <f t="shared" si="0"/>
        <v>0</v>
      </c>
    </row>
    <row r="25" spans="1:7">
      <c r="A25" s="101">
        <v>22</v>
      </c>
      <c r="B25" s="311" t="s">
        <v>123</v>
      </c>
      <c r="C25" s="324"/>
      <c r="D25" s="323"/>
      <c r="E25" s="324"/>
      <c r="F25" s="323"/>
      <c r="G25" s="476">
        <f t="shared" si="0"/>
        <v>0</v>
      </c>
    </row>
    <row r="26" spans="1:7">
      <c r="A26" s="101">
        <v>23</v>
      </c>
      <c r="B26" s="311" t="s">
        <v>124</v>
      </c>
      <c r="C26" s="324"/>
      <c r="D26" s="323"/>
      <c r="E26" s="324"/>
      <c r="F26" s="323"/>
      <c r="G26" s="476">
        <f t="shared" si="0"/>
        <v>0</v>
      </c>
    </row>
    <row r="27" spans="1:7">
      <c r="A27" s="101">
        <v>24</v>
      </c>
      <c r="B27" s="311" t="s">
        <v>125</v>
      </c>
      <c r="C27" s="324"/>
      <c r="D27" s="323"/>
      <c r="E27" s="324"/>
      <c r="F27" s="323"/>
      <c r="G27" s="476">
        <f t="shared" si="0"/>
        <v>0</v>
      </c>
    </row>
    <row r="28" spans="1:7">
      <c r="A28" s="102">
        <v>25</v>
      </c>
      <c r="B28" s="312" t="s">
        <v>126</v>
      </c>
      <c r="C28" s="331"/>
      <c r="D28" s="330"/>
      <c r="E28" s="331"/>
      <c r="F28" s="330"/>
      <c r="G28" s="477">
        <f t="shared" si="0"/>
        <v>0</v>
      </c>
    </row>
    <row r="29" spans="1:7">
      <c r="A29" s="101">
        <v>26</v>
      </c>
      <c r="B29" s="311" t="s">
        <v>127</v>
      </c>
      <c r="C29" s="324"/>
      <c r="D29" s="323"/>
      <c r="E29" s="324"/>
      <c r="F29" s="323"/>
      <c r="G29" s="476">
        <f t="shared" si="0"/>
        <v>0</v>
      </c>
    </row>
    <row r="30" spans="1:7">
      <c r="A30" s="101">
        <v>27</v>
      </c>
      <c r="B30" s="311" t="s">
        <v>128</v>
      </c>
      <c r="C30" s="324"/>
      <c r="D30" s="323"/>
      <c r="E30" s="324"/>
      <c r="F30" s="323"/>
      <c r="G30" s="476">
        <f t="shared" si="0"/>
        <v>0</v>
      </c>
    </row>
    <row r="31" spans="1:7">
      <c r="A31" s="101">
        <v>28</v>
      </c>
      <c r="B31" s="311" t="s">
        <v>129</v>
      </c>
      <c r="C31" s="324"/>
      <c r="D31" s="323"/>
      <c r="E31" s="324"/>
      <c r="F31" s="323"/>
      <c r="G31" s="476">
        <f t="shared" si="0"/>
        <v>0</v>
      </c>
    </row>
    <row r="32" spans="1:7">
      <c r="A32" s="101">
        <v>29</v>
      </c>
      <c r="B32" s="311" t="s">
        <v>130</v>
      </c>
      <c r="C32" s="324"/>
      <c r="D32" s="323"/>
      <c r="E32" s="324"/>
      <c r="F32" s="323"/>
      <c r="G32" s="476">
        <f t="shared" si="0"/>
        <v>0</v>
      </c>
    </row>
    <row r="33" spans="1:7">
      <c r="A33" s="102">
        <v>30</v>
      </c>
      <c r="B33" s="312" t="s">
        <v>131</v>
      </c>
      <c r="C33" s="331"/>
      <c r="D33" s="330"/>
      <c r="E33" s="331"/>
      <c r="F33" s="330"/>
      <c r="G33" s="477">
        <f t="shared" si="0"/>
        <v>0</v>
      </c>
    </row>
    <row r="34" spans="1:7">
      <c r="A34" s="101">
        <v>31</v>
      </c>
      <c r="B34" s="311" t="s">
        <v>132</v>
      </c>
      <c r="C34" s="324"/>
      <c r="D34" s="323"/>
      <c r="E34" s="324"/>
      <c r="F34" s="323"/>
      <c r="G34" s="476">
        <f t="shared" si="0"/>
        <v>0</v>
      </c>
    </row>
    <row r="35" spans="1:7">
      <c r="A35" s="101">
        <v>32</v>
      </c>
      <c r="B35" s="311" t="s">
        <v>133</v>
      </c>
      <c r="C35" s="324"/>
      <c r="D35" s="323"/>
      <c r="E35" s="324"/>
      <c r="F35" s="323"/>
      <c r="G35" s="476">
        <f t="shared" si="0"/>
        <v>0</v>
      </c>
    </row>
    <row r="36" spans="1:7">
      <c r="A36" s="101">
        <v>33</v>
      </c>
      <c r="B36" s="311" t="s">
        <v>134</v>
      </c>
      <c r="C36" s="324"/>
      <c r="D36" s="323"/>
      <c r="E36" s="324"/>
      <c r="F36" s="323"/>
      <c r="G36" s="476">
        <f t="shared" ref="G36:G67" si="1">D36+F36</f>
        <v>0</v>
      </c>
    </row>
    <row r="37" spans="1:7">
      <c r="A37" s="101">
        <v>34</v>
      </c>
      <c r="B37" s="311" t="s">
        <v>135</v>
      </c>
      <c r="C37" s="324"/>
      <c r="D37" s="323"/>
      <c r="E37" s="324"/>
      <c r="F37" s="323"/>
      <c r="G37" s="476">
        <f t="shared" si="1"/>
        <v>0</v>
      </c>
    </row>
    <row r="38" spans="1:7">
      <c r="A38" s="102">
        <v>35</v>
      </c>
      <c r="B38" s="312" t="s">
        <v>136</v>
      </c>
      <c r="C38" s="331"/>
      <c r="D38" s="330"/>
      <c r="E38" s="331"/>
      <c r="F38" s="330"/>
      <c r="G38" s="477">
        <f t="shared" si="1"/>
        <v>0</v>
      </c>
    </row>
    <row r="39" spans="1:7">
      <c r="A39" s="101">
        <v>36</v>
      </c>
      <c r="B39" s="311" t="s">
        <v>137</v>
      </c>
      <c r="C39" s="324"/>
      <c r="D39" s="323"/>
      <c r="E39" s="324"/>
      <c r="F39" s="323"/>
      <c r="G39" s="476">
        <f t="shared" si="1"/>
        <v>0</v>
      </c>
    </row>
    <row r="40" spans="1:7">
      <c r="A40" s="101">
        <v>37</v>
      </c>
      <c r="B40" s="311" t="s">
        <v>138</v>
      </c>
      <c r="C40" s="324"/>
      <c r="D40" s="323"/>
      <c r="E40" s="324"/>
      <c r="F40" s="323"/>
      <c r="G40" s="476">
        <f t="shared" si="1"/>
        <v>0</v>
      </c>
    </row>
    <row r="41" spans="1:7">
      <c r="A41" s="101">
        <v>38</v>
      </c>
      <c r="B41" s="311" t="s">
        <v>139</v>
      </c>
      <c r="C41" s="324"/>
      <c r="D41" s="323"/>
      <c r="E41" s="324"/>
      <c r="F41" s="323"/>
      <c r="G41" s="476">
        <f t="shared" si="1"/>
        <v>0</v>
      </c>
    </row>
    <row r="42" spans="1:7">
      <c r="A42" s="101">
        <v>39</v>
      </c>
      <c r="B42" s="311" t="s">
        <v>140</v>
      </c>
      <c r="C42" s="324"/>
      <c r="D42" s="323"/>
      <c r="E42" s="324"/>
      <c r="F42" s="323"/>
      <c r="G42" s="476">
        <f t="shared" si="1"/>
        <v>0</v>
      </c>
    </row>
    <row r="43" spans="1:7">
      <c r="A43" s="102">
        <v>40</v>
      </c>
      <c r="B43" s="312" t="s">
        <v>141</v>
      </c>
      <c r="C43" s="331"/>
      <c r="D43" s="330"/>
      <c r="E43" s="331"/>
      <c r="F43" s="330"/>
      <c r="G43" s="477">
        <f t="shared" si="1"/>
        <v>0</v>
      </c>
    </row>
    <row r="44" spans="1:7">
      <c r="A44" s="101">
        <v>41</v>
      </c>
      <c r="B44" s="311" t="s">
        <v>142</v>
      </c>
      <c r="C44" s="324"/>
      <c r="D44" s="323"/>
      <c r="E44" s="324"/>
      <c r="F44" s="323"/>
      <c r="G44" s="476">
        <f t="shared" si="1"/>
        <v>0</v>
      </c>
    </row>
    <row r="45" spans="1:7">
      <c r="A45" s="101">
        <v>42</v>
      </c>
      <c r="B45" s="311" t="s">
        <v>143</v>
      </c>
      <c r="C45" s="324"/>
      <c r="D45" s="323"/>
      <c r="E45" s="324"/>
      <c r="F45" s="323"/>
      <c r="G45" s="476">
        <f t="shared" si="1"/>
        <v>0</v>
      </c>
    </row>
    <row r="46" spans="1:7">
      <c r="A46" s="101">
        <v>43</v>
      </c>
      <c r="B46" s="311" t="s">
        <v>144</v>
      </c>
      <c r="C46" s="324"/>
      <c r="D46" s="323"/>
      <c r="E46" s="324"/>
      <c r="F46" s="323"/>
      <c r="G46" s="476">
        <f t="shared" si="1"/>
        <v>0</v>
      </c>
    </row>
    <row r="47" spans="1:7">
      <c r="A47" s="101">
        <v>44</v>
      </c>
      <c r="B47" s="311" t="s">
        <v>145</v>
      </c>
      <c r="C47" s="324"/>
      <c r="D47" s="323"/>
      <c r="E47" s="324"/>
      <c r="F47" s="323"/>
      <c r="G47" s="476">
        <f t="shared" si="1"/>
        <v>0</v>
      </c>
    </row>
    <row r="48" spans="1:7">
      <c r="A48" s="102">
        <v>45</v>
      </c>
      <c r="B48" s="312" t="s">
        <v>146</v>
      </c>
      <c r="C48" s="331"/>
      <c r="D48" s="330"/>
      <c r="E48" s="331"/>
      <c r="F48" s="330"/>
      <c r="G48" s="477">
        <f t="shared" si="1"/>
        <v>0</v>
      </c>
    </row>
    <row r="49" spans="1:7">
      <c r="A49" s="101">
        <v>46</v>
      </c>
      <c r="B49" s="311" t="s">
        <v>147</v>
      </c>
      <c r="C49" s="324"/>
      <c r="D49" s="323"/>
      <c r="E49" s="324"/>
      <c r="F49" s="323"/>
      <c r="G49" s="476">
        <f t="shared" si="1"/>
        <v>0</v>
      </c>
    </row>
    <row r="50" spans="1:7">
      <c r="A50" s="101">
        <v>47</v>
      </c>
      <c r="B50" s="311" t="s">
        <v>148</v>
      </c>
      <c r="C50" s="324"/>
      <c r="D50" s="323"/>
      <c r="E50" s="324"/>
      <c r="F50" s="323"/>
      <c r="G50" s="476">
        <f t="shared" si="1"/>
        <v>0</v>
      </c>
    </row>
    <row r="51" spans="1:7">
      <c r="A51" s="101">
        <v>48</v>
      </c>
      <c r="B51" s="311" t="s">
        <v>222</v>
      </c>
      <c r="C51" s="324"/>
      <c r="D51" s="323"/>
      <c r="E51" s="324"/>
      <c r="F51" s="323"/>
      <c r="G51" s="476">
        <f t="shared" si="1"/>
        <v>0</v>
      </c>
    </row>
    <row r="52" spans="1:7">
      <c r="A52" s="101">
        <v>49</v>
      </c>
      <c r="B52" s="311" t="s">
        <v>149</v>
      </c>
      <c r="C52" s="324"/>
      <c r="D52" s="323"/>
      <c r="E52" s="324"/>
      <c r="F52" s="323"/>
      <c r="G52" s="476">
        <f t="shared" si="1"/>
        <v>0</v>
      </c>
    </row>
    <row r="53" spans="1:7">
      <c r="A53" s="102">
        <v>50</v>
      </c>
      <c r="B53" s="312" t="s">
        <v>150</v>
      </c>
      <c r="C53" s="331"/>
      <c r="D53" s="330"/>
      <c r="E53" s="331"/>
      <c r="F53" s="330"/>
      <c r="G53" s="477">
        <f t="shared" si="1"/>
        <v>0</v>
      </c>
    </row>
    <row r="54" spans="1:7">
      <c r="A54" s="101">
        <v>51</v>
      </c>
      <c r="B54" s="311" t="s">
        <v>151</v>
      </c>
      <c r="C54" s="324"/>
      <c r="D54" s="323"/>
      <c r="E54" s="324"/>
      <c r="F54" s="323"/>
      <c r="G54" s="476">
        <f t="shared" si="1"/>
        <v>0</v>
      </c>
    </row>
    <row r="55" spans="1:7">
      <c r="A55" s="101">
        <v>52</v>
      </c>
      <c r="B55" s="311" t="s">
        <v>152</v>
      </c>
      <c r="C55" s="324"/>
      <c r="D55" s="323"/>
      <c r="E55" s="324"/>
      <c r="F55" s="323"/>
      <c r="G55" s="476">
        <f t="shared" si="1"/>
        <v>0</v>
      </c>
    </row>
    <row r="56" spans="1:7">
      <c r="A56" s="101">
        <v>53</v>
      </c>
      <c r="B56" s="311" t="s">
        <v>153</v>
      </c>
      <c r="C56" s="324"/>
      <c r="D56" s="323"/>
      <c r="E56" s="324"/>
      <c r="F56" s="323"/>
      <c r="G56" s="476">
        <f t="shared" si="1"/>
        <v>0</v>
      </c>
    </row>
    <row r="57" spans="1:7">
      <c r="A57" s="101">
        <v>54</v>
      </c>
      <c r="B57" s="311" t="s">
        <v>154</v>
      </c>
      <c r="C57" s="324"/>
      <c r="D57" s="323"/>
      <c r="E57" s="324"/>
      <c r="F57" s="323"/>
      <c r="G57" s="476">
        <f t="shared" si="1"/>
        <v>0</v>
      </c>
    </row>
    <row r="58" spans="1:7">
      <c r="A58" s="102">
        <v>55</v>
      </c>
      <c r="B58" s="312" t="s">
        <v>155</v>
      </c>
      <c r="C58" s="331"/>
      <c r="D58" s="330"/>
      <c r="E58" s="331"/>
      <c r="F58" s="330"/>
      <c r="G58" s="477">
        <f t="shared" si="1"/>
        <v>0</v>
      </c>
    </row>
    <row r="59" spans="1:7">
      <c r="A59" s="101">
        <v>56</v>
      </c>
      <c r="B59" s="311" t="s">
        <v>156</v>
      </c>
      <c r="C59" s="324"/>
      <c r="D59" s="323"/>
      <c r="E59" s="324"/>
      <c r="F59" s="323"/>
      <c r="G59" s="476">
        <f t="shared" si="1"/>
        <v>0</v>
      </c>
    </row>
    <row r="60" spans="1:7">
      <c r="A60" s="101">
        <v>57</v>
      </c>
      <c r="B60" s="311" t="s">
        <v>157</v>
      </c>
      <c r="C60" s="324"/>
      <c r="D60" s="323"/>
      <c r="E60" s="324"/>
      <c r="F60" s="323"/>
      <c r="G60" s="476">
        <f t="shared" si="1"/>
        <v>0</v>
      </c>
    </row>
    <row r="61" spans="1:7">
      <c r="A61" s="101">
        <v>58</v>
      </c>
      <c r="B61" s="311" t="s">
        <v>158</v>
      </c>
      <c r="C61" s="324"/>
      <c r="D61" s="323"/>
      <c r="E61" s="324"/>
      <c r="F61" s="323"/>
      <c r="G61" s="476">
        <f t="shared" si="1"/>
        <v>0</v>
      </c>
    </row>
    <row r="62" spans="1:7">
      <c r="A62" s="101">
        <v>59</v>
      </c>
      <c r="B62" s="311" t="s">
        <v>159</v>
      </c>
      <c r="C62" s="324"/>
      <c r="D62" s="323"/>
      <c r="E62" s="324"/>
      <c r="F62" s="323"/>
      <c r="G62" s="476">
        <f t="shared" si="1"/>
        <v>0</v>
      </c>
    </row>
    <row r="63" spans="1:7">
      <c r="A63" s="102">
        <v>60</v>
      </c>
      <c r="B63" s="312" t="s">
        <v>160</v>
      </c>
      <c r="C63" s="331"/>
      <c r="D63" s="330"/>
      <c r="E63" s="331"/>
      <c r="F63" s="330"/>
      <c r="G63" s="477">
        <f t="shared" si="1"/>
        <v>0</v>
      </c>
    </row>
    <row r="64" spans="1:7">
      <c r="A64" s="101">
        <v>61</v>
      </c>
      <c r="B64" s="311" t="s">
        <v>161</v>
      </c>
      <c r="C64" s="324"/>
      <c r="D64" s="323"/>
      <c r="E64" s="324"/>
      <c r="F64" s="323"/>
      <c r="G64" s="476">
        <f t="shared" si="1"/>
        <v>0</v>
      </c>
    </row>
    <row r="65" spans="1:7">
      <c r="A65" s="101">
        <v>62</v>
      </c>
      <c r="B65" s="311" t="s">
        <v>162</v>
      </c>
      <c r="C65" s="324"/>
      <c r="D65" s="323"/>
      <c r="E65" s="324"/>
      <c r="F65" s="323"/>
      <c r="G65" s="476">
        <f t="shared" si="1"/>
        <v>0</v>
      </c>
    </row>
    <row r="66" spans="1:7">
      <c r="A66" s="101">
        <v>63</v>
      </c>
      <c r="B66" s="311" t="s">
        <v>163</v>
      </c>
      <c r="C66" s="324"/>
      <c r="D66" s="323"/>
      <c r="E66" s="324"/>
      <c r="F66" s="323"/>
      <c r="G66" s="476">
        <f t="shared" si="1"/>
        <v>0</v>
      </c>
    </row>
    <row r="67" spans="1:7">
      <c r="A67" s="101">
        <v>64</v>
      </c>
      <c r="B67" s="311" t="s">
        <v>164</v>
      </c>
      <c r="C67" s="324"/>
      <c r="D67" s="323"/>
      <c r="E67" s="324"/>
      <c r="F67" s="323"/>
      <c r="G67" s="476">
        <f t="shared" si="1"/>
        <v>0</v>
      </c>
    </row>
    <row r="68" spans="1:7">
      <c r="A68" s="102">
        <v>65</v>
      </c>
      <c r="B68" s="312" t="s">
        <v>165</v>
      </c>
      <c r="C68" s="337"/>
      <c r="D68" s="330"/>
      <c r="E68" s="337"/>
      <c r="F68" s="330"/>
      <c r="G68" s="477">
        <f t="shared" ref="G68:G72" si="2">D68+F68</f>
        <v>0</v>
      </c>
    </row>
    <row r="69" spans="1:7">
      <c r="A69" s="136">
        <v>66</v>
      </c>
      <c r="B69" s="313" t="s">
        <v>166</v>
      </c>
      <c r="C69" s="338"/>
      <c r="D69" s="321"/>
      <c r="E69" s="338"/>
      <c r="F69" s="321"/>
      <c r="G69" s="478">
        <f t="shared" si="2"/>
        <v>0</v>
      </c>
    </row>
    <row r="70" spans="1:7">
      <c r="A70" s="360">
        <v>67</v>
      </c>
      <c r="B70" s="314" t="s">
        <v>33</v>
      </c>
      <c r="C70" s="324"/>
      <c r="D70" s="323"/>
      <c r="E70" s="324"/>
      <c r="F70" s="323"/>
      <c r="G70" s="476">
        <f t="shared" si="2"/>
        <v>0</v>
      </c>
    </row>
    <row r="71" spans="1:7">
      <c r="A71" s="101">
        <v>68</v>
      </c>
      <c r="B71" s="311" t="s">
        <v>31</v>
      </c>
      <c r="C71" s="324"/>
      <c r="D71" s="323"/>
      <c r="E71" s="324"/>
      <c r="F71" s="323"/>
      <c r="G71" s="476">
        <f t="shared" si="2"/>
        <v>0</v>
      </c>
    </row>
    <row r="72" spans="1:7">
      <c r="A72" s="102">
        <v>69</v>
      </c>
      <c r="B72" s="312" t="s">
        <v>235</v>
      </c>
      <c r="C72" s="337"/>
      <c r="D72" s="330"/>
      <c r="E72" s="337"/>
      <c r="F72" s="330"/>
      <c r="G72" s="477">
        <f t="shared" si="2"/>
        <v>0</v>
      </c>
    </row>
    <row r="73" spans="1:7" ht="13.5" thickBot="1">
      <c r="A73" s="428"/>
      <c r="B73" s="429" t="s">
        <v>167</v>
      </c>
      <c r="C73" s="432">
        <f>SUM(C4:C72)</f>
        <v>0</v>
      </c>
      <c r="D73" s="433">
        <f>SUM(D4:D72)</f>
        <v>0</v>
      </c>
      <c r="E73" s="432">
        <f>SUM(E4:E72)</f>
        <v>0</v>
      </c>
      <c r="F73" s="433">
        <f>SUM(F4:F72)</f>
        <v>0</v>
      </c>
      <c r="G73" s="486">
        <v>3719696</v>
      </c>
    </row>
    <row r="74" spans="1:7" s="35" customFormat="1" ht="13.5" thickTop="1">
      <c r="A74" s="1369"/>
      <c r="B74" s="1369"/>
      <c r="C74" s="1369"/>
      <c r="D74" s="1369"/>
      <c r="E74" s="1369"/>
      <c r="F74" s="1369"/>
      <c r="G74" s="1369"/>
    </row>
    <row r="75" spans="1:7" s="35" customFormat="1">
      <c r="A75" s="1758" t="s">
        <v>1247</v>
      </c>
      <c r="B75" s="1758"/>
      <c r="C75" s="1758"/>
      <c r="D75" s="1758"/>
      <c r="E75" s="1758"/>
      <c r="F75" s="1758"/>
      <c r="G75" s="1758"/>
    </row>
    <row r="76" spans="1:7" s="35" customFormat="1">
      <c r="A76" s="435"/>
      <c r="B76" s="438"/>
      <c r="C76" s="64"/>
      <c r="D76" s="64"/>
    </row>
    <row r="77" spans="1:7" s="35" customFormat="1">
      <c r="A77" s="64"/>
      <c r="B77" s="64"/>
      <c r="C77" s="64"/>
      <c r="D77" s="64"/>
    </row>
    <row r="78" spans="1:7" s="35" customFormat="1">
      <c r="A78" s="64"/>
      <c r="B78" s="64"/>
      <c r="C78" s="64"/>
      <c r="D78" s="64"/>
    </row>
    <row r="79" spans="1:7" s="35" customFormat="1">
      <c r="A79" s="64"/>
      <c r="B79" s="64"/>
      <c r="C79" s="64"/>
      <c r="D79" s="64"/>
    </row>
  </sheetData>
  <mergeCells count="4">
    <mergeCell ref="C1:C2"/>
    <mergeCell ref="E1:E2"/>
    <mergeCell ref="G1:G2"/>
    <mergeCell ref="A75:G75"/>
  </mergeCells>
  <printOptions horizontalCentered="1"/>
  <pageMargins left="0.75" right="0.75" top="1.32" bottom="0.35" header="0.52" footer="0.35"/>
  <pageSetup paperSize="5" scale="80" firstPageNumber="36" orientation="portrait" useFirstPageNumber="1" r:id="rId1"/>
  <headerFooter alignWithMargins="0">
    <oddHeader>&amp;L&amp;"Arial,Bold"&amp;18Table 4B: &amp;20 &amp;18FY2012-13 Budget Letter&amp;20 &amp;"Arial,Regular"&amp;10
&amp;18Rewards for Student Progress*</oddHead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77</vt:i4>
      </vt:variant>
    </vt:vector>
  </HeadingPairs>
  <TitlesOfParts>
    <vt:vector size="117" baseType="lpstr">
      <vt:lpstr>Table 1 State Summary </vt:lpstr>
      <vt:lpstr>Table 2_State Distrib and Adjs</vt:lpstr>
      <vt:lpstr>Table 2A-1_EFT (Annual)</vt:lpstr>
      <vt:lpstr>Table 2A-2 EFT (Monthly)</vt:lpstr>
      <vt:lpstr>Table 3 Levels 1&amp;2</vt:lpstr>
      <vt:lpstr>Table 3A-CityParish LEA </vt:lpstr>
      <vt:lpstr>Table 4 Level 3</vt:lpstr>
      <vt:lpstr>Table 4A Stipends</vt:lpstr>
      <vt:lpstr>Table 4B Rewards</vt:lpstr>
      <vt:lpstr>Table 5A1 Labs </vt:lpstr>
      <vt:lpstr>Table 5A2 LSMSA</vt:lpstr>
      <vt:lpstr>Table 5A3 NOCCA</vt:lpstr>
      <vt:lpstr>Table 5A4_LSDVI</vt:lpstr>
      <vt:lpstr>Table 5A5_SSD</vt:lpstr>
      <vt:lpstr>Table 5B1_RSD_Orleans</vt:lpstr>
      <vt:lpstr>Table 5B2_RSD_LA</vt:lpstr>
      <vt:lpstr>Table 5C1A-Madison Prep</vt:lpstr>
      <vt:lpstr>Table 5C1B-DArbonne</vt:lpstr>
      <vt:lpstr>Table 5C1C-Intl_VIBE</vt:lpstr>
      <vt:lpstr>Table 5C1D-NOMMA</vt:lpstr>
      <vt:lpstr>Table 5C1E-LFNO</vt:lpstr>
      <vt:lpstr>Table 5C1F-Lake Charles Charter</vt:lpstr>
      <vt:lpstr>Table 5C1G-JS Clark Academy</vt:lpstr>
      <vt:lpstr>Table 5C1H-Southwest LA Charter</vt:lpstr>
      <vt:lpstr>Table 5C2 - LA Virtual Admy</vt:lpstr>
      <vt:lpstr>Table 5C3 - LA Connections EBR</vt:lpstr>
      <vt:lpstr>Table 5D1 - New Vision</vt:lpstr>
      <vt:lpstr>Table 5D2 - Glencoe</vt:lpstr>
      <vt:lpstr>Table 5D3 - International</vt:lpstr>
      <vt:lpstr>Table 5D4 - Avoyelles</vt:lpstr>
      <vt:lpstr>Table 5D5 - Delhi</vt:lpstr>
      <vt:lpstr>Table 5D6 - Milestone</vt:lpstr>
      <vt:lpstr>Table 5D7 - Max</vt:lpstr>
      <vt:lpstr>Table 5D8 - Belle Chasse</vt:lpstr>
      <vt:lpstr>Table 5E_OJJ</vt:lpstr>
      <vt:lpstr>Table 5F Scholarships</vt:lpstr>
      <vt:lpstr>Table 6 (Local Deduct Calc.)</vt:lpstr>
      <vt:lpstr>Table 7 Local Revenue</vt:lpstr>
      <vt:lpstr>Table 8 2.1.12 MFP Funded</vt:lpstr>
      <vt:lpstr>-</vt:lpstr>
      <vt:lpstr>'Table 1 State Summary '!Print_Area</vt:lpstr>
      <vt:lpstr>'Table 2_State Distrib and Adjs'!Print_Area</vt:lpstr>
      <vt:lpstr>'Table 2A-1_EFT (Annual)'!Print_Area</vt:lpstr>
      <vt:lpstr>'Table 2A-2 EFT (Monthly)'!Print_Area</vt:lpstr>
      <vt:lpstr>'Table 3 Levels 1&amp;2'!Print_Area</vt:lpstr>
      <vt:lpstr>'Table 3A-CityParish LEA '!Print_Area</vt:lpstr>
      <vt:lpstr>'Table 4 Level 3'!Print_Area</vt:lpstr>
      <vt:lpstr>'Table 4A Stipends'!Print_Area</vt:lpstr>
      <vt:lpstr>'Table 4B Rewards'!Print_Area</vt:lpstr>
      <vt:lpstr>'Table 5A1 Labs '!Print_Area</vt:lpstr>
      <vt:lpstr>'Table 5A2 LSMSA'!Print_Area</vt:lpstr>
      <vt:lpstr>'Table 5A3 NOCCA'!Print_Area</vt:lpstr>
      <vt:lpstr>'Table 5A4_LSDVI'!Print_Area</vt:lpstr>
      <vt:lpstr>'Table 5A5_SSD'!Print_Area</vt:lpstr>
      <vt:lpstr>'Table 5B1_RSD_Orleans'!Print_Area</vt:lpstr>
      <vt:lpstr>'Table 5B2_RSD_LA'!Print_Area</vt:lpstr>
      <vt:lpstr>'Table 5C1A-Madison Prep'!Print_Area</vt:lpstr>
      <vt:lpstr>'Table 5C1B-DArbonne'!Print_Area</vt:lpstr>
      <vt:lpstr>'Table 5C1C-Intl_VIBE'!Print_Area</vt:lpstr>
      <vt:lpstr>'Table 5C1D-NOMMA'!Print_Area</vt:lpstr>
      <vt:lpstr>'Table 5C1E-LFNO'!Print_Area</vt:lpstr>
      <vt:lpstr>'Table 5C1F-Lake Charles Charter'!Print_Area</vt:lpstr>
      <vt:lpstr>'Table 5C1G-JS Clark Academy'!Print_Area</vt:lpstr>
      <vt:lpstr>'Table 5C1H-Southwest LA Charter'!Print_Area</vt:lpstr>
      <vt:lpstr>'Table 5C2 - LA Virtual Admy'!Print_Area</vt:lpstr>
      <vt:lpstr>'Table 5C3 - LA Connections EBR'!Print_Area</vt:lpstr>
      <vt:lpstr>'Table 5D1 - New Vision'!Print_Area</vt:lpstr>
      <vt:lpstr>'Table 5D2 - Glencoe'!Print_Area</vt:lpstr>
      <vt:lpstr>'Table 5D3 - International'!Print_Area</vt:lpstr>
      <vt:lpstr>'Table 5D4 - Avoyelles'!Print_Area</vt:lpstr>
      <vt:lpstr>'Table 5D5 - Delhi'!Print_Area</vt:lpstr>
      <vt:lpstr>'Table 5D6 - Milestone'!Print_Area</vt:lpstr>
      <vt:lpstr>'Table 5D7 - Max'!Print_Area</vt:lpstr>
      <vt:lpstr>'Table 5D8 - Belle Chasse'!Print_Area</vt:lpstr>
      <vt:lpstr>'Table 5E_OJJ'!Print_Area</vt:lpstr>
      <vt:lpstr>'Table 5F Scholarships'!Print_Area</vt:lpstr>
      <vt:lpstr>'Table 6 (Local Deduct Calc.)'!Print_Area</vt:lpstr>
      <vt:lpstr>'Table 7 Local Revenue'!Print_Area</vt:lpstr>
      <vt:lpstr>'Table 8 2.1.12 MFP Funded'!Print_Area</vt:lpstr>
      <vt:lpstr>'-'!Print_Titles</vt:lpstr>
      <vt:lpstr>'Table 1 State Summary '!Print_Titles</vt:lpstr>
      <vt:lpstr>'Table 2_State Distrib and Adjs'!Print_Titles</vt:lpstr>
      <vt:lpstr>'Table 2A-1_EFT (Annual)'!Print_Titles</vt:lpstr>
      <vt:lpstr>'Table 2A-2 EFT (Monthly)'!Print_Titles</vt:lpstr>
      <vt:lpstr>'Table 3 Levels 1&amp;2'!Print_Titles</vt:lpstr>
      <vt:lpstr>'Table 3A-CityParish LEA '!Print_Titles</vt:lpstr>
      <vt:lpstr>'Table 4 Level 3'!Print_Titles</vt:lpstr>
      <vt:lpstr>'Table 5A1 Labs '!Print_Titles</vt:lpstr>
      <vt:lpstr>'Table 5A2 LSMSA'!Print_Titles</vt:lpstr>
      <vt:lpstr>'Table 5A3 NOCCA'!Print_Titles</vt:lpstr>
      <vt:lpstr>'Table 5A4_LSDVI'!Print_Titles</vt:lpstr>
      <vt:lpstr>'Table 5A5_SSD'!Print_Titles</vt:lpstr>
      <vt:lpstr>'Table 5B1_RSD_Orleans'!Print_Titles</vt:lpstr>
      <vt:lpstr>'Table 5B2_RSD_LA'!Print_Titles</vt:lpstr>
      <vt:lpstr>'Table 5C1A-Madison Prep'!Print_Titles</vt:lpstr>
      <vt:lpstr>'Table 5C1B-DArbonne'!Print_Titles</vt:lpstr>
      <vt:lpstr>'Table 5C1C-Intl_VIBE'!Print_Titles</vt:lpstr>
      <vt:lpstr>'Table 5C1D-NOMMA'!Print_Titles</vt:lpstr>
      <vt:lpstr>'Table 5C1E-LFNO'!Print_Titles</vt:lpstr>
      <vt:lpstr>'Table 5C1F-Lake Charles Charter'!Print_Titles</vt:lpstr>
      <vt:lpstr>'Table 5C1G-JS Clark Academy'!Print_Titles</vt:lpstr>
      <vt:lpstr>'Table 5C1H-Southwest LA Charter'!Print_Titles</vt:lpstr>
      <vt:lpstr>'Table 5C2 - LA Virtual Admy'!Print_Titles</vt:lpstr>
      <vt:lpstr>'Table 5C3 - LA Connections EBR'!Print_Titles</vt:lpstr>
      <vt:lpstr>'Table 5D1 - New Vision'!Print_Titles</vt:lpstr>
      <vt:lpstr>'Table 5D2 - Glencoe'!Print_Titles</vt:lpstr>
      <vt:lpstr>'Table 5D3 - International'!Print_Titles</vt:lpstr>
      <vt:lpstr>'Table 5D4 - Avoyelles'!Print_Titles</vt:lpstr>
      <vt:lpstr>'Table 5D5 - Delhi'!Print_Titles</vt:lpstr>
      <vt:lpstr>'Table 5D6 - Milestone'!Print_Titles</vt:lpstr>
      <vt:lpstr>'Table 5D7 - Max'!Print_Titles</vt:lpstr>
      <vt:lpstr>'Table 5D8 - Belle Chasse'!Print_Titles</vt:lpstr>
      <vt:lpstr>'Table 5E_OJJ'!Print_Titles</vt:lpstr>
      <vt:lpstr>'Table 5F Scholarships'!Print_Titles</vt:lpstr>
      <vt:lpstr>'Table 6 (Local Deduct Calc.)'!Print_Titles</vt:lpstr>
      <vt:lpstr>'Table 7 Local Revenue'!Print_Titles</vt:lpstr>
      <vt:lpstr>'Table 8 2.1.12 MFP Funded'!Print_Titles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ldoe</cp:lastModifiedBy>
  <cp:lastPrinted>2012-06-26T18:43:04Z</cp:lastPrinted>
  <dcterms:created xsi:type="dcterms:W3CDTF">1999-11-15T20:37:39Z</dcterms:created>
  <dcterms:modified xsi:type="dcterms:W3CDTF">2012-12-19T14:23:16Z</dcterms:modified>
</cp:coreProperties>
</file>